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hidePivotFieldList="1" defaultThemeVersion="166925"/>
  <xr:revisionPtr revIDLastSave="0" documentId="13_ncr:1_{7679D5AB-747D-40FA-A95F-2D9685588F33}" xr6:coauthVersionLast="47" xr6:coauthVersionMax="47" xr10:uidLastSave="{00000000-0000-0000-0000-000000000000}"/>
  <bookViews>
    <workbookView xWindow="28680" yWindow="-120" windowWidth="29040" windowHeight="15720" xr2:uid="{DB7414D2-9727-4847-B65B-6FF00BB258A6}"/>
  </bookViews>
  <sheets>
    <sheet name="Actual HDDs" sheetId="1" r:id="rId1"/>
    <sheet name="Meter Counts" sheetId="13" r:id="rId2"/>
    <sheet name="Meter Cost" sheetId="3" r:id="rId3"/>
    <sheet name="Regulator Cost" sheetId="5" r:id="rId4"/>
    <sheet name="Rate  SSS" sheetId="6" r:id="rId5"/>
    <sheet name="Rate LVT" sheetId="7" r:id="rId6"/>
    <sheet name="Rate LVT - Dec 2025" sheetId="8" r:id="rId7"/>
    <sheet name="Cust Accts Exp" sheetId="9" r:id="rId8"/>
    <sheet name="2025 Revenue" sheetId="10" r:id="rId9"/>
    <sheet name="Services" sheetId="11" r:id="rId10"/>
    <sheet name="Transport Admin" sheetId="12" r:id="rId11"/>
  </sheets>
  <definedNames>
    <definedName name="_MailOriginal" localSheetId="9">Services!$J$176</definedName>
    <definedName name="AlocList" localSheetId="7">#REF!</definedName>
    <definedName name="AlocList" localSheetId="10">#REF!</definedName>
    <definedName name="AlocList">#REF!</definedName>
    <definedName name="AlocTable" localSheetId="7">#REF!</definedName>
    <definedName name="AlocTable" localSheetId="10">#REF!</definedName>
    <definedName name="AlocTable">#REF!</definedName>
    <definedName name="Data2021">#REF!</definedName>
    <definedName name="_xlnm.Print_Area" localSheetId="2">'Meter Cost'!$A$1:$BX$49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4" i="12" l="1"/>
  <c r="H15" i="12"/>
  <c r="D14" i="12" s="1"/>
  <c r="H12" i="12"/>
  <c r="D11" i="12" s="1"/>
  <c r="A10" i="12"/>
  <c r="A11" i="12" s="1"/>
  <c r="A13" i="12" s="1"/>
  <c r="A14" i="12" s="1"/>
  <c r="A16" i="12" s="1"/>
  <c r="A17" i="12" s="1"/>
  <c r="A18" i="12" s="1"/>
  <c r="A19" i="12" s="1"/>
  <c r="A20" i="12" s="1"/>
  <c r="A21" i="12" s="1"/>
  <c r="D13" i="12" l="1"/>
  <c r="D25" i="12"/>
  <c r="D26" i="12" s="1"/>
  <c r="D9" i="12"/>
  <c r="D16" i="12" s="1"/>
  <c r="D20" i="12" s="1"/>
  <c r="D10" i="12"/>
  <c r="D19" i="12" s="1"/>
  <c r="D30" i="12" l="1"/>
  <c r="D21" i="12"/>
  <c r="D29" i="12"/>
  <c r="E19" i="12"/>
  <c r="E20" i="12" s="1"/>
  <c r="D31" i="12" l="1"/>
  <c r="G244" i="11" l="1"/>
  <c r="H244" i="11" s="1"/>
  <c r="F244" i="11"/>
  <c r="H242" i="11"/>
  <c r="H241" i="11"/>
  <c r="H240" i="11"/>
  <c r="H239" i="11"/>
  <c r="H238" i="11"/>
  <c r="H237" i="11"/>
  <c r="H236" i="11"/>
  <c r="H235" i="11"/>
  <c r="H234" i="11"/>
  <c r="H233" i="11"/>
  <c r="H232" i="11"/>
  <c r="H231" i="11"/>
  <c r="H230" i="11"/>
  <c r="H229" i="11"/>
  <c r="H228" i="11"/>
  <c r="H227" i="11"/>
  <c r="H226" i="11"/>
  <c r="H225" i="11"/>
  <c r="H224" i="11"/>
  <c r="H223" i="11"/>
  <c r="H222" i="11"/>
  <c r="H221" i="11"/>
  <c r="H220" i="11"/>
  <c r="H219" i="11"/>
  <c r="H218" i="11"/>
  <c r="H217" i="11"/>
  <c r="H216" i="11"/>
  <c r="H215" i="11"/>
  <c r="H214" i="11"/>
  <c r="H213" i="11"/>
  <c r="H212" i="11"/>
  <c r="H211" i="11"/>
  <c r="H210" i="11"/>
  <c r="H209" i="11"/>
  <c r="H208" i="11"/>
  <c r="H207" i="11"/>
  <c r="H206" i="11"/>
  <c r="H205" i="11"/>
  <c r="H204" i="11"/>
  <c r="H203" i="11"/>
  <c r="H202" i="11"/>
  <c r="H201" i="11"/>
  <c r="H200" i="11"/>
  <c r="H199" i="11"/>
  <c r="H198" i="11"/>
  <c r="H197" i="11"/>
  <c r="H196" i="11"/>
  <c r="H195" i="11"/>
  <c r="H194" i="11"/>
  <c r="H193" i="11"/>
  <c r="H192" i="11"/>
  <c r="H191" i="11"/>
  <c r="H190" i="11"/>
  <c r="H189" i="11"/>
  <c r="H188" i="11"/>
  <c r="H187" i="11"/>
  <c r="H186" i="11"/>
  <c r="H185" i="11"/>
  <c r="H184" i="11"/>
  <c r="H183" i="11"/>
  <c r="H182" i="11"/>
  <c r="H181" i="11"/>
  <c r="H180" i="11"/>
  <c r="H179" i="11"/>
  <c r="H178" i="11"/>
  <c r="H177" i="11"/>
  <c r="H176" i="11"/>
  <c r="H175" i="11"/>
  <c r="H174" i="11"/>
  <c r="H173" i="11"/>
  <c r="H172" i="11"/>
  <c r="H171" i="11"/>
  <c r="H170" i="11"/>
  <c r="H169" i="11"/>
  <c r="H168" i="11"/>
  <c r="H167" i="11"/>
  <c r="H166" i="11"/>
  <c r="H165" i="11"/>
  <c r="H164" i="11"/>
  <c r="H163" i="11"/>
  <c r="H162" i="11"/>
  <c r="H161" i="11"/>
  <c r="H160" i="11"/>
  <c r="M159" i="11"/>
  <c r="H159" i="11"/>
  <c r="H158" i="11"/>
  <c r="H157" i="11"/>
  <c r="H156" i="11"/>
  <c r="H155" i="11"/>
  <c r="H154" i="11"/>
  <c r="H153" i="11"/>
  <c r="H152" i="11"/>
  <c r="H151" i="11"/>
  <c r="K150" i="11"/>
  <c r="H150" i="11"/>
  <c r="H149" i="11"/>
  <c r="H148" i="11"/>
  <c r="H147" i="11"/>
  <c r="H146" i="11"/>
  <c r="H145" i="11"/>
  <c r="H144" i="11"/>
  <c r="H143" i="11"/>
  <c r="H142" i="11"/>
  <c r="H141" i="11"/>
  <c r="H140" i="11"/>
  <c r="K139" i="11"/>
  <c r="H139" i="11"/>
  <c r="H138" i="11"/>
  <c r="H137" i="11"/>
  <c r="H136" i="11"/>
  <c r="H135" i="11"/>
  <c r="H134" i="11"/>
  <c r="H133" i="11"/>
  <c r="H132" i="11"/>
  <c r="H131" i="11"/>
  <c r="H130" i="11"/>
  <c r="H129" i="11"/>
  <c r="H128" i="11"/>
  <c r="H127" i="11"/>
  <c r="H126" i="11"/>
  <c r="H125" i="11"/>
  <c r="H124" i="11"/>
  <c r="H123" i="11"/>
  <c r="H122" i="11"/>
  <c r="H121" i="11"/>
  <c r="H120" i="11"/>
  <c r="H119" i="11"/>
  <c r="H118" i="11"/>
  <c r="H117" i="11"/>
  <c r="H116" i="11"/>
  <c r="H115" i="11"/>
  <c r="H114" i="11"/>
  <c r="H113" i="11"/>
  <c r="H112" i="11"/>
  <c r="H111" i="11"/>
  <c r="H110" i="11"/>
  <c r="H109" i="11"/>
  <c r="H108" i="11"/>
  <c r="H107" i="11"/>
  <c r="H106" i="11"/>
  <c r="H105" i="11"/>
  <c r="H104" i="11"/>
  <c r="H103" i="11"/>
  <c r="H102" i="11"/>
  <c r="H101" i="11"/>
  <c r="H100" i="11"/>
  <c r="H99" i="11"/>
  <c r="H98" i="11"/>
  <c r="H97" i="11"/>
  <c r="H96" i="11"/>
  <c r="H95" i="11"/>
  <c r="H94" i="11"/>
  <c r="H93" i="11"/>
  <c r="H92" i="11"/>
  <c r="H91" i="11"/>
  <c r="H90" i="11"/>
  <c r="H89" i="11"/>
  <c r="H88" i="11"/>
  <c r="H87" i="11"/>
  <c r="H86" i="11"/>
  <c r="H85" i="11"/>
  <c r="H84" i="11"/>
  <c r="H83" i="11"/>
  <c r="H82" i="11"/>
  <c r="H81" i="11"/>
  <c r="H80" i="11"/>
  <c r="H79" i="11"/>
  <c r="H78" i="11"/>
  <c r="H77" i="11"/>
  <c r="H76" i="11"/>
  <c r="H75" i="11"/>
  <c r="H74" i="11"/>
  <c r="H73" i="11"/>
  <c r="H72" i="11"/>
  <c r="H71" i="11"/>
  <c r="H70" i="11"/>
  <c r="H69" i="11"/>
  <c r="H68" i="11"/>
  <c r="H67" i="11"/>
  <c r="H66" i="11"/>
  <c r="H65" i="11"/>
  <c r="H64" i="11"/>
  <c r="H63" i="11"/>
  <c r="H62" i="1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H4" i="11"/>
  <c r="H3" i="11"/>
  <c r="K153" i="11" s="1"/>
  <c r="K27" i="11" l="1"/>
  <c r="K47" i="11"/>
  <c r="K88" i="11"/>
  <c r="K129" i="11"/>
  <c r="N129" i="11" s="1"/>
  <c r="K4" i="11"/>
  <c r="K8" i="11"/>
  <c r="K12" i="11"/>
  <c r="K16" i="11"/>
  <c r="K20" i="11"/>
  <c r="K24" i="11"/>
  <c r="K28" i="11"/>
  <c r="K32" i="11"/>
  <c r="K36" i="11"/>
  <c r="K40" i="11"/>
  <c r="K44" i="11"/>
  <c r="K48" i="11"/>
  <c r="K52" i="11"/>
  <c r="K56" i="11"/>
  <c r="K60" i="11"/>
  <c r="K71" i="11"/>
  <c r="K75" i="11"/>
  <c r="M75" i="11" s="1"/>
  <c r="K78" i="11"/>
  <c r="K82" i="11"/>
  <c r="M82" i="11" s="1"/>
  <c r="K89" i="11"/>
  <c r="K100" i="11"/>
  <c r="K104" i="11"/>
  <c r="K111" i="11"/>
  <c r="N111" i="11" s="1"/>
  <c r="K122" i="11"/>
  <c r="K126" i="11"/>
  <c r="K133" i="11"/>
  <c r="K140" i="11"/>
  <c r="K147" i="11"/>
  <c r="K23" i="11"/>
  <c r="K51" i="11"/>
  <c r="K81" i="11"/>
  <c r="K103" i="11"/>
  <c r="K132" i="11"/>
  <c r="K63" i="11"/>
  <c r="K96" i="11"/>
  <c r="M96" i="11" s="1"/>
  <c r="K143" i="11"/>
  <c r="K64" i="11"/>
  <c r="K68" i="11"/>
  <c r="K93" i="11"/>
  <c r="K108" i="11"/>
  <c r="K115" i="11"/>
  <c r="K119" i="11"/>
  <c r="N119" i="11" s="1"/>
  <c r="K130" i="11"/>
  <c r="N130" i="11" s="1"/>
  <c r="K137" i="11"/>
  <c r="N137" i="11" s="1"/>
  <c r="K144" i="11"/>
  <c r="K151" i="11"/>
  <c r="K19" i="11"/>
  <c r="K43" i="11"/>
  <c r="K85" i="11"/>
  <c r="M85" i="11" s="1"/>
  <c r="K5" i="11"/>
  <c r="K9" i="11"/>
  <c r="K13" i="11"/>
  <c r="K17" i="11"/>
  <c r="K21" i="11"/>
  <c r="K25" i="11"/>
  <c r="K29" i="11"/>
  <c r="K33" i="11"/>
  <c r="K37" i="11"/>
  <c r="K41" i="11"/>
  <c r="K45" i="11"/>
  <c r="K49" i="11"/>
  <c r="K53" i="11"/>
  <c r="K57" i="11"/>
  <c r="K61" i="11"/>
  <c r="K72" i="11"/>
  <c r="K79" i="11"/>
  <c r="K86" i="11"/>
  <c r="K90" i="11"/>
  <c r="K97" i="11"/>
  <c r="K101" i="11"/>
  <c r="K105" i="11"/>
  <c r="M105" i="11" s="1"/>
  <c r="K123" i="11"/>
  <c r="K127" i="11"/>
  <c r="K134" i="11"/>
  <c r="K141" i="11"/>
  <c r="K148" i="11"/>
  <c r="O148" i="11" s="1"/>
  <c r="K15" i="11"/>
  <c r="K39" i="11"/>
  <c r="K74" i="11"/>
  <c r="K99" i="11"/>
  <c r="K125" i="11"/>
  <c r="K118" i="11"/>
  <c r="K65" i="11"/>
  <c r="K69" i="11"/>
  <c r="K76" i="11"/>
  <c r="K83" i="11"/>
  <c r="K94" i="11"/>
  <c r="K109" i="11"/>
  <c r="N109" i="11" s="1"/>
  <c r="K112" i="11"/>
  <c r="K116" i="11"/>
  <c r="K145" i="11"/>
  <c r="K152" i="11"/>
  <c r="K7" i="11"/>
  <c r="K31" i="11"/>
  <c r="K55" i="11"/>
  <c r="K110" i="11"/>
  <c r="K121" i="11"/>
  <c r="K67" i="11"/>
  <c r="K114" i="11"/>
  <c r="K136" i="11"/>
  <c r="K6" i="11"/>
  <c r="K10" i="11"/>
  <c r="K14" i="11"/>
  <c r="K18" i="11"/>
  <c r="K22" i="11"/>
  <c r="K26" i="11"/>
  <c r="K30" i="11"/>
  <c r="K34" i="11"/>
  <c r="K38" i="11"/>
  <c r="K42" i="11"/>
  <c r="K46" i="11"/>
  <c r="K50" i="11"/>
  <c r="K54" i="11"/>
  <c r="K58" i="11"/>
  <c r="K62" i="11"/>
  <c r="M62" i="11" s="1"/>
  <c r="K73" i="11"/>
  <c r="K80" i="11"/>
  <c r="K87" i="11"/>
  <c r="K91" i="11"/>
  <c r="K98" i="11"/>
  <c r="K102" i="11"/>
  <c r="K120" i="11"/>
  <c r="K124" i="11"/>
  <c r="K128" i="11"/>
  <c r="K131" i="11"/>
  <c r="K135" i="11"/>
  <c r="N135" i="11" s="1"/>
  <c r="K138" i="11"/>
  <c r="K142" i="11"/>
  <c r="N142" i="11" s="1"/>
  <c r="K11" i="11"/>
  <c r="K35" i="11"/>
  <c r="K59" i="11"/>
  <c r="K92" i="11"/>
  <c r="M92" i="11" s="1"/>
  <c r="K107" i="11"/>
  <c r="K66" i="11"/>
  <c r="K70" i="11"/>
  <c r="M70" i="11" s="1"/>
  <c r="K77" i="11"/>
  <c r="M77" i="11" s="1"/>
  <c r="K84" i="11"/>
  <c r="K95" i="11"/>
  <c r="K106" i="11"/>
  <c r="K113" i="11"/>
  <c r="K117" i="11"/>
  <c r="K146" i="11"/>
  <c r="O146" i="11" s="1"/>
  <c r="K149" i="11"/>
  <c r="N156" i="11" l="1"/>
  <c r="N155" i="11"/>
  <c r="M156" i="11"/>
  <c r="M155" i="11"/>
  <c r="O156" i="11"/>
  <c r="O155" i="11"/>
  <c r="M157" i="11" l="1"/>
  <c r="N157" i="11"/>
  <c r="N158" i="11" s="1"/>
  <c r="N159" i="11" s="1"/>
  <c r="O157" i="11"/>
  <c r="O158" i="11" s="1"/>
  <c r="O159" i="11" s="1"/>
  <c r="O36" i="10"/>
  <c r="O21" i="10"/>
  <c r="O20" i="10"/>
  <c r="O38" i="10" s="1"/>
  <c r="O19" i="10"/>
  <c r="O18" i="10"/>
  <c r="O37" i="10" s="1"/>
  <c r="O17" i="10"/>
  <c r="O16" i="10"/>
  <c r="O15" i="10"/>
  <c r="O14" i="10"/>
  <c r="O13" i="10"/>
  <c r="O22" i="10" s="1"/>
  <c r="O31" i="10" s="1"/>
  <c r="O34" i="10" s="1"/>
  <c r="O39" i="10" s="1"/>
  <c r="F50" i="9" l="1"/>
  <c r="G50" i="9" s="1"/>
  <c r="E50" i="9"/>
  <c r="D50" i="9"/>
  <c r="F43" i="9"/>
  <c r="F31" i="9"/>
  <c r="E31" i="9"/>
  <c r="E43" i="9" s="1"/>
  <c r="D31" i="9"/>
  <c r="G31" i="9" s="1"/>
  <c r="F24" i="9"/>
  <c r="E24" i="9"/>
  <c r="G24" i="9" s="1"/>
  <c r="D25" i="9" s="1"/>
  <c r="D24" i="9"/>
  <c r="F19" i="9"/>
  <c r="G18" i="9"/>
  <c r="E19" i="9" s="1"/>
  <c r="E20" i="9" s="1"/>
  <c r="F20" i="9"/>
  <c r="G12" i="9"/>
  <c r="D13" i="9" s="1"/>
  <c r="A12" i="9"/>
  <c r="A13" i="9" s="1"/>
  <c r="A14" i="9" s="1"/>
  <c r="C6" i="9"/>
  <c r="F25" i="9" l="1"/>
  <c r="F26" i="9" s="1"/>
  <c r="D14" i="9"/>
  <c r="F32" i="9"/>
  <c r="F33" i="9" s="1"/>
  <c r="D32" i="9"/>
  <c r="E32" i="9"/>
  <c r="D26" i="9"/>
  <c r="G26" i="9" s="1"/>
  <c r="E13" i="9"/>
  <c r="E14" i="9" s="1"/>
  <c r="E25" i="9"/>
  <c r="E26" i="9" s="1"/>
  <c r="D33" i="9"/>
  <c r="G37" i="9"/>
  <c r="E38" i="9" s="1"/>
  <c r="E39" i="9" s="1"/>
  <c r="F13" i="9"/>
  <c r="F14" i="9" s="1"/>
  <c r="E33" i="9"/>
  <c r="D19" i="9"/>
  <c r="D43" i="9"/>
  <c r="G14" i="9" l="1"/>
  <c r="G13" i="9"/>
  <c r="F38" i="9"/>
  <c r="F39" i="9" s="1"/>
  <c r="G25" i="9"/>
  <c r="D38" i="9"/>
  <c r="G33" i="9"/>
  <c r="G32" i="9"/>
  <c r="G43" i="9"/>
  <c r="D44" i="9"/>
  <c r="D20" i="9"/>
  <c r="G20" i="9" s="1"/>
  <c r="G19" i="9"/>
  <c r="G38" i="9" l="1"/>
  <c r="D39" i="9"/>
  <c r="G39" i="9" s="1"/>
  <c r="D45" i="9"/>
  <c r="F44" i="9"/>
  <c r="F45" i="9" s="1"/>
  <c r="F49" i="9" s="1"/>
  <c r="F51" i="9" s="1"/>
  <c r="E44" i="9"/>
  <c r="E45" i="9" s="1"/>
  <c r="E49" i="9" s="1"/>
  <c r="E51" i="9" s="1"/>
  <c r="D49" i="9"/>
  <c r="G44" i="9" l="1"/>
  <c r="G49" i="9"/>
  <c r="D51" i="9"/>
  <c r="D52" i="9" s="1"/>
  <c r="E52" i="9"/>
  <c r="G45" i="9"/>
  <c r="F52" i="9" l="1"/>
  <c r="L171" i="8" l="1"/>
  <c r="J171" i="8"/>
  <c r="K171" i="8" s="1"/>
  <c r="F171" i="8"/>
  <c r="K129" i="8"/>
  <c r="J129" i="8"/>
  <c r="J118" i="8"/>
  <c r="J172" i="8" s="1"/>
  <c r="F118" i="8"/>
  <c r="L118" i="8" s="1"/>
  <c r="F37" i="8"/>
  <c r="F172" i="8" s="1"/>
  <c r="F176" i="8" l="1"/>
  <c r="J176" i="8"/>
  <c r="K118" i="8"/>
  <c r="F177" i="8" l="1"/>
  <c r="L177" i="8" s="1"/>
  <c r="F179" i="8"/>
  <c r="J177" i="8"/>
  <c r="K177" i="8" s="1"/>
  <c r="J179" i="8"/>
  <c r="L152" i="7"/>
  <c r="K152" i="7"/>
  <c r="J152" i="7"/>
  <c r="F152" i="7"/>
  <c r="J110" i="7"/>
  <c r="K110" i="7" s="1"/>
  <c r="J99" i="7"/>
  <c r="K99" i="7" s="1"/>
  <c r="F99" i="7"/>
  <c r="L99" i="7" s="1"/>
  <c r="I94" i="7"/>
  <c r="I79" i="7"/>
  <c r="I77" i="7"/>
  <c r="I71" i="7"/>
  <c r="I69" i="7"/>
  <c r="J69" i="7" s="1"/>
  <c r="I66" i="7"/>
  <c r="P9" i="7" s="1"/>
  <c r="R9" i="7" s="1"/>
  <c r="F19" i="7"/>
  <c r="M18" i="7"/>
  <c r="J17" i="7"/>
  <c r="O16" i="7"/>
  <c r="P15" i="7"/>
  <c r="O15" i="7"/>
  <c r="R15" i="7" s="1"/>
  <c r="M15" i="7"/>
  <c r="K15" i="7"/>
  <c r="O14" i="7"/>
  <c r="R14" i="7" s="1"/>
  <c r="M14" i="7"/>
  <c r="O13" i="7"/>
  <c r="P12" i="7"/>
  <c r="O12" i="7"/>
  <c r="R12" i="7" s="1"/>
  <c r="M12" i="7"/>
  <c r="K12" i="7"/>
  <c r="P11" i="7"/>
  <c r="O11" i="7"/>
  <c r="R11" i="7" s="1"/>
  <c r="K11" i="7"/>
  <c r="M11" i="7" s="1"/>
  <c r="R10" i="7"/>
  <c r="P10" i="7"/>
  <c r="O10" i="7"/>
  <c r="K10" i="7"/>
  <c r="O9" i="7"/>
  <c r="L17" i="7"/>
  <c r="K9" i="7"/>
  <c r="M9" i="7" s="1"/>
  <c r="L155" i="6"/>
  <c r="K155" i="6"/>
  <c r="J155" i="6"/>
  <c r="F155" i="6"/>
  <c r="J113" i="6"/>
  <c r="K113" i="6" s="1"/>
  <c r="J102" i="6"/>
  <c r="K102" i="6" s="1"/>
  <c r="F102" i="6"/>
  <c r="L102" i="6" s="1"/>
  <c r="F22" i="6"/>
  <c r="K69" i="7" l="1"/>
  <c r="P16" i="7" s="1"/>
  <c r="R16" i="7" s="1"/>
  <c r="P13" i="7"/>
  <c r="R13" i="7" s="1"/>
  <c r="F153" i="7"/>
  <c r="J153" i="7"/>
  <c r="M10" i="7"/>
  <c r="K13" i="7"/>
  <c r="F156" i="6"/>
  <c r="J156" i="6"/>
  <c r="M13" i="7" l="1"/>
  <c r="K16" i="7"/>
  <c r="M16" i="7" s="1"/>
  <c r="H172" i="7"/>
  <c r="L172" i="7" s="1"/>
  <c r="F157" i="7"/>
  <c r="J172" i="7"/>
  <c r="K172" i="7" s="1"/>
  <c r="J157" i="7"/>
  <c r="K17" i="7"/>
  <c r="M17" i="7" s="1"/>
  <c r="M19" i="7" s="1"/>
  <c r="F160" i="6"/>
  <c r="H175" i="6"/>
  <c r="L175" i="6" s="1"/>
  <c r="J175" i="6"/>
  <c r="K175" i="6" s="1"/>
  <c r="J160" i="6"/>
  <c r="F158" i="7" l="1"/>
  <c r="L158" i="7" s="1"/>
  <c r="F160" i="7"/>
  <c r="J158" i="7"/>
  <c r="K158" i="7" s="1"/>
  <c r="J161" i="6"/>
  <c r="K161" i="6" s="1"/>
  <c r="J163" i="6"/>
  <c r="F161" i="6"/>
  <c r="L161" i="6" s="1"/>
  <c r="J160" i="7" l="1"/>
  <c r="F163" i="6"/>
  <c r="H53" i="5" l="1"/>
  <c r="H52" i="5"/>
  <c r="H51" i="5"/>
  <c r="E52" i="5"/>
  <c r="D52" i="5"/>
  <c r="E51" i="5"/>
  <c r="E53" i="5" s="1"/>
  <c r="D51" i="5"/>
  <c r="E50" i="5"/>
  <c r="D50" i="5"/>
  <c r="F52" i="5"/>
  <c r="F51" i="5"/>
  <c r="D53" i="5"/>
  <c r="F50" i="5"/>
  <c r="BA39" i="5"/>
  <c r="AY39" i="5"/>
  <c r="AU39" i="5"/>
  <c r="AQ39" i="5"/>
  <c r="AM39" i="5"/>
  <c r="AM42" i="5" s="1"/>
  <c r="AI39" i="5"/>
  <c r="AI42" i="5" s="1"/>
  <c r="AE39" i="5"/>
  <c r="AA39" i="5"/>
  <c r="W39" i="5"/>
  <c r="S39" i="5"/>
  <c r="O39" i="5"/>
  <c r="K39" i="5"/>
  <c r="G39" i="5"/>
  <c r="G42" i="5" s="1"/>
  <c r="H39" i="5"/>
  <c r="C39" i="5"/>
  <c r="BA38" i="5"/>
  <c r="AY38" i="5"/>
  <c r="BC38" i="5" s="1"/>
  <c r="AU38" i="5"/>
  <c r="AQ38" i="5"/>
  <c r="AM38" i="5"/>
  <c r="AI38" i="5"/>
  <c r="AE38" i="5"/>
  <c r="AA38" i="5"/>
  <c r="W38" i="5"/>
  <c r="S38" i="5"/>
  <c r="O38" i="5"/>
  <c r="K38" i="5"/>
  <c r="H38" i="5"/>
  <c r="G38" i="5"/>
  <c r="C38" i="5"/>
  <c r="BA37" i="5"/>
  <c r="AY37" i="5"/>
  <c r="AU37" i="5"/>
  <c r="AU42" i="5" s="1"/>
  <c r="AQ37" i="5"/>
  <c r="AQ42" i="5" s="1"/>
  <c r="AM37" i="5"/>
  <c r="AI37" i="5"/>
  <c r="AE37" i="5"/>
  <c r="AE42" i="5" s="1"/>
  <c r="AA37" i="5"/>
  <c r="AA42" i="5" s="1"/>
  <c r="W37" i="5"/>
  <c r="W42" i="5" s="1"/>
  <c r="S37" i="5"/>
  <c r="O37" i="5"/>
  <c r="O42" i="5" s="1"/>
  <c r="K37" i="5"/>
  <c r="K42" i="5" s="1"/>
  <c r="G37" i="5"/>
  <c r="F42" i="5"/>
  <c r="C37" i="5"/>
  <c r="X35" i="5"/>
  <c r="AB35" i="5" s="1"/>
  <c r="AF35" i="5" s="1"/>
  <c r="AJ35" i="5" s="1"/>
  <c r="AN35" i="5" s="1"/>
  <c r="AR35" i="5" s="1"/>
  <c r="AV35" i="5" s="1"/>
  <c r="AZ35" i="5" s="1"/>
  <c r="P35" i="5"/>
  <c r="T35" i="5" s="1"/>
  <c r="L35" i="5"/>
  <c r="G29" i="5"/>
  <c r="G27" i="5"/>
  <c r="G19" i="5"/>
  <c r="F5" i="5"/>
  <c r="F22" i="5"/>
  <c r="G17" i="5"/>
  <c r="L15" i="5"/>
  <c r="D15" i="5"/>
  <c r="C15" i="5"/>
  <c r="B15" i="5"/>
  <c r="F6" i="5"/>
  <c r="C6" i="5"/>
  <c r="C5" i="5"/>
  <c r="C4" i="5"/>
  <c r="T2" i="5"/>
  <c r="L2" i="5"/>
  <c r="P2" i="5" s="1"/>
  <c r="F53" i="5" l="1"/>
  <c r="P39" i="5"/>
  <c r="P38" i="5"/>
  <c r="F4" i="5"/>
  <c r="T39" i="5"/>
  <c r="T38" i="5"/>
  <c r="X2" i="5"/>
  <c r="H29" i="5"/>
  <c r="H17" i="5"/>
  <c r="H19" i="5"/>
  <c r="K28" i="5"/>
  <c r="E6" i="5"/>
  <c r="L29" i="5"/>
  <c r="P15" i="5"/>
  <c r="K29" i="5"/>
  <c r="K27" i="5"/>
  <c r="K32" i="5" s="1"/>
  <c r="G28" i="5"/>
  <c r="G32" i="5" s="1"/>
  <c r="H37" i="5"/>
  <c r="AY42" i="5"/>
  <c r="BC37" i="5"/>
  <c r="BC42" i="5" s="1"/>
  <c r="E4" i="5"/>
  <c r="S42" i="5"/>
  <c r="L39" i="5"/>
  <c r="L38" i="5"/>
  <c r="H28" i="5"/>
  <c r="BC39" i="5"/>
  <c r="K17" i="5" l="1"/>
  <c r="I4" i="5"/>
  <c r="F9" i="5"/>
  <c r="F11" i="5" s="1"/>
  <c r="F12" i="5" s="1"/>
  <c r="L28" i="5"/>
  <c r="G6" i="5"/>
  <c r="H6" i="5" s="1"/>
  <c r="J22" i="5"/>
  <c r="L17" i="5"/>
  <c r="J4" i="5"/>
  <c r="G4" i="5"/>
  <c r="H4" i="5" s="1"/>
  <c r="J6" i="5"/>
  <c r="L6" i="5" s="1"/>
  <c r="L19" i="5"/>
  <c r="X39" i="5"/>
  <c r="X38" i="5"/>
  <c r="AB2" i="5"/>
  <c r="N42" i="5"/>
  <c r="P37" i="5"/>
  <c r="P42" i="5" s="1"/>
  <c r="J42" i="5"/>
  <c r="L37" i="5"/>
  <c r="L42" i="5" s="1"/>
  <c r="H42" i="5"/>
  <c r="K18" i="5"/>
  <c r="I5" i="5"/>
  <c r="K5" i="5" s="1"/>
  <c r="R42" i="5"/>
  <c r="T37" i="5"/>
  <c r="T42" i="5" s="1"/>
  <c r="L27" i="5"/>
  <c r="K19" i="5"/>
  <c r="I6" i="5"/>
  <c r="K6" i="5" s="1"/>
  <c r="H27" i="5"/>
  <c r="F32" i="5"/>
  <c r="O28" i="5"/>
  <c r="O27" i="5"/>
  <c r="T15" i="5"/>
  <c r="J32" i="5"/>
  <c r="J5" i="5"/>
  <c r="L5" i="5" s="1"/>
  <c r="L18" i="5"/>
  <c r="G18" i="5"/>
  <c r="E5" i="5"/>
  <c r="G5" i="5" l="1"/>
  <c r="H5" i="5" s="1"/>
  <c r="H18" i="5"/>
  <c r="G22" i="5"/>
  <c r="N5" i="5"/>
  <c r="P27" i="5"/>
  <c r="N32" i="5"/>
  <c r="P19" i="5"/>
  <c r="N6" i="5"/>
  <c r="P6" i="5" s="1"/>
  <c r="O32" i="5"/>
  <c r="AB38" i="5"/>
  <c r="AB39" i="5"/>
  <c r="AF2" i="5"/>
  <c r="O19" i="5"/>
  <c r="M6" i="5"/>
  <c r="O6" i="5" s="1"/>
  <c r="H32" i="5"/>
  <c r="V42" i="5"/>
  <c r="X37" i="5"/>
  <c r="X42" i="5" s="1"/>
  <c r="J9" i="5"/>
  <c r="J11" i="5" s="1"/>
  <c r="J12" i="5"/>
  <c r="G9" i="5"/>
  <c r="G11" i="5" s="1"/>
  <c r="G12" i="5" s="1"/>
  <c r="E9" i="5"/>
  <c r="S29" i="5"/>
  <c r="X15" i="5"/>
  <c r="O29" i="5"/>
  <c r="P29" i="5" s="1"/>
  <c r="L22" i="5"/>
  <c r="O17" i="5"/>
  <c r="M4" i="5"/>
  <c r="P28" i="5"/>
  <c r="I9" i="5"/>
  <c r="K4" i="5"/>
  <c r="K9" i="5" s="1"/>
  <c r="K11" i="5" s="1"/>
  <c r="N22" i="5"/>
  <c r="P17" i="5"/>
  <c r="N4" i="5"/>
  <c r="O18" i="5"/>
  <c r="P18" i="5" s="1"/>
  <c r="M5" i="5"/>
  <c r="O5" i="5" s="1"/>
  <c r="L32" i="5"/>
  <c r="K22" i="5"/>
  <c r="S27" i="5" l="1"/>
  <c r="T28" i="5"/>
  <c r="AB37" i="5"/>
  <c r="AB42" i="5" s="1"/>
  <c r="Z42" i="5"/>
  <c r="P5" i="5"/>
  <c r="S28" i="5"/>
  <c r="T27" i="5"/>
  <c r="R32" i="5"/>
  <c r="W28" i="5"/>
  <c r="W27" i="5"/>
  <c r="AB15" i="5"/>
  <c r="R22" i="5"/>
  <c r="R4" i="5"/>
  <c r="T29" i="5"/>
  <c r="K12" i="5"/>
  <c r="O12" i="5" s="1"/>
  <c r="H22" i="5"/>
  <c r="N9" i="5"/>
  <c r="N11" i="5" s="1"/>
  <c r="N12" i="5" s="1"/>
  <c r="P4" i="5"/>
  <c r="P9" i="5" s="1"/>
  <c r="P11" i="5" s="1"/>
  <c r="P22" i="5"/>
  <c r="O22" i="5"/>
  <c r="S18" i="5"/>
  <c r="Q5" i="5"/>
  <c r="S5" i="5" s="1"/>
  <c r="S17" i="5"/>
  <c r="S22" i="5" s="1"/>
  <c r="Q4" i="5"/>
  <c r="L4" i="5"/>
  <c r="AF39" i="5"/>
  <c r="AF38" i="5"/>
  <c r="AJ2" i="5"/>
  <c r="T18" i="5"/>
  <c r="R5" i="5"/>
  <c r="T5" i="5" s="1"/>
  <c r="M9" i="5"/>
  <c r="O4" i="5"/>
  <c r="O9" i="5" s="1"/>
  <c r="O11" i="5" s="1"/>
  <c r="R6" i="5"/>
  <c r="S19" i="5"/>
  <c r="T19" i="5" s="1"/>
  <c r="Q6" i="5"/>
  <c r="S6" i="5" s="1"/>
  <c r="P32" i="5"/>
  <c r="H9" i="5"/>
  <c r="H11" i="5" s="1"/>
  <c r="H12" i="5" s="1"/>
  <c r="R12" i="5" l="1"/>
  <c r="X29" i="5"/>
  <c r="V5" i="5"/>
  <c r="T32" i="5"/>
  <c r="T6" i="5"/>
  <c r="AD42" i="5"/>
  <c r="AF37" i="5"/>
  <c r="AF42" i="5" s="1"/>
  <c r="W19" i="5"/>
  <c r="U6" i="5"/>
  <c r="W6" i="5" s="1"/>
  <c r="S32" i="5"/>
  <c r="T17" i="5"/>
  <c r="W29" i="5"/>
  <c r="W32" i="5"/>
  <c r="R9" i="5"/>
  <c r="R11" i="5" s="1"/>
  <c r="X28" i="5"/>
  <c r="V22" i="5"/>
  <c r="V4" i="5"/>
  <c r="AJ39" i="5"/>
  <c r="AJ38" i="5"/>
  <c r="AN2" i="5"/>
  <c r="W17" i="5"/>
  <c r="W22" i="5" s="1"/>
  <c r="U4" i="5"/>
  <c r="L9" i="5"/>
  <c r="L11" i="5" s="1"/>
  <c r="L12" i="5" s="1"/>
  <c r="P12" i="5" s="1"/>
  <c r="AF15" i="5"/>
  <c r="AA29" i="5"/>
  <c r="AA27" i="5"/>
  <c r="AA28" i="5"/>
  <c r="W18" i="5"/>
  <c r="X18" i="5" s="1"/>
  <c r="U5" i="5"/>
  <c r="W5" i="5" s="1"/>
  <c r="Q9" i="5"/>
  <c r="S4" i="5"/>
  <c r="S9" i="5" s="1"/>
  <c r="S11" i="5" s="1"/>
  <c r="S12" i="5" s="1"/>
  <c r="X19" i="5"/>
  <c r="V6" i="5"/>
  <c r="X6" i="5" s="1"/>
  <c r="X27" i="5"/>
  <c r="V32" i="5"/>
  <c r="W12" i="5" l="1"/>
  <c r="Z5" i="5"/>
  <c r="AA19" i="5"/>
  <c r="Y6" i="5"/>
  <c r="AB19" i="5"/>
  <c r="Z6" i="5"/>
  <c r="AB28" i="5"/>
  <c r="AN39" i="5"/>
  <c r="AR2" i="5"/>
  <c r="AN38" i="5"/>
  <c r="AA32" i="5"/>
  <c r="AH42" i="5"/>
  <c r="AJ37" i="5"/>
  <c r="AJ42" i="5" s="1"/>
  <c r="T22" i="5"/>
  <c r="AB27" i="5"/>
  <c r="Z32" i="5"/>
  <c r="W4" i="5"/>
  <c r="W9" i="5" s="1"/>
  <c r="W11" i="5" s="1"/>
  <c r="U9" i="5"/>
  <c r="X32" i="5"/>
  <c r="Z22" i="5"/>
  <c r="AB17" i="5"/>
  <c r="Z4" i="5"/>
  <c r="AB29" i="5"/>
  <c r="V9" i="5"/>
  <c r="V11" i="5" s="1"/>
  <c r="V12" i="5" s="1"/>
  <c r="X4" i="5"/>
  <c r="T4" i="5"/>
  <c r="X5" i="5"/>
  <c r="AA17" i="5"/>
  <c r="Y4" i="5"/>
  <c r="AA18" i="5"/>
  <c r="AB18" i="5" s="1"/>
  <c r="Y5" i="5"/>
  <c r="AE27" i="5"/>
  <c r="AE28" i="5"/>
  <c r="AJ15" i="5"/>
  <c r="X17" i="5"/>
  <c r="X22" i="5" s="1"/>
  <c r="AF19" i="5" l="1"/>
  <c r="AD6" i="5"/>
  <c r="AA5" i="5"/>
  <c r="AN15" i="5"/>
  <c r="AI29" i="5"/>
  <c r="AI27" i="5"/>
  <c r="AI28" i="5"/>
  <c r="AE29" i="5"/>
  <c r="AE32" i="5" s="1"/>
  <c r="AA4" i="5"/>
  <c r="Y9" i="5"/>
  <c r="AB22" i="5"/>
  <c r="AB32" i="5"/>
  <c r="AE17" i="5"/>
  <c r="AC4" i="5"/>
  <c r="AF28" i="5"/>
  <c r="AA22" i="5"/>
  <c r="AA6" i="5"/>
  <c r="AB6" i="5" s="1"/>
  <c r="AE18" i="5"/>
  <c r="AF18" i="5" s="1"/>
  <c r="AC5" i="5"/>
  <c r="AE5" i="5" s="1"/>
  <c r="AL42" i="5"/>
  <c r="AN37" i="5"/>
  <c r="AN42" i="5" s="1"/>
  <c r="AD22" i="5"/>
  <c r="AF17" i="5"/>
  <c r="AD4" i="5"/>
  <c r="AF27" i="5"/>
  <c r="AD32" i="5"/>
  <c r="T9" i="5"/>
  <c r="T11" i="5" s="1"/>
  <c r="T12" i="5" s="1"/>
  <c r="AR39" i="5"/>
  <c r="AR38" i="5"/>
  <c r="AV2" i="5"/>
  <c r="AB5" i="5"/>
  <c r="Z9" i="5"/>
  <c r="Z11" i="5" s="1"/>
  <c r="Z12" i="5" s="1"/>
  <c r="AB4" i="5"/>
  <c r="AD5" i="5"/>
  <c r="AF5" i="5" s="1"/>
  <c r="X9" i="5"/>
  <c r="X11" i="5" s="1"/>
  <c r="AE19" i="5"/>
  <c r="AC6" i="5"/>
  <c r="AE6" i="5" s="1"/>
  <c r="AV39" i="5" l="1"/>
  <c r="AV38" i="5"/>
  <c r="AZ2" i="5"/>
  <c r="AE22" i="5"/>
  <c r="AH22" i="5"/>
  <c r="AH4" i="5"/>
  <c r="AJ29" i="5"/>
  <c r="AF6" i="5"/>
  <c r="AH32" i="5"/>
  <c r="AJ27" i="5"/>
  <c r="AI17" i="5"/>
  <c r="AJ17" i="5" s="1"/>
  <c r="AG4" i="5"/>
  <c r="AI18" i="5"/>
  <c r="AG5" i="5"/>
  <c r="AI5" i="5" s="1"/>
  <c r="AM28" i="5"/>
  <c r="AR15" i="5"/>
  <c r="AM29" i="5"/>
  <c r="AF22" i="5"/>
  <c r="AD9" i="5"/>
  <c r="AD11" i="5" s="1"/>
  <c r="AD12" i="5" s="1"/>
  <c r="AF29" i="5"/>
  <c r="AF32" i="5" s="1"/>
  <c r="AJ18" i="5"/>
  <c r="AH5" i="5"/>
  <c r="AJ5" i="5" s="1"/>
  <c r="AJ28" i="5"/>
  <c r="AI19" i="5"/>
  <c r="AG6" i="5"/>
  <c r="AB9" i="5"/>
  <c r="AB11" i="5" s="1"/>
  <c r="AA9" i="5"/>
  <c r="AA11" i="5" s="1"/>
  <c r="AA12" i="5" s="1"/>
  <c r="AE12" i="5" s="1"/>
  <c r="AH6" i="5"/>
  <c r="AJ19" i="5"/>
  <c r="AP42" i="5"/>
  <c r="AR37" i="5"/>
  <c r="X12" i="5"/>
  <c r="AI32" i="5"/>
  <c r="AC9" i="5"/>
  <c r="AE4" i="5"/>
  <c r="AE9" i="5" s="1"/>
  <c r="AE11" i="5" s="1"/>
  <c r="AJ22" i="5" l="1"/>
  <c r="AL6" i="5"/>
  <c r="AM27" i="5"/>
  <c r="AM32" i="5" s="1"/>
  <c r="AH9" i="5"/>
  <c r="AH11" i="5" s="1"/>
  <c r="AH12" i="5" s="1"/>
  <c r="AJ4" i="5"/>
  <c r="AM19" i="5"/>
  <c r="AN19" i="5" s="1"/>
  <c r="AK6" i="5"/>
  <c r="AM6" i="5" s="1"/>
  <c r="AN28" i="5"/>
  <c r="AG9" i="5"/>
  <c r="AI4" i="5"/>
  <c r="AI6" i="5"/>
  <c r="AJ6" i="5" s="1"/>
  <c r="AM18" i="5"/>
  <c r="AK5" i="5"/>
  <c r="AN27" i="5"/>
  <c r="AN32" i="5" s="1"/>
  <c r="AL32" i="5"/>
  <c r="AJ32" i="5"/>
  <c r="AI22" i="5"/>
  <c r="AB12" i="5"/>
  <c r="AN29" i="5"/>
  <c r="AN18" i="5"/>
  <c r="AL5" i="5"/>
  <c r="AL22" i="5"/>
  <c r="AL4" i="5"/>
  <c r="AM17" i="5"/>
  <c r="AM22" i="5" s="1"/>
  <c r="AK4" i="5"/>
  <c r="AR42" i="5"/>
  <c r="AF4" i="5"/>
  <c r="AR29" i="5"/>
  <c r="AV15" i="5"/>
  <c r="AQ27" i="5"/>
  <c r="AQ29" i="5"/>
  <c r="AQ28" i="5"/>
  <c r="AT42" i="5"/>
  <c r="AV37" i="5"/>
  <c r="AV42" i="5" s="1"/>
  <c r="AV29" i="5" l="1"/>
  <c r="AU27" i="5"/>
  <c r="AU29" i="5"/>
  <c r="AU28" i="5"/>
  <c r="AZ15" i="5"/>
  <c r="AP4" i="5"/>
  <c r="AP22" i="5"/>
  <c r="AK9" i="5"/>
  <c r="AM4" i="5"/>
  <c r="AM9" i="5" s="1"/>
  <c r="AM11" i="5" s="1"/>
  <c r="AQ17" i="5"/>
  <c r="AO4" i="5"/>
  <c r="BB39" i="5"/>
  <c r="AZ39" i="5"/>
  <c r="BD39" i="5" s="1"/>
  <c r="AJ9" i="5"/>
  <c r="AJ11" i="5" s="1"/>
  <c r="BB38" i="5"/>
  <c r="AZ38" i="5"/>
  <c r="BD38" i="5" s="1"/>
  <c r="AQ19" i="5"/>
  <c r="AO6" i="5"/>
  <c r="AL9" i="5"/>
  <c r="AL11" i="5" s="1"/>
  <c r="AL12" i="5" s="1"/>
  <c r="AX42" i="5"/>
  <c r="BB37" i="5"/>
  <c r="AZ37" i="5"/>
  <c r="AR28" i="5"/>
  <c r="AN17" i="5"/>
  <c r="AI9" i="5"/>
  <c r="AI11" i="5" s="1"/>
  <c r="AI12" i="5" s="1"/>
  <c r="AP5" i="5"/>
  <c r="AP6" i="5"/>
  <c r="AR19" i="5"/>
  <c r="AF9" i="5"/>
  <c r="AF11" i="5" s="1"/>
  <c r="AF12" i="5" s="1"/>
  <c r="AJ12" i="5" s="1"/>
  <c r="AM5" i="5"/>
  <c r="AQ18" i="5"/>
  <c r="AR18" i="5" s="1"/>
  <c r="AO5" i="5"/>
  <c r="AQ5" i="5" s="1"/>
  <c r="AQ32" i="5"/>
  <c r="AN6" i="5"/>
  <c r="AP32" i="5"/>
  <c r="AR27" i="5"/>
  <c r="BD37" i="5"/>
  <c r="BD42" i="5" s="1"/>
  <c r="AN5" i="5"/>
  <c r="AQ22" i="5" l="1"/>
  <c r="AT22" i="5"/>
  <c r="AT4" i="5"/>
  <c r="AU18" i="5"/>
  <c r="AS5" i="5"/>
  <c r="AU5" i="5" s="1"/>
  <c r="AV27" i="5"/>
  <c r="AT32" i="5"/>
  <c r="BB42" i="5"/>
  <c r="AR32" i="5"/>
  <c r="AZ42" i="5"/>
  <c r="AP9" i="5"/>
  <c r="AP11" i="5" s="1"/>
  <c r="AP12" i="5" s="1"/>
  <c r="AU19" i="5"/>
  <c r="AV19" i="5" s="1"/>
  <c r="AS6" i="5"/>
  <c r="AU6" i="5" s="1"/>
  <c r="AR5" i="5"/>
  <c r="AM12" i="5"/>
  <c r="AQ12" i="5" s="1"/>
  <c r="AN4" i="5"/>
  <c r="AR17" i="5"/>
  <c r="AR22" i="5" s="1"/>
  <c r="AT6" i="5"/>
  <c r="AV18" i="5"/>
  <c r="AT5" i="5"/>
  <c r="AV5" i="5" s="1"/>
  <c r="AU32" i="5"/>
  <c r="BA19" i="5"/>
  <c r="AN22" i="5"/>
  <c r="AQ6" i="5"/>
  <c r="AR6" i="5" s="1"/>
  <c r="AO9" i="5"/>
  <c r="AQ4" i="5"/>
  <c r="AQ9" i="5" s="1"/>
  <c r="AQ11" i="5" s="1"/>
  <c r="AU17" i="5"/>
  <c r="AU22" i="5" s="1"/>
  <c r="AS4" i="5"/>
  <c r="AV28" i="5"/>
  <c r="BB18" i="5" l="1"/>
  <c r="AX5" i="5"/>
  <c r="AY19" i="5"/>
  <c r="BC19" i="5" s="1"/>
  <c r="AW6" i="5"/>
  <c r="AY6" i="5" s="1"/>
  <c r="BC6" i="5" s="1"/>
  <c r="BB17" i="5"/>
  <c r="AX22" i="5"/>
  <c r="AX4" i="5"/>
  <c r="AY18" i="5"/>
  <c r="BC18" i="5" s="1"/>
  <c r="AW5" i="5"/>
  <c r="BA18" i="5"/>
  <c r="AS9" i="5"/>
  <c r="AU4" i="5"/>
  <c r="AU9" i="5" s="1"/>
  <c r="AU11" i="5" s="1"/>
  <c r="BA4" i="5"/>
  <c r="BB27" i="5"/>
  <c r="BB32" i="5" s="1"/>
  <c r="AZ27" i="5"/>
  <c r="AX32" i="5"/>
  <c r="BB28" i="5"/>
  <c r="BA6" i="5"/>
  <c r="AR4" i="5"/>
  <c r="AR9" i="5" s="1"/>
  <c r="AR11" i="5" s="1"/>
  <c r="AY28" i="5"/>
  <c r="BC28" i="5" s="1"/>
  <c r="BA28" i="5"/>
  <c r="AU12" i="5"/>
  <c r="AV6" i="5"/>
  <c r="AV32" i="5"/>
  <c r="AY29" i="5"/>
  <c r="BC29" i="5" s="1"/>
  <c r="BA29" i="5"/>
  <c r="AT9" i="5"/>
  <c r="AT11" i="5" s="1"/>
  <c r="AT12" i="5" s="1"/>
  <c r="AV4" i="5"/>
  <c r="AX6" i="5"/>
  <c r="BB19" i="5"/>
  <c r="AZ19" i="5"/>
  <c r="BD19" i="5" s="1"/>
  <c r="BB29" i="5"/>
  <c r="AV17" i="5"/>
  <c r="AN9" i="5"/>
  <c r="AN11" i="5" s="1"/>
  <c r="AN12" i="5" s="1"/>
  <c r="AR12" i="5" s="1"/>
  <c r="AY27" i="5"/>
  <c r="BA27" i="5"/>
  <c r="AY17" i="5"/>
  <c r="AW4" i="5"/>
  <c r="BA17" i="5"/>
  <c r="AZ18" i="5" l="1"/>
  <c r="BD18" i="5" s="1"/>
  <c r="AZ4" i="5"/>
  <c r="BB4" i="5"/>
  <c r="AX9" i="5"/>
  <c r="AX11" i="5" s="1"/>
  <c r="AX12" i="5" s="1"/>
  <c r="BB22" i="5"/>
  <c r="BC17" i="5"/>
  <c r="BC22" i="5" s="1"/>
  <c r="AY22" i="5"/>
  <c r="AZ6" i="5"/>
  <c r="BD6" i="5" s="1"/>
  <c r="BB6" i="5"/>
  <c r="BD27" i="5"/>
  <c r="BC27" i="5"/>
  <c r="BC32" i="5" s="1"/>
  <c r="AY32" i="5"/>
  <c r="AV9" i="5"/>
  <c r="AV11" i="5" s="1"/>
  <c r="AV22" i="5"/>
  <c r="AZ28" i="5"/>
  <c r="BD28" i="5" s="1"/>
  <c r="AZ17" i="5"/>
  <c r="AZ22" i="5" s="1"/>
  <c r="AV12" i="5"/>
  <c r="AZ29" i="5"/>
  <c r="BD29" i="5" s="1"/>
  <c r="AY4" i="5"/>
  <c r="AW9" i="5"/>
  <c r="AY5" i="5"/>
  <c r="BC5" i="5" s="1"/>
  <c r="BA5" i="5"/>
  <c r="BA9" i="5" s="1"/>
  <c r="AZ5" i="5"/>
  <c r="BD5" i="5" s="1"/>
  <c r="BB5" i="5"/>
  <c r="BD17" i="5" l="1"/>
  <c r="BD22" i="5" s="1"/>
  <c r="BD32" i="5"/>
  <c r="AZ9" i="5"/>
  <c r="AZ11" i="5" s="1"/>
  <c r="AZ12" i="5" s="1"/>
  <c r="BD4" i="5"/>
  <c r="BD9" i="5" s="1"/>
  <c r="BD11" i="5" s="1"/>
  <c r="AZ32" i="5"/>
  <c r="BB9" i="5"/>
  <c r="BB11" i="5" s="1"/>
  <c r="AY9" i="5"/>
  <c r="AY11" i="5" s="1"/>
  <c r="AY12" i="5" s="1"/>
  <c r="BC4" i="5"/>
  <c r="BC9" i="5" s="1"/>
  <c r="BC11" i="5" s="1"/>
  <c r="BN51" i="3" l="1"/>
  <c r="BA39" i="3"/>
  <c r="BB39" i="3" s="1"/>
  <c r="AW39" i="3"/>
  <c r="AX39" i="3" s="1"/>
  <c r="AS39" i="3"/>
  <c r="AT39" i="3" s="1"/>
  <c r="AO39" i="3"/>
  <c r="AP39" i="3" s="1"/>
  <c r="AK39" i="3"/>
  <c r="AL39" i="3" s="1"/>
  <c r="AG39" i="3"/>
  <c r="AH39" i="3" s="1"/>
  <c r="AC39" i="3"/>
  <c r="AD39" i="3" s="1"/>
  <c r="Y39" i="3"/>
  <c r="Z39" i="3" s="1"/>
  <c r="V39" i="3"/>
  <c r="U39" i="3"/>
  <c r="Q39" i="3"/>
  <c r="R39" i="3" s="1"/>
  <c r="M39" i="3"/>
  <c r="N39" i="3" s="1"/>
  <c r="I39" i="3"/>
  <c r="J39" i="3" s="1"/>
  <c r="BD38" i="3"/>
  <c r="BM38" i="3" s="1"/>
  <c r="BB38" i="3"/>
  <c r="AX38" i="3"/>
  <c r="AT38" i="3"/>
  <c r="AP38" i="3"/>
  <c r="AL38" i="3"/>
  <c r="AH38" i="3"/>
  <c r="AD38" i="3"/>
  <c r="Z38" i="3"/>
  <c r="BF38" i="3" s="1"/>
  <c r="BE38" i="3" s="1"/>
  <c r="BN38" i="3" s="1"/>
  <c r="V38" i="3"/>
  <c r="R38" i="3"/>
  <c r="N38" i="3"/>
  <c r="J38" i="3"/>
  <c r="BC37" i="3"/>
  <c r="BA37" i="3"/>
  <c r="AZ37" i="3"/>
  <c r="AX37" i="3"/>
  <c r="AW37" i="3"/>
  <c r="AV37" i="3"/>
  <c r="AS37" i="3"/>
  <c r="AR37" i="3"/>
  <c r="AT37" i="3" s="1"/>
  <c r="AO37" i="3"/>
  <c r="AN37" i="3"/>
  <c r="AP37" i="3" s="1"/>
  <c r="AK37" i="3"/>
  <c r="AJ37" i="3"/>
  <c r="AL37" i="3" s="1"/>
  <c r="AG37" i="3"/>
  <c r="AF37" i="3"/>
  <c r="AH37" i="3" s="1"/>
  <c r="AD37" i="3"/>
  <c r="AC37" i="3"/>
  <c r="AB37" i="3"/>
  <c r="Y37" i="3"/>
  <c r="X37" i="3"/>
  <c r="Z37" i="3" s="1"/>
  <c r="U37" i="3"/>
  <c r="T37" i="3"/>
  <c r="V37" i="3" s="1"/>
  <c r="R37" i="3"/>
  <c r="Q37" i="3"/>
  <c r="P37" i="3"/>
  <c r="M37" i="3"/>
  <c r="L37" i="3"/>
  <c r="N37" i="3" s="1"/>
  <c r="I37" i="3"/>
  <c r="H37" i="3"/>
  <c r="J37" i="3" s="1"/>
  <c r="AY36" i="3"/>
  <c r="AW36" i="3"/>
  <c r="AV36" i="3"/>
  <c r="AX36" i="3" s="1"/>
  <c r="AS36" i="3"/>
  <c r="AO36" i="3"/>
  <c r="AN36" i="3"/>
  <c r="AP36" i="3" s="1"/>
  <c r="AK36" i="3"/>
  <c r="AJ36" i="3"/>
  <c r="AL36" i="3" s="1"/>
  <c r="AG36" i="3"/>
  <c r="AC36" i="3"/>
  <c r="AB36" i="3"/>
  <c r="AD36" i="3" s="1"/>
  <c r="Y36" i="3"/>
  <c r="U36" i="3"/>
  <c r="T36" i="3"/>
  <c r="V36" i="3" s="1"/>
  <c r="Q36" i="3"/>
  <c r="P36" i="3"/>
  <c r="R36" i="3" s="1"/>
  <c r="M36" i="3"/>
  <c r="I36" i="3"/>
  <c r="H36" i="3"/>
  <c r="J36" i="3" s="1"/>
  <c r="E36" i="3"/>
  <c r="BC35" i="3"/>
  <c r="BA35" i="3"/>
  <c r="AY35" i="3"/>
  <c r="AW35" i="3"/>
  <c r="AS35" i="3"/>
  <c r="AO35" i="3"/>
  <c r="AK35" i="3"/>
  <c r="AG35" i="3"/>
  <c r="AC35" i="3"/>
  <c r="Y35" i="3"/>
  <c r="U35" i="3"/>
  <c r="Q35" i="3"/>
  <c r="P35" i="3"/>
  <c r="M35" i="3"/>
  <c r="I35" i="3"/>
  <c r="E35" i="3"/>
  <c r="AN35" i="3" s="1"/>
  <c r="BD34" i="3"/>
  <c r="BB34" i="3"/>
  <c r="AX34" i="3"/>
  <c r="AT34" i="3"/>
  <c r="AP34" i="3"/>
  <c r="AL34" i="3"/>
  <c r="AH34" i="3"/>
  <c r="AD34" i="3"/>
  <c r="Z34" i="3"/>
  <c r="V34" i="3"/>
  <c r="R34" i="3"/>
  <c r="N34" i="3"/>
  <c r="J34" i="3"/>
  <c r="BS33" i="3"/>
  <c r="BV33" i="3" s="1"/>
  <c r="BQ33" i="3"/>
  <c r="BT33" i="3" s="1"/>
  <c r="BW33" i="3" s="1"/>
  <c r="BP33" i="3"/>
  <c r="BN33" i="3"/>
  <c r="BO33" i="3" s="1"/>
  <c r="BJ32" i="3"/>
  <c r="BK32" i="3" s="1"/>
  <c r="BI32" i="3"/>
  <c r="BC32" i="3"/>
  <c r="BA32" i="3"/>
  <c r="AW32" i="3"/>
  <c r="AS32" i="3"/>
  <c r="AO32" i="3"/>
  <c r="AK32" i="3"/>
  <c r="AG32" i="3"/>
  <c r="AC32" i="3"/>
  <c r="Y32" i="3"/>
  <c r="U32" i="3"/>
  <c r="Q32" i="3"/>
  <c r="M32" i="3"/>
  <c r="I32" i="3"/>
  <c r="E32" i="3"/>
  <c r="K30" i="3"/>
  <c r="BI29" i="3"/>
  <c r="BJ29" i="3" s="1"/>
  <c r="BK29" i="3" s="1"/>
  <c r="AX29" i="3"/>
  <c r="AV29" i="3"/>
  <c r="AW29" i="3"/>
  <c r="AO29" i="3"/>
  <c r="AG29" i="3"/>
  <c r="Y29" i="3"/>
  <c r="P29" i="3"/>
  <c r="R29" i="3" s="1"/>
  <c r="Q29" i="3"/>
  <c r="E29" i="3"/>
  <c r="H29" i="3" s="1"/>
  <c r="BI28" i="3"/>
  <c r="BJ28" i="3" s="1"/>
  <c r="BK28" i="3" s="1"/>
  <c r="BB28" i="3"/>
  <c r="BA28" i="3"/>
  <c r="AZ28" i="3"/>
  <c r="AS28" i="3"/>
  <c r="AJ28" i="3"/>
  <c r="AL28" i="3" s="1"/>
  <c r="AK28" i="3"/>
  <c r="AC28" i="3"/>
  <c r="U28" i="3"/>
  <c r="V28" i="3" s="1"/>
  <c r="T28" i="3"/>
  <c r="L28" i="3"/>
  <c r="E28" i="3"/>
  <c r="BI27" i="3"/>
  <c r="BJ27" i="3" s="1"/>
  <c r="BK27" i="3" s="1"/>
  <c r="AW27" i="3"/>
  <c r="AV27" i="3"/>
  <c r="AX27" i="3" s="1"/>
  <c r="AO27" i="3"/>
  <c r="AF27" i="3"/>
  <c r="AG27" i="3"/>
  <c r="Y27" i="3"/>
  <c r="Q27" i="3"/>
  <c r="P27" i="3"/>
  <c r="R27" i="3" s="1"/>
  <c r="E27" i="3"/>
  <c r="BI26" i="3"/>
  <c r="BJ26" i="3" s="1"/>
  <c r="BK26" i="3" s="1"/>
  <c r="BA26" i="3"/>
  <c r="AZ26" i="3"/>
  <c r="AK26" i="3"/>
  <c r="AJ26" i="3"/>
  <c r="AL26" i="3" s="1"/>
  <c r="AG26" i="3"/>
  <c r="AF26" i="3"/>
  <c r="AC26" i="3"/>
  <c r="Y26" i="3"/>
  <c r="X26" i="3"/>
  <c r="Z26" i="3" s="1"/>
  <c r="U26" i="3"/>
  <c r="Q26" i="3"/>
  <c r="M26" i="3"/>
  <c r="L26" i="3"/>
  <c r="N26" i="3" s="1"/>
  <c r="I26" i="3"/>
  <c r="H26" i="3"/>
  <c r="J26" i="3" s="1"/>
  <c r="E26" i="3"/>
  <c r="BI25" i="3"/>
  <c r="BJ25" i="3" s="1"/>
  <c r="BK25" i="3" s="1"/>
  <c r="AW25" i="3"/>
  <c r="AS25" i="3"/>
  <c r="AK25" i="3"/>
  <c r="AG25" i="3"/>
  <c r="AC25" i="3"/>
  <c r="Y25" i="3"/>
  <c r="X25" i="3"/>
  <c r="Z25" i="3" s="1"/>
  <c r="Q25" i="3"/>
  <c r="M25" i="3"/>
  <c r="E25" i="3"/>
  <c r="BI24" i="3"/>
  <c r="BJ24" i="3" s="1"/>
  <c r="BK24" i="3" s="1"/>
  <c r="AW24" i="3"/>
  <c r="AS24" i="3"/>
  <c r="AO24" i="3"/>
  <c r="AK24" i="3"/>
  <c r="AG24" i="3"/>
  <c r="AC24" i="3"/>
  <c r="U24" i="3"/>
  <c r="Q24" i="3"/>
  <c r="I24" i="3"/>
  <c r="E24" i="3"/>
  <c r="BI23" i="3"/>
  <c r="BJ23" i="3" s="1"/>
  <c r="BK23" i="3" s="1"/>
  <c r="AW23" i="3"/>
  <c r="AS23" i="3"/>
  <c r="AR23" i="3"/>
  <c r="AT23" i="3" s="1"/>
  <c r="AO23" i="3"/>
  <c r="AK23" i="3"/>
  <c r="AG23" i="3"/>
  <c r="AF23" i="3"/>
  <c r="AH23" i="3" s="1"/>
  <c r="AC23" i="3"/>
  <c r="Y23" i="3"/>
  <c r="U23" i="3"/>
  <c r="Q23" i="3"/>
  <c r="P23" i="3"/>
  <c r="R23" i="3" s="1"/>
  <c r="M23" i="3"/>
  <c r="E23" i="3"/>
  <c r="BI22" i="3"/>
  <c r="BJ22" i="3" s="1"/>
  <c r="BK22" i="3" s="1"/>
  <c r="BA22" i="3"/>
  <c r="AW22" i="3"/>
  <c r="AO22" i="3"/>
  <c r="AK22" i="3"/>
  <c r="AG22" i="3"/>
  <c r="AC22" i="3"/>
  <c r="Y22" i="3"/>
  <c r="U22" i="3"/>
  <c r="Q22" i="3"/>
  <c r="M22" i="3"/>
  <c r="E22" i="3"/>
  <c r="BI21" i="3"/>
  <c r="BJ21" i="3" s="1"/>
  <c r="BK21" i="3" s="1"/>
  <c r="BA21" i="3"/>
  <c r="AW21" i="3"/>
  <c r="AO21" i="3"/>
  <c r="AG21" i="3"/>
  <c r="AC21" i="3"/>
  <c r="Y21" i="3"/>
  <c r="U21" i="3"/>
  <c r="Q21" i="3"/>
  <c r="M21" i="3"/>
  <c r="I21" i="3"/>
  <c r="E21" i="3"/>
  <c r="AV21" i="3" s="1"/>
  <c r="AX21" i="3" s="1"/>
  <c r="BI20" i="3"/>
  <c r="BJ20" i="3" s="1"/>
  <c r="BK20" i="3" s="1"/>
  <c r="BA20" i="3"/>
  <c r="AW20" i="3"/>
  <c r="AS20" i="3"/>
  <c r="AO20" i="3"/>
  <c r="AN20" i="3"/>
  <c r="AP20" i="3" s="1"/>
  <c r="AK20" i="3"/>
  <c r="AG20" i="3"/>
  <c r="AC20" i="3"/>
  <c r="AB20" i="3"/>
  <c r="AD20" i="3" s="1"/>
  <c r="Y20" i="3"/>
  <c r="U20" i="3"/>
  <c r="T20" i="3"/>
  <c r="V20" i="3" s="1"/>
  <c r="Q20" i="3"/>
  <c r="M20" i="3"/>
  <c r="E20" i="3"/>
  <c r="BJ19" i="3"/>
  <c r="BK19" i="3" s="1"/>
  <c r="BI19" i="3"/>
  <c r="BA19" i="3"/>
  <c r="AW19" i="3"/>
  <c r="AV19" i="3"/>
  <c r="AX19" i="3" s="1"/>
  <c r="AS19" i="3"/>
  <c r="AO19" i="3"/>
  <c r="AN19" i="3"/>
  <c r="AP19" i="3" s="1"/>
  <c r="AK19" i="3"/>
  <c r="AL19" i="3" s="1"/>
  <c r="AJ19" i="3"/>
  <c r="AG19" i="3"/>
  <c r="AC19" i="3"/>
  <c r="AB19" i="3"/>
  <c r="AD19" i="3" s="1"/>
  <c r="Y19" i="3"/>
  <c r="U19" i="3"/>
  <c r="Q19" i="3"/>
  <c r="M19" i="3"/>
  <c r="L19" i="3"/>
  <c r="N19" i="3" s="1"/>
  <c r="E19" i="3"/>
  <c r="AZ19" i="3" s="1"/>
  <c r="BB19" i="3" s="1"/>
  <c r="BI18" i="3"/>
  <c r="BJ18" i="3" s="1"/>
  <c r="BK18" i="3" s="1"/>
  <c r="BC18" i="3"/>
  <c r="BA18" i="3"/>
  <c r="AW18" i="3"/>
  <c r="AT18" i="3"/>
  <c r="AS18" i="3"/>
  <c r="AR18" i="3"/>
  <c r="AM30" i="3"/>
  <c r="AL18" i="3"/>
  <c r="AK18" i="3"/>
  <c r="AJ18" i="3"/>
  <c r="AG18" i="3"/>
  <c r="AD18" i="3"/>
  <c r="AC18" i="3"/>
  <c r="Y18" i="3"/>
  <c r="U18" i="3"/>
  <c r="T18" i="3"/>
  <c r="Q18" i="3"/>
  <c r="M18" i="3"/>
  <c r="L18" i="3"/>
  <c r="N18" i="3" s="1"/>
  <c r="I18" i="3"/>
  <c r="E18" i="3"/>
  <c r="AB18" i="3" s="1"/>
  <c r="BJ17" i="3"/>
  <c r="BK17" i="3" s="1"/>
  <c r="BI17" i="3"/>
  <c r="BA17" i="3"/>
  <c r="AV17" i="3"/>
  <c r="AS17" i="3"/>
  <c r="AO17" i="3"/>
  <c r="AN17" i="3"/>
  <c r="AP17" i="3" s="1"/>
  <c r="AI30" i="3"/>
  <c r="U17" i="3"/>
  <c r="Q17" i="3"/>
  <c r="M17" i="3"/>
  <c r="L17" i="3"/>
  <c r="I17" i="3"/>
  <c r="E17" i="3"/>
  <c r="T17" i="3" s="1"/>
  <c r="V17" i="3" s="1"/>
  <c r="BK15" i="3"/>
  <c r="BJ15" i="3"/>
  <c r="S15" i="3"/>
  <c r="BA14" i="3"/>
  <c r="AS14" i="3"/>
  <c r="AK14" i="3"/>
  <c r="AC14" i="3"/>
  <c r="U14" i="3"/>
  <c r="M14" i="3"/>
  <c r="E14" i="3"/>
  <c r="BA13" i="3"/>
  <c r="AS13" i="3"/>
  <c r="AK13" i="3"/>
  <c r="AB13" i="3"/>
  <c r="AD13" i="3" s="1"/>
  <c r="AC13" i="3"/>
  <c r="U13" i="3"/>
  <c r="M13" i="3"/>
  <c r="E13" i="3"/>
  <c r="BA12" i="3"/>
  <c r="AW12" i="3"/>
  <c r="AV12" i="3"/>
  <c r="AX12" i="3" s="1"/>
  <c r="AS12" i="3"/>
  <c r="AO12" i="3"/>
  <c r="AK12" i="3"/>
  <c r="AG12" i="3"/>
  <c r="AF12" i="3"/>
  <c r="AH12" i="3" s="1"/>
  <c r="AC12" i="3"/>
  <c r="X12" i="3"/>
  <c r="U12" i="3"/>
  <c r="Q12" i="3"/>
  <c r="P12" i="3"/>
  <c r="R12" i="3" s="1"/>
  <c r="M12" i="3"/>
  <c r="BC12" i="3"/>
  <c r="E12" i="3"/>
  <c r="BC11" i="3"/>
  <c r="BA11" i="3"/>
  <c r="AW11" i="3"/>
  <c r="AS11" i="3"/>
  <c r="AO11" i="3"/>
  <c r="AK11" i="3"/>
  <c r="AG11" i="3"/>
  <c r="AC11" i="3"/>
  <c r="Y11" i="3"/>
  <c r="U11" i="3"/>
  <c r="Q11" i="3"/>
  <c r="M11" i="3"/>
  <c r="I11" i="3"/>
  <c r="E11" i="3"/>
  <c r="AZ11" i="3" s="1"/>
  <c r="BW10" i="3"/>
  <c r="BT10" i="3"/>
  <c r="BQ10" i="3"/>
  <c r="BI10" i="3"/>
  <c r="BI15" i="3" s="1"/>
  <c r="BH10" i="3"/>
  <c r="BH42" i="3" s="1"/>
  <c r="BA10" i="3"/>
  <c r="AW10" i="3"/>
  <c r="AS10" i="3"/>
  <c r="AO10" i="3"/>
  <c r="AK10" i="3"/>
  <c r="AG10" i="3"/>
  <c r="AC10" i="3"/>
  <c r="Y10" i="3"/>
  <c r="BE10" i="3" s="1"/>
  <c r="U10" i="3"/>
  <c r="Q10" i="3"/>
  <c r="M10" i="3"/>
  <c r="I10" i="3"/>
  <c r="E10" i="3"/>
  <c r="AJ10" i="3" s="1"/>
  <c r="AL10" i="3" s="1"/>
  <c r="BW9" i="3"/>
  <c r="BV9" i="3"/>
  <c r="BX9" i="3" s="1"/>
  <c r="BU9" i="3"/>
  <c r="BT9" i="3"/>
  <c r="BS9" i="3"/>
  <c r="BQ9" i="3"/>
  <c r="BR9" i="3" s="1"/>
  <c r="BP9" i="3"/>
  <c r="BN9" i="3"/>
  <c r="BM9" i="3"/>
  <c r="BO9" i="3" s="1"/>
  <c r="BA9" i="3"/>
  <c r="AW9" i="3"/>
  <c r="AV9" i="3"/>
  <c r="AX9" i="3" s="1"/>
  <c r="AS9" i="3"/>
  <c r="AO9" i="3"/>
  <c r="AK9" i="3"/>
  <c r="AJ9" i="3"/>
  <c r="AL9" i="3" s="1"/>
  <c r="AG9" i="3"/>
  <c r="AF9" i="3"/>
  <c r="AH9" i="3" s="1"/>
  <c r="AC9" i="3"/>
  <c r="AB9" i="3"/>
  <c r="AD9" i="3" s="1"/>
  <c r="AA15" i="3"/>
  <c r="Y9" i="3"/>
  <c r="X9" i="3"/>
  <c r="Z9" i="3" s="1"/>
  <c r="U9" i="3"/>
  <c r="T9" i="3"/>
  <c r="V9" i="3" s="1"/>
  <c r="Q9" i="3"/>
  <c r="L9" i="3"/>
  <c r="I9" i="3"/>
  <c r="E9" i="3"/>
  <c r="AR9" i="3" s="1"/>
  <c r="AT9" i="3" s="1"/>
  <c r="BW8" i="3"/>
  <c r="BV8" i="3"/>
  <c r="BX8" i="3" s="1"/>
  <c r="BT8" i="3"/>
  <c r="BQ8" i="3"/>
  <c r="BN8" i="3"/>
  <c r="BA8" i="3"/>
  <c r="AZ8" i="3"/>
  <c r="AW8" i="3"/>
  <c r="AQ15" i="3"/>
  <c r="AO8" i="3"/>
  <c r="AK8" i="3"/>
  <c r="AG8" i="3"/>
  <c r="AC8" i="3"/>
  <c r="Y8" i="3"/>
  <c r="U8" i="3"/>
  <c r="Q8" i="3"/>
  <c r="M8" i="3"/>
  <c r="L8" i="3"/>
  <c r="N8" i="3" s="1"/>
  <c r="I8" i="3"/>
  <c r="BC8" i="3"/>
  <c r="E8" i="3"/>
  <c r="BM8" i="3" s="1"/>
  <c r="BO8" i="3" s="1"/>
  <c r="BX7" i="3"/>
  <c r="BW7" i="3"/>
  <c r="BV7" i="3"/>
  <c r="BT7" i="3"/>
  <c r="BU7" i="3" s="1"/>
  <c r="BS7" i="3"/>
  <c r="BQ7" i="3"/>
  <c r="BP7" i="3"/>
  <c r="BR7" i="3" s="1"/>
  <c r="BN7" i="3"/>
  <c r="BA7" i="3"/>
  <c r="AW7" i="3"/>
  <c r="AS7" i="3"/>
  <c r="AO7" i="3"/>
  <c r="AJ7" i="3"/>
  <c r="AG7" i="3"/>
  <c r="AC7" i="3"/>
  <c r="Y7" i="3"/>
  <c r="U7" i="3"/>
  <c r="Q7" i="3"/>
  <c r="P7" i="3"/>
  <c r="R7" i="3" s="1"/>
  <c r="M7" i="3"/>
  <c r="I7" i="3"/>
  <c r="E7" i="3"/>
  <c r="AR7" i="3" s="1"/>
  <c r="AT7" i="3" s="1"/>
  <c r="BW6" i="3"/>
  <c r="BT6" i="3"/>
  <c r="BQ6" i="3"/>
  <c r="BP6" i="3"/>
  <c r="BR6" i="3" s="1"/>
  <c r="BN6" i="3"/>
  <c r="AY15" i="3"/>
  <c r="AU15" i="3"/>
  <c r="AS6" i="3"/>
  <c r="AO6" i="3"/>
  <c r="AK6" i="3"/>
  <c r="AG6" i="3"/>
  <c r="AC6" i="3"/>
  <c r="Y6" i="3"/>
  <c r="U6" i="3"/>
  <c r="T6" i="3"/>
  <c r="V6" i="3" s="1"/>
  <c r="K15" i="3"/>
  <c r="E6" i="3"/>
  <c r="AB6" i="3" s="1"/>
  <c r="AD6" i="3" s="1"/>
  <c r="BW5" i="3"/>
  <c r="BW15" i="3" s="1"/>
  <c r="BV5" i="3"/>
  <c r="BT5" i="3"/>
  <c r="BQ5" i="3"/>
  <c r="BN5" i="3"/>
  <c r="BM5" i="3"/>
  <c r="BO5" i="3" s="1"/>
  <c r="BH5" i="3"/>
  <c r="BH15" i="3" s="1"/>
  <c r="BC5" i="3"/>
  <c r="BA5" i="3"/>
  <c r="AZ5" i="3"/>
  <c r="BB5" i="3" s="1"/>
  <c r="AW5" i="3"/>
  <c r="AV5" i="3"/>
  <c r="AT5" i="3"/>
  <c r="AS5" i="3"/>
  <c r="AR5" i="3"/>
  <c r="AO5" i="3"/>
  <c r="AK5" i="3"/>
  <c r="AJ5" i="3"/>
  <c r="AG5" i="3"/>
  <c r="AF5" i="3"/>
  <c r="AH5" i="3" s="1"/>
  <c r="AC5" i="3"/>
  <c r="Y5" i="3"/>
  <c r="Z5" i="3" s="1"/>
  <c r="X5" i="3"/>
  <c r="U5" i="3"/>
  <c r="T5" i="3"/>
  <c r="Q5" i="3"/>
  <c r="P5" i="3"/>
  <c r="N5" i="3"/>
  <c r="M5" i="3"/>
  <c r="L5" i="3"/>
  <c r="I5" i="3"/>
  <c r="E5" i="3"/>
  <c r="AN5" i="3" s="1"/>
  <c r="BE11" i="3" l="1"/>
  <c r="BE9" i="3"/>
  <c r="AP5" i="3"/>
  <c r="BE8" i="3"/>
  <c r="N9" i="3"/>
  <c r="BB11" i="3"/>
  <c r="X8" i="3"/>
  <c r="Z8" i="3" s="1"/>
  <c r="AB10" i="3"/>
  <c r="AD10" i="3" s="1"/>
  <c r="L12" i="3"/>
  <c r="N12" i="3" s="1"/>
  <c r="BC26" i="3"/>
  <c r="AS26" i="3"/>
  <c r="AR26" i="3"/>
  <c r="AT26" i="3" s="1"/>
  <c r="V5" i="3"/>
  <c r="AR15" i="3"/>
  <c r="L6" i="3"/>
  <c r="N6" i="3" s="1"/>
  <c r="N15" i="3" s="1"/>
  <c r="AE15" i="3"/>
  <c r="AM15" i="3"/>
  <c r="AV6" i="3"/>
  <c r="H7" i="3"/>
  <c r="J7" i="3" s="1"/>
  <c r="AB7" i="3"/>
  <c r="AD7" i="3" s="1"/>
  <c r="AK7" i="3"/>
  <c r="AL7" i="3" s="1"/>
  <c r="AV7" i="3"/>
  <c r="AX7" i="3" s="1"/>
  <c r="P8" i="3"/>
  <c r="R8" i="3" s="1"/>
  <c r="AJ8" i="3"/>
  <c r="AL8" i="3" s="1"/>
  <c r="AS8" i="3"/>
  <c r="AS15" i="3" s="1"/>
  <c r="BB8" i="3"/>
  <c r="BP8" i="3"/>
  <c r="BR8" i="3" s="1"/>
  <c r="M9" i="3"/>
  <c r="T10" i="3"/>
  <c r="V10" i="3" s="1"/>
  <c r="AN10" i="3"/>
  <c r="AP10" i="3" s="1"/>
  <c r="BS10" i="3"/>
  <c r="BU10" i="3" s="1"/>
  <c r="H11" i="3"/>
  <c r="J11" i="3" s="1"/>
  <c r="P11" i="3"/>
  <c r="R11" i="3" s="1"/>
  <c r="X11" i="3"/>
  <c r="Z11" i="3" s="1"/>
  <c r="AF11" i="3"/>
  <c r="AH11" i="3" s="1"/>
  <c r="AN11" i="3"/>
  <c r="AP11" i="3" s="1"/>
  <c r="AV11" i="3"/>
  <c r="AX11" i="3" s="1"/>
  <c r="Y12" i="3"/>
  <c r="Y15" i="3" s="1"/>
  <c r="AG13" i="3"/>
  <c r="AG15" i="3" s="1"/>
  <c r="AF13" i="3"/>
  <c r="AR13" i="3"/>
  <c r="AT13" i="3" s="1"/>
  <c r="I14" i="3"/>
  <c r="H14" i="3"/>
  <c r="J14" i="3" s="1"/>
  <c r="Y14" i="3"/>
  <c r="X14" i="3"/>
  <c r="Z14" i="3" s="1"/>
  <c r="AO14" i="3"/>
  <c r="AO15" i="3" s="1"/>
  <c r="AN14" i="3"/>
  <c r="BC14" i="3"/>
  <c r="W30" i="3"/>
  <c r="Y17" i="3"/>
  <c r="X17" i="3"/>
  <c r="AF22" i="3"/>
  <c r="AH22" i="3" s="1"/>
  <c r="R35" i="3"/>
  <c r="BC9" i="3"/>
  <c r="AS21" i="3"/>
  <c r="AS30" i="3" s="1"/>
  <c r="AS40" i="3" s="1"/>
  <c r="AR21" i="3"/>
  <c r="AT21" i="3" s="1"/>
  <c r="M15" i="3"/>
  <c r="BP5" i="3"/>
  <c r="BX5" i="3"/>
  <c r="M6" i="3"/>
  <c r="AF6" i="3"/>
  <c r="AH6" i="3" s="1"/>
  <c r="AN6" i="3"/>
  <c r="AP6" i="3" s="1"/>
  <c r="AW6" i="3"/>
  <c r="AW15" i="3" s="1"/>
  <c r="BS6" i="3"/>
  <c r="BU6" i="3" s="1"/>
  <c r="T7" i="3"/>
  <c r="V7" i="3" s="1"/>
  <c r="H8" i="3"/>
  <c r="J8" i="3" s="1"/>
  <c r="AN9" i="3"/>
  <c r="AP9" i="3" s="1"/>
  <c r="AZ10" i="3"/>
  <c r="AJ12" i="3"/>
  <c r="AL12" i="3" s="1"/>
  <c r="I13" i="3"/>
  <c r="H13" i="3"/>
  <c r="T13" i="3"/>
  <c r="V13" i="3" s="1"/>
  <c r="AW13" i="3"/>
  <c r="AV13" i="3"/>
  <c r="L14" i="3"/>
  <c r="N14" i="3" s="1"/>
  <c r="AB14" i="3"/>
  <c r="AD14" i="3" s="1"/>
  <c r="AR14" i="3"/>
  <c r="AT14" i="3" s="1"/>
  <c r="AU30" i="3"/>
  <c r="AW17" i="3"/>
  <c r="AW30" i="3" s="1"/>
  <c r="AW40" i="3" s="1"/>
  <c r="AR20" i="3"/>
  <c r="AT20" i="3" s="1"/>
  <c r="AZ20" i="3"/>
  <c r="P20" i="3"/>
  <c r="R20" i="3" s="1"/>
  <c r="AJ20" i="3"/>
  <c r="AL20" i="3" s="1"/>
  <c r="AF20" i="3"/>
  <c r="AH20" i="3" s="1"/>
  <c r="L20" i="3"/>
  <c r="N20" i="3" s="1"/>
  <c r="BM15" i="3"/>
  <c r="L22" i="3"/>
  <c r="N22" i="3" s="1"/>
  <c r="AJ22" i="3"/>
  <c r="AL22" i="3" s="1"/>
  <c r="P22" i="3"/>
  <c r="R22" i="3" s="1"/>
  <c r="AZ22" i="3"/>
  <c r="AN22" i="3"/>
  <c r="AP22" i="3" s="1"/>
  <c r="X22" i="3"/>
  <c r="Z22" i="3" s="1"/>
  <c r="AV22" i="3"/>
  <c r="AX22" i="3" s="1"/>
  <c r="H10" i="3"/>
  <c r="J10" i="3" s="1"/>
  <c r="BQ15" i="3"/>
  <c r="X6" i="3"/>
  <c r="Z6" i="3" s="1"/>
  <c r="AN7" i="3"/>
  <c r="AP7" i="3" s="1"/>
  <c r="AB8" i="3"/>
  <c r="AD8" i="3" s="1"/>
  <c r="AV8" i="3"/>
  <c r="AX8" i="3" s="1"/>
  <c r="L10" i="3"/>
  <c r="N10" i="3" s="1"/>
  <c r="AF10" i="3"/>
  <c r="AH10" i="3" s="1"/>
  <c r="BM10" i="3"/>
  <c r="AV30" i="3"/>
  <c r="AX17" i="3"/>
  <c r="I20" i="3"/>
  <c r="H20" i="3"/>
  <c r="BC20" i="3"/>
  <c r="AR24" i="3"/>
  <c r="AT24" i="3" s="1"/>
  <c r="AV24" i="3"/>
  <c r="AX24" i="3" s="1"/>
  <c r="AF24" i="3"/>
  <c r="AH24" i="3" s="1"/>
  <c r="BA24" i="3"/>
  <c r="AZ24" i="3"/>
  <c r="BC6" i="3"/>
  <c r="BC15" i="3" s="1"/>
  <c r="AR12" i="3"/>
  <c r="AT12" i="3" s="1"/>
  <c r="P15" i="3"/>
  <c r="AK15" i="3"/>
  <c r="BE5" i="3"/>
  <c r="G15" i="3"/>
  <c r="O15" i="3"/>
  <c r="BM6" i="3"/>
  <c r="BO6" i="3" s="1"/>
  <c r="L7" i="3"/>
  <c r="N7" i="3" s="1"/>
  <c r="AF7" i="3"/>
  <c r="AH7" i="3" s="1"/>
  <c r="BM7" i="3"/>
  <c r="BO7" i="3" s="1"/>
  <c r="AN8" i="3"/>
  <c r="AP8" i="3" s="1"/>
  <c r="BS8" i="3"/>
  <c r="BU8" i="3" s="1"/>
  <c r="H9" i="3"/>
  <c r="J9" i="3" s="1"/>
  <c r="P9" i="3"/>
  <c r="R9" i="3" s="1"/>
  <c r="AZ9" i="3"/>
  <c r="AR10" i="3"/>
  <c r="AT10" i="3" s="1"/>
  <c r="BN10" i="3"/>
  <c r="BN15" i="3" s="1"/>
  <c r="BV10" i="3"/>
  <c r="BX10" i="3" s="1"/>
  <c r="H12" i="3"/>
  <c r="AB12" i="3"/>
  <c r="AD12" i="3" s="1"/>
  <c r="AN12" i="3"/>
  <c r="AP12" i="3" s="1"/>
  <c r="Y13" i="3"/>
  <c r="X13" i="3"/>
  <c r="Z13" i="3" s="1"/>
  <c r="AJ13" i="3"/>
  <c r="AL13" i="3" s="1"/>
  <c r="BE13" i="3"/>
  <c r="L30" i="3"/>
  <c r="N17" i="3"/>
  <c r="AE30" i="3"/>
  <c r="AG17" i="3"/>
  <c r="AF17" i="3"/>
  <c r="T19" i="3"/>
  <c r="V19" i="3" s="1"/>
  <c r="T21" i="3"/>
  <c r="V21" i="3" s="1"/>
  <c r="AB21" i="3"/>
  <c r="AD21" i="3" s="1"/>
  <c r="P21" i="3"/>
  <c r="R21" i="3" s="1"/>
  <c r="AZ21" i="3"/>
  <c r="L21" i="3"/>
  <c r="N21" i="3" s="1"/>
  <c r="X21" i="3"/>
  <c r="Z21" i="3" s="1"/>
  <c r="AF21" i="3"/>
  <c r="AH21" i="3" s="1"/>
  <c r="H24" i="3"/>
  <c r="J24" i="3" s="1"/>
  <c r="BM34" i="3"/>
  <c r="Q13" i="3"/>
  <c r="P13" i="3"/>
  <c r="R13" i="3" s="1"/>
  <c r="BC7" i="3"/>
  <c r="AB5" i="3"/>
  <c r="AL5" i="3"/>
  <c r="BS5" i="3"/>
  <c r="H6" i="3"/>
  <c r="P6" i="3"/>
  <c r="R6" i="3" s="1"/>
  <c r="AI15" i="3"/>
  <c r="AR6" i="3"/>
  <c r="AT6" i="3" s="1"/>
  <c r="AT15" i="3" s="1"/>
  <c r="AZ6" i="3"/>
  <c r="BV6" i="3"/>
  <c r="BX6" i="3" s="1"/>
  <c r="W15" i="3"/>
  <c r="AZ7" i="3"/>
  <c r="T8" i="3"/>
  <c r="V8" i="3" s="1"/>
  <c r="X10" i="3"/>
  <c r="Z10" i="3" s="1"/>
  <c r="BC10" i="3"/>
  <c r="L11" i="3"/>
  <c r="N11" i="3" s="1"/>
  <c r="T11" i="3"/>
  <c r="V11" i="3" s="1"/>
  <c r="AB11" i="3"/>
  <c r="AD11" i="3" s="1"/>
  <c r="AJ11" i="3"/>
  <c r="AL11" i="3" s="1"/>
  <c r="AR11" i="3"/>
  <c r="AT11" i="3" s="1"/>
  <c r="I12" i="3"/>
  <c r="AZ12" i="3"/>
  <c r="L13" i="3"/>
  <c r="N13" i="3" s="1"/>
  <c r="AZ13" i="3"/>
  <c r="Q14" i="3"/>
  <c r="P14" i="3"/>
  <c r="AG14" i="3"/>
  <c r="AF14" i="3"/>
  <c r="AH14" i="3" s="1"/>
  <c r="AW14" i="3"/>
  <c r="BE14" i="3" s="1"/>
  <c r="AV14" i="3"/>
  <c r="AX14" i="3" s="1"/>
  <c r="AV20" i="3"/>
  <c r="AX20" i="3" s="1"/>
  <c r="AJ25" i="3"/>
  <c r="AL25" i="3" s="1"/>
  <c r="AB25" i="3"/>
  <c r="AD25" i="3" s="1"/>
  <c r="P25" i="3"/>
  <c r="R25" i="3" s="1"/>
  <c r="AV25" i="3"/>
  <c r="AX25" i="3" s="1"/>
  <c r="AQ30" i="3"/>
  <c r="BR33" i="3"/>
  <c r="AP35" i="3"/>
  <c r="AV10" i="3"/>
  <c r="AX10" i="3" s="1"/>
  <c r="U15" i="3"/>
  <c r="AR8" i="3"/>
  <c r="AT8" i="3" s="1"/>
  <c r="H5" i="3"/>
  <c r="R5" i="3"/>
  <c r="AC15" i="3"/>
  <c r="AX5" i="3"/>
  <c r="BT15" i="3"/>
  <c r="I6" i="3"/>
  <c r="I15" i="3" s="1"/>
  <c r="I40" i="3" s="1"/>
  <c r="Q6" i="3"/>
  <c r="Q15" i="3" s="1"/>
  <c r="AJ6" i="3"/>
  <c r="AL6" i="3" s="1"/>
  <c r="BA6" i="3"/>
  <c r="BA15" i="3" s="1"/>
  <c r="X7" i="3"/>
  <c r="Z7" i="3" s="1"/>
  <c r="AF8" i="3"/>
  <c r="AH8" i="3" s="1"/>
  <c r="P10" i="3"/>
  <c r="R10" i="3" s="1"/>
  <c r="BP10" i="3"/>
  <c r="BR10" i="3" s="1"/>
  <c r="T12" i="3"/>
  <c r="V12" i="3" s="1"/>
  <c r="AO13" i="3"/>
  <c r="AN13" i="3"/>
  <c r="AP13" i="3" s="1"/>
  <c r="BC13" i="3"/>
  <c r="T14" i="3"/>
  <c r="V14" i="3" s="1"/>
  <c r="AJ14" i="3"/>
  <c r="AL14" i="3" s="1"/>
  <c r="AZ14" i="3"/>
  <c r="V18" i="3"/>
  <c r="BC19" i="3"/>
  <c r="AS22" i="3"/>
  <c r="AR22" i="3"/>
  <c r="AT22" i="3" s="1"/>
  <c r="L23" i="3"/>
  <c r="N23" i="3" s="1"/>
  <c r="AJ23" i="3"/>
  <c r="AL23" i="3" s="1"/>
  <c r="AN23" i="3"/>
  <c r="AP23" i="3" s="1"/>
  <c r="X23" i="3"/>
  <c r="Z23" i="3" s="1"/>
  <c r="H25" i="3"/>
  <c r="J25" i="3" s="1"/>
  <c r="BC25" i="3"/>
  <c r="I25" i="3"/>
  <c r="AC27" i="3"/>
  <c r="AB27" i="3"/>
  <c r="BC22" i="3"/>
  <c r="BC23" i="3"/>
  <c r="I23" i="3"/>
  <c r="AV23" i="3"/>
  <c r="AX23" i="3" s="1"/>
  <c r="X24" i="3"/>
  <c r="Z24" i="3" s="1"/>
  <c r="AK29" i="3"/>
  <c r="AJ29" i="3"/>
  <c r="AL29" i="3" s="1"/>
  <c r="AV32" i="3"/>
  <c r="AX32" i="3" s="1"/>
  <c r="P32" i="3"/>
  <c r="R32" i="3" s="1"/>
  <c r="AJ32" i="3"/>
  <c r="AL32" i="3" s="1"/>
  <c r="AN32" i="3"/>
  <c r="AP32" i="3" s="1"/>
  <c r="AB32" i="3"/>
  <c r="AD32" i="3" s="1"/>
  <c r="AZ32" i="3"/>
  <c r="L32" i="3"/>
  <c r="N32" i="3" s="1"/>
  <c r="X32" i="3"/>
  <c r="Z32" i="3" s="1"/>
  <c r="H32" i="3"/>
  <c r="J32" i="3" s="1"/>
  <c r="G30" i="3"/>
  <c r="P17" i="3"/>
  <c r="O30" i="3"/>
  <c r="AF18" i="3"/>
  <c r="AH18" i="3" s="1"/>
  <c r="AN18" i="3"/>
  <c r="AP18" i="3" s="1"/>
  <c r="AP30" i="3" s="1"/>
  <c r="AV18" i="3"/>
  <c r="AX18" i="3" s="1"/>
  <c r="AF19" i="3"/>
  <c r="AH19" i="3" s="1"/>
  <c r="AK21" i="3"/>
  <c r="AJ21" i="3"/>
  <c r="AL21" i="3" s="1"/>
  <c r="H22" i="3"/>
  <c r="J22" i="3" s="1"/>
  <c r="H23" i="3"/>
  <c r="BC24" i="3"/>
  <c r="Y24" i="3"/>
  <c r="AN24" i="3"/>
  <c r="AP24" i="3" s="1"/>
  <c r="AH27" i="3"/>
  <c r="BC28" i="3"/>
  <c r="M28" i="3"/>
  <c r="N28" i="3" s="1"/>
  <c r="AR28" i="3"/>
  <c r="AT28" i="3" s="1"/>
  <c r="AR32" i="3"/>
  <c r="AT32" i="3" s="1"/>
  <c r="H17" i="3"/>
  <c r="AZ17" i="3"/>
  <c r="H18" i="3"/>
  <c r="J18" i="3" s="1"/>
  <c r="P18" i="3"/>
  <c r="R18" i="3" s="1"/>
  <c r="X18" i="3"/>
  <c r="Z18" i="3" s="1"/>
  <c r="AO18" i="3"/>
  <c r="X19" i="3"/>
  <c r="Z19" i="3" s="1"/>
  <c r="I22" i="3"/>
  <c r="AH26" i="3"/>
  <c r="X29" i="3"/>
  <c r="Z29" i="3" s="1"/>
  <c r="I30" i="3"/>
  <c r="AA30" i="3"/>
  <c r="AR17" i="3"/>
  <c r="P19" i="3"/>
  <c r="R19" i="3" s="1"/>
  <c r="X20" i="3"/>
  <c r="Z20" i="3" s="1"/>
  <c r="AN21" i="3"/>
  <c r="AP21" i="3" s="1"/>
  <c r="AY30" i="3"/>
  <c r="BA23" i="3"/>
  <c r="BA30" i="3" s="1"/>
  <c r="BD26" i="3"/>
  <c r="BM26" i="3" s="1"/>
  <c r="AG28" i="3"/>
  <c r="AF28" i="3"/>
  <c r="AH28" i="3" s="1"/>
  <c r="BC29" i="3"/>
  <c r="AN29" i="3"/>
  <c r="AP29" i="3" s="1"/>
  <c r="AF32" i="3"/>
  <c r="AH32" i="3" s="1"/>
  <c r="AZ35" i="3"/>
  <c r="AF35" i="3"/>
  <c r="T35" i="3"/>
  <c r="X35" i="3"/>
  <c r="L35" i="3"/>
  <c r="AV35" i="3"/>
  <c r="AJ35" i="3"/>
  <c r="H35" i="3"/>
  <c r="AR35" i="3"/>
  <c r="AB17" i="3"/>
  <c r="AJ17" i="3"/>
  <c r="AZ18" i="3"/>
  <c r="H19" i="3"/>
  <c r="J19" i="3" s="1"/>
  <c r="AR19" i="3"/>
  <c r="AT19" i="3" s="1"/>
  <c r="AZ23" i="3"/>
  <c r="P24" i="3"/>
  <c r="R24" i="3" s="1"/>
  <c r="U25" i="3"/>
  <c r="U30" i="3" s="1"/>
  <c r="U40" i="3" s="1"/>
  <c r="T25" i="3"/>
  <c r="AO25" i="3"/>
  <c r="AO30" i="3" s="1"/>
  <c r="AN25" i="3"/>
  <c r="AP25" i="3" s="1"/>
  <c r="BC27" i="3"/>
  <c r="I27" i="3"/>
  <c r="AN27" i="3"/>
  <c r="AP27" i="3" s="1"/>
  <c r="BD37" i="3"/>
  <c r="BM37" i="3" s="1"/>
  <c r="BB37" i="3"/>
  <c r="BF37" i="3" s="1"/>
  <c r="BE37" i="3" s="1"/>
  <c r="BN37" i="3" s="1"/>
  <c r="BQ37" i="3" s="1"/>
  <c r="BT37" i="3" s="1"/>
  <c r="BW37" i="3" s="1"/>
  <c r="AC17" i="3"/>
  <c r="AK17" i="3"/>
  <c r="AK30" i="3" s="1"/>
  <c r="AK40" i="3" s="1"/>
  <c r="BC17" i="3"/>
  <c r="BC30" i="3" s="1"/>
  <c r="BH30" i="3" s="1"/>
  <c r="BI30" i="3" s="1"/>
  <c r="BJ30" i="3" s="1"/>
  <c r="BK30" i="3" s="1"/>
  <c r="S30" i="3"/>
  <c r="I19" i="3"/>
  <c r="BB26" i="3"/>
  <c r="H27" i="3"/>
  <c r="T32" i="3"/>
  <c r="V32" i="3" s="1"/>
  <c r="AB35" i="3"/>
  <c r="BP38" i="3"/>
  <c r="BO38" i="3"/>
  <c r="P26" i="3"/>
  <c r="R26" i="3" s="1"/>
  <c r="U27" i="3"/>
  <c r="T27" i="3"/>
  <c r="BA27" i="3"/>
  <c r="AZ27" i="3"/>
  <c r="Y28" i="3"/>
  <c r="X28" i="3"/>
  <c r="Z28" i="3" s="1"/>
  <c r="AC29" i="3"/>
  <c r="AB29" i="3"/>
  <c r="AW26" i="3"/>
  <c r="AV26" i="3"/>
  <c r="M27" i="3"/>
  <c r="L27" i="3"/>
  <c r="N27" i="3" s="1"/>
  <c r="AS27" i="3"/>
  <c r="AR27" i="3"/>
  <c r="AT27" i="3" s="1"/>
  <c r="Q28" i="3"/>
  <c r="Q30" i="3" s="1"/>
  <c r="Q40" i="3" s="1"/>
  <c r="P28" i="3"/>
  <c r="AW28" i="3"/>
  <c r="AV28" i="3"/>
  <c r="I29" i="3"/>
  <c r="J29" i="3" s="1"/>
  <c r="U29" i="3"/>
  <c r="T29" i="3"/>
  <c r="V29" i="3" s="1"/>
  <c r="BA29" i="3"/>
  <c r="AZ29" i="3"/>
  <c r="BF34" i="3"/>
  <c r="BB36" i="3"/>
  <c r="BA36" i="3"/>
  <c r="BA40" i="3" s="1"/>
  <c r="T22" i="3"/>
  <c r="V22" i="3" s="1"/>
  <c r="AB22" i="3"/>
  <c r="AD22" i="3" s="1"/>
  <c r="AB23" i="3"/>
  <c r="AD23" i="3" s="1"/>
  <c r="AJ24" i="3"/>
  <c r="AL24" i="3" s="1"/>
  <c r="L25" i="3"/>
  <c r="N25" i="3" s="1"/>
  <c r="AB26" i="3"/>
  <c r="AD26" i="3" s="1"/>
  <c r="X27" i="3"/>
  <c r="Z27" i="3" s="1"/>
  <c r="AB28" i="3"/>
  <c r="AD28" i="3" s="1"/>
  <c r="AF29" i="3"/>
  <c r="AH29" i="3" s="1"/>
  <c r="AZ36" i="3"/>
  <c r="H21" i="3"/>
  <c r="J21" i="3" s="1"/>
  <c r="BC21" i="3"/>
  <c r="T23" i="3"/>
  <c r="V23" i="3" s="1"/>
  <c r="L24" i="3"/>
  <c r="T24" i="3"/>
  <c r="V24" i="3" s="1"/>
  <c r="AB24" i="3"/>
  <c r="AD24" i="3" s="1"/>
  <c r="AF25" i="3"/>
  <c r="AH25" i="3" s="1"/>
  <c r="AZ25" i="3"/>
  <c r="T26" i="3"/>
  <c r="V26" i="3" s="1"/>
  <c r="AO26" i="3"/>
  <c r="AN26" i="3"/>
  <c r="AP26" i="3" s="1"/>
  <c r="AK27" i="3"/>
  <c r="AJ27" i="3"/>
  <c r="AL27" i="3" s="1"/>
  <c r="I28" i="3"/>
  <c r="H28" i="3"/>
  <c r="J28" i="3" s="1"/>
  <c r="AO28" i="3"/>
  <c r="AN28" i="3"/>
  <c r="AP28" i="3" s="1"/>
  <c r="M29" i="3"/>
  <c r="L29" i="3"/>
  <c r="N29" i="3" s="1"/>
  <c r="AS29" i="3"/>
  <c r="AR29" i="3"/>
  <c r="AT29" i="3" s="1"/>
  <c r="BC36" i="3"/>
  <c r="M24" i="3"/>
  <c r="M30" i="3" s="1"/>
  <c r="M40" i="3" s="1"/>
  <c r="AR25" i="3"/>
  <c r="AT25" i="3" s="1"/>
  <c r="BA25" i="3"/>
  <c r="X36" i="3"/>
  <c r="Z36" i="3" s="1"/>
  <c r="AR36" i="3"/>
  <c r="AT36" i="3" s="1"/>
  <c r="L36" i="3"/>
  <c r="N36" i="3" s="1"/>
  <c r="AF36" i="3"/>
  <c r="AH36" i="3" s="1"/>
  <c r="BO15" i="3" l="1"/>
  <c r="Z15" i="3"/>
  <c r="AO40" i="3"/>
  <c r="BP26" i="3"/>
  <c r="BF22" i="3"/>
  <c r="BE22" i="3" s="1"/>
  <c r="BN22" i="3" s="1"/>
  <c r="BQ22" i="3" s="1"/>
  <c r="BT22" i="3" s="1"/>
  <c r="BW22" i="3" s="1"/>
  <c r="P30" i="3"/>
  <c r="P40" i="3" s="1"/>
  <c r="R17" i="3"/>
  <c r="R14" i="3"/>
  <c r="AB15" i="3"/>
  <c r="AD5" i="3"/>
  <c r="AD15" i="3" s="1"/>
  <c r="AN30" i="3"/>
  <c r="BF10" i="3"/>
  <c r="J13" i="3"/>
  <c r="BF13" i="3" s="1"/>
  <c r="X15" i="3"/>
  <c r="AP14" i="3"/>
  <c r="BE7" i="3"/>
  <c r="BF19" i="3"/>
  <c r="BE19" i="3" s="1"/>
  <c r="BN19" i="3" s="1"/>
  <c r="BQ19" i="3" s="1"/>
  <c r="BT19" i="3" s="1"/>
  <c r="BW19" i="3" s="1"/>
  <c r="V15" i="3"/>
  <c r="AC30" i="3"/>
  <c r="AC40" i="3" s="1"/>
  <c r="BD18" i="3"/>
  <c r="BM18" i="3" s="1"/>
  <c r="BB18" i="3"/>
  <c r="AX35" i="3"/>
  <c r="BB17" i="3"/>
  <c r="AZ30" i="3"/>
  <c r="BD17" i="3"/>
  <c r="BF32" i="3"/>
  <c r="BE32" i="3" s="1"/>
  <c r="BN32" i="3" s="1"/>
  <c r="BQ32" i="3" s="1"/>
  <c r="BT32" i="3" s="1"/>
  <c r="BW32" i="3" s="1"/>
  <c r="BB9" i="3"/>
  <c r="BD9" i="3"/>
  <c r="BO10" i="3"/>
  <c r="BD5" i="3"/>
  <c r="BD10" i="3"/>
  <c r="BB10" i="3"/>
  <c r="L15" i="3"/>
  <c r="L40" i="3" s="1"/>
  <c r="Z12" i="3"/>
  <c r="J35" i="3"/>
  <c r="BB24" i="3"/>
  <c r="BD24" i="3"/>
  <c r="BM24" i="3" s="1"/>
  <c r="AL35" i="3"/>
  <c r="AJ40" i="3"/>
  <c r="BD14" i="3"/>
  <c r="BB14" i="3"/>
  <c r="AJ30" i="3"/>
  <c r="AL17" i="3"/>
  <c r="AL30" i="3" s="1"/>
  <c r="N35" i="3"/>
  <c r="R15" i="3"/>
  <c r="BB12" i="3"/>
  <c r="BD12" i="3"/>
  <c r="AF30" i="3"/>
  <c r="AF40" i="3" s="1"/>
  <c r="AH17" i="3"/>
  <c r="AH30" i="3" s="1"/>
  <c r="AF15" i="3"/>
  <c r="BX15" i="3"/>
  <c r="X30" i="3"/>
  <c r="Z17" i="3"/>
  <c r="Z30" i="3" s="1"/>
  <c r="BF14" i="3"/>
  <c r="BF7" i="3"/>
  <c r="T15" i="3"/>
  <c r="BD29" i="3"/>
  <c r="BB29" i="3"/>
  <c r="BD23" i="3"/>
  <c r="BM23" i="3" s="1"/>
  <c r="BB23" i="3"/>
  <c r="AZ40" i="3"/>
  <c r="BD35" i="3"/>
  <c r="BB35" i="3"/>
  <c r="BR38" i="3"/>
  <c r="BU38" i="3" s="1"/>
  <c r="BX38" i="3" s="1"/>
  <c r="BS38" i="3"/>
  <c r="BV38" i="3" s="1"/>
  <c r="BB6" i="3"/>
  <c r="BD6" i="3"/>
  <c r="BD13" i="3"/>
  <c r="BB13" i="3"/>
  <c r="BV15" i="3"/>
  <c r="BD27" i="3"/>
  <c r="BB27" i="3"/>
  <c r="AX28" i="3"/>
  <c r="AX26" i="3"/>
  <c r="BF26" i="3" s="1"/>
  <c r="BE26" i="3" s="1"/>
  <c r="BN26" i="3" s="1"/>
  <c r="V27" i="3"/>
  <c r="V30" i="3" s="1"/>
  <c r="J27" i="3"/>
  <c r="BF27" i="3" s="1"/>
  <c r="BO37" i="3"/>
  <c r="BP37" i="3"/>
  <c r="V25" i="3"/>
  <c r="AB30" i="3"/>
  <c r="AD17" i="3"/>
  <c r="X40" i="3"/>
  <c r="Z35" i="3"/>
  <c r="H30" i="3"/>
  <c r="H40" i="3" s="1"/>
  <c r="J17" i="3"/>
  <c r="AD27" i="3"/>
  <c r="BE6" i="3"/>
  <c r="H15" i="3"/>
  <c r="J5" i="3"/>
  <c r="J6" i="3"/>
  <c r="BF6" i="3" s="1"/>
  <c r="BP34" i="3"/>
  <c r="BD21" i="3"/>
  <c r="BM21" i="3" s="1"/>
  <c r="BB21" i="3"/>
  <c r="BF21" i="3" s="1"/>
  <c r="BE21" i="3" s="1"/>
  <c r="BN21" i="3" s="1"/>
  <c r="BQ21" i="3" s="1"/>
  <c r="BT21" i="3" s="1"/>
  <c r="BW21" i="3" s="1"/>
  <c r="AG30" i="3"/>
  <c r="AG40" i="3" s="1"/>
  <c r="BF9" i="3"/>
  <c r="AJ15" i="3"/>
  <c r="BD22" i="3"/>
  <c r="BM22" i="3" s="1"/>
  <c r="BB22" i="3"/>
  <c r="AX13" i="3"/>
  <c r="BF8" i="3"/>
  <c r="BP15" i="3"/>
  <c r="BR5" i="3"/>
  <c r="BR15" i="3" s="1"/>
  <c r="Y30" i="3"/>
  <c r="Y40" i="3" s="1"/>
  <c r="AX6" i="3"/>
  <c r="AP15" i="3"/>
  <c r="AP40" i="3" s="1"/>
  <c r="BE12" i="3"/>
  <c r="AR40" i="3"/>
  <c r="AT35" i="3"/>
  <c r="AT40" i="3" s="1"/>
  <c r="BD19" i="3"/>
  <c r="BM19" i="3" s="1"/>
  <c r="AD35" i="3"/>
  <c r="AB40" i="3"/>
  <c r="BF18" i="3"/>
  <c r="BE18" i="3" s="1"/>
  <c r="BN18" i="3" s="1"/>
  <c r="BQ18" i="3" s="1"/>
  <c r="BT18" i="3" s="1"/>
  <c r="BW18" i="3" s="1"/>
  <c r="AN40" i="3"/>
  <c r="T40" i="3"/>
  <c r="V35" i="3"/>
  <c r="AR30" i="3"/>
  <c r="AT17" i="3"/>
  <c r="AT30" i="3" s="1"/>
  <c r="BD32" i="3"/>
  <c r="BM32" i="3" s="1"/>
  <c r="BB32" i="3"/>
  <c r="BB7" i="3"/>
  <c r="BD7" i="3"/>
  <c r="BS15" i="3"/>
  <c r="BU5" i="3"/>
  <c r="BU15" i="3" s="1"/>
  <c r="BE15" i="3"/>
  <c r="BD20" i="3"/>
  <c r="BM20" i="3" s="1"/>
  <c r="BB20" i="3"/>
  <c r="BD11" i="3"/>
  <c r="AN15" i="3"/>
  <c r="BF36" i="3"/>
  <c r="BE36" i="3" s="1"/>
  <c r="BN36" i="3" s="1"/>
  <c r="BQ36" i="3" s="1"/>
  <c r="BT36" i="3" s="1"/>
  <c r="BW36" i="3" s="1"/>
  <c r="AX15" i="3"/>
  <c r="N24" i="3"/>
  <c r="BF24" i="3" s="1"/>
  <c r="BE24" i="3" s="1"/>
  <c r="BN24" i="3" s="1"/>
  <c r="BQ24" i="3" s="1"/>
  <c r="BT24" i="3" s="1"/>
  <c r="BW24" i="3" s="1"/>
  <c r="BD25" i="3"/>
  <c r="BM25" i="3" s="1"/>
  <c r="BB25" i="3"/>
  <c r="BF25" i="3" s="1"/>
  <c r="BE25" i="3" s="1"/>
  <c r="BN25" i="3" s="1"/>
  <c r="BQ25" i="3" s="1"/>
  <c r="BT25" i="3" s="1"/>
  <c r="BW25" i="3" s="1"/>
  <c r="BD36" i="3"/>
  <c r="BM36" i="3" s="1"/>
  <c r="BE34" i="3"/>
  <c r="R28" i="3"/>
  <c r="BF28" i="3" s="1"/>
  <c r="AD29" i="3"/>
  <c r="BF29" i="3" s="1"/>
  <c r="BD28" i="3"/>
  <c r="AH35" i="3"/>
  <c r="J23" i="3"/>
  <c r="AL15" i="3"/>
  <c r="N30" i="3"/>
  <c r="J12" i="3"/>
  <c r="BF12" i="3" s="1"/>
  <c r="AV15" i="3"/>
  <c r="AV40" i="3" s="1"/>
  <c r="J20" i="3"/>
  <c r="T30" i="3"/>
  <c r="AZ15" i="3"/>
  <c r="AH13" i="3"/>
  <c r="AH15" i="3" s="1"/>
  <c r="BF11" i="3"/>
  <c r="BD8" i="3"/>
  <c r="BQ26" i="3" l="1"/>
  <c r="BT26" i="3" s="1"/>
  <c r="BW26" i="3" s="1"/>
  <c r="BO26" i="3"/>
  <c r="BE28" i="3"/>
  <c r="BM28" i="3"/>
  <c r="BR28" i="3" s="1"/>
  <c r="BU28" i="3" s="1"/>
  <c r="BX28" i="3" s="1"/>
  <c r="BM29" i="3"/>
  <c r="BR29" i="3" s="1"/>
  <c r="BU29" i="3" s="1"/>
  <c r="BX29" i="3" s="1"/>
  <c r="BE29" i="3"/>
  <c r="BM35" i="3"/>
  <c r="BD40" i="3"/>
  <c r="BD42" i="3" s="1"/>
  <c r="BN34" i="3"/>
  <c r="Z40" i="3"/>
  <c r="BP36" i="3"/>
  <c r="BO36" i="3"/>
  <c r="BO22" i="3"/>
  <c r="BP22" i="3"/>
  <c r="BO24" i="3"/>
  <c r="BP24" i="3"/>
  <c r="BF23" i="3"/>
  <c r="BE23" i="3" s="1"/>
  <c r="BN23" i="3" s="1"/>
  <c r="BQ23" i="3" s="1"/>
  <c r="BT23" i="3" s="1"/>
  <c r="BW23" i="3" s="1"/>
  <c r="BO23" i="3"/>
  <c r="BP23" i="3"/>
  <c r="BD15" i="3"/>
  <c r="AH40" i="3"/>
  <c r="BF5" i="3"/>
  <c r="BF15" i="3" s="1"/>
  <c r="J15" i="3"/>
  <c r="J40" i="3" s="1"/>
  <c r="AD30" i="3"/>
  <c r="BB15" i="3"/>
  <c r="BP25" i="3"/>
  <c r="BO25" i="3"/>
  <c r="BP32" i="3"/>
  <c r="BO32" i="3"/>
  <c r="AD40" i="3"/>
  <c r="BF20" i="3"/>
  <c r="BE20" i="3" s="1"/>
  <c r="BN20" i="3" s="1"/>
  <c r="BQ20" i="3" s="1"/>
  <c r="BT20" i="3" s="1"/>
  <c r="BW20" i="3" s="1"/>
  <c r="BP20" i="3"/>
  <c r="BO20" i="3"/>
  <c r="AX30" i="3"/>
  <c r="BF35" i="3"/>
  <c r="BP18" i="3"/>
  <c r="BO18" i="3"/>
  <c r="R30" i="3"/>
  <c r="R40" i="3" s="1"/>
  <c r="V40" i="3"/>
  <c r="BO19" i="3"/>
  <c r="BP19" i="3"/>
  <c r="BS37" i="3"/>
  <c r="BV37" i="3" s="1"/>
  <c r="BR37" i="3"/>
  <c r="BU37" i="3" s="1"/>
  <c r="BX37" i="3" s="1"/>
  <c r="BB40" i="3"/>
  <c r="BD30" i="3"/>
  <c r="BM17" i="3"/>
  <c r="BE27" i="3"/>
  <c r="BM27" i="3"/>
  <c r="BR27" i="3" s="1"/>
  <c r="BU27" i="3" s="1"/>
  <c r="BX27" i="3" s="1"/>
  <c r="AL40" i="3"/>
  <c r="BB30" i="3"/>
  <c r="BR26" i="3"/>
  <c r="BU26" i="3" s="1"/>
  <c r="BX26" i="3" s="1"/>
  <c r="BS26" i="3"/>
  <c r="BV26" i="3" s="1"/>
  <c r="J30" i="3"/>
  <c r="BF17" i="3"/>
  <c r="BO21" i="3"/>
  <c r="BP21" i="3"/>
  <c r="BS34" i="3"/>
  <c r="BV34" i="3" s="1"/>
  <c r="N40" i="3"/>
  <c r="AX40" i="3"/>
  <c r="BS32" i="3" l="1"/>
  <c r="BV32" i="3" s="1"/>
  <c r="BR32" i="3"/>
  <c r="BU32" i="3" s="1"/>
  <c r="BX32" i="3" s="1"/>
  <c r="BE35" i="3"/>
  <c r="BS25" i="3"/>
  <c r="BV25" i="3" s="1"/>
  <c r="BR25" i="3"/>
  <c r="BU25" i="3" s="1"/>
  <c r="BX25" i="3" s="1"/>
  <c r="BS23" i="3"/>
  <c r="BV23" i="3" s="1"/>
  <c r="BR23" i="3"/>
  <c r="BU23" i="3" s="1"/>
  <c r="BX23" i="3" s="1"/>
  <c r="BS36" i="3"/>
  <c r="BV36" i="3" s="1"/>
  <c r="BR36" i="3"/>
  <c r="BU36" i="3" s="1"/>
  <c r="BX36" i="3" s="1"/>
  <c r="BP35" i="3"/>
  <c r="BS19" i="3"/>
  <c r="BV19" i="3" s="1"/>
  <c r="BR19" i="3"/>
  <c r="BU19" i="3" s="1"/>
  <c r="BX19" i="3" s="1"/>
  <c r="BS18" i="3"/>
  <c r="BV18" i="3" s="1"/>
  <c r="BR18" i="3"/>
  <c r="BU18" i="3" s="1"/>
  <c r="BX18" i="3" s="1"/>
  <c r="BS22" i="3"/>
  <c r="BV22" i="3" s="1"/>
  <c r="BR22" i="3"/>
  <c r="BU22" i="3" s="1"/>
  <c r="BX22" i="3" s="1"/>
  <c r="BQ34" i="3"/>
  <c r="BO34" i="3"/>
  <c r="BF30" i="3"/>
  <c r="BF40" i="3" s="1"/>
  <c r="BF42" i="3" s="1"/>
  <c r="BE17" i="3"/>
  <c r="BM30" i="3"/>
  <c r="BM40" i="3" s="1"/>
  <c r="BM43" i="3" s="1"/>
  <c r="BO43" i="3" s="1"/>
  <c r="BP17" i="3"/>
  <c r="BS20" i="3"/>
  <c r="BV20" i="3" s="1"/>
  <c r="BR20" i="3"/>
  <c r="BU20" i="3" s="1"/>
  <c r="BX20" i="3" s="1"/>
  <c r="BS21" i="3"/>
  <c r="BV21" i="3" s="1"/>
  <c r="BR21" i="3"/>
  <c r="BU21" i="3" s="1"/>
  <c r="BX21" i="3" s="1"/>
  <c r="BR24" i="3"/>
  <c r="BU24" i="3" s="1"/>
  <c r="BX24" i="3" s="1"/>
  <c r="BS24" i="3"/>
  <c r="BV24" i="3" s="1"/>
  <c r="BP30" i="3" l="1"/>
  <c r="BP40" i="3" s="1"/>
  <c r="BP43" i="3" s="1"/>
  <c r="BR43" i="3" s="1"/>
  <c r="BS17" i="3"/>
  <c r="BE30" i="3"/>
  <c r="BN17" i="3"/>
  <c r="BS35" i="3"/>
  <c r="BV35" i="3" s="1"/>
  <c r="BT34" i="3"/>
  <c r="BW34" i="3" s="1"/>
  <c r="BR34" i="3"/>
  <c r="BU34" i="3" s="1"/>
  <c r="BX34" i="3" s="1"/>
  <c r="BN35" i="3"/>
  <c r="BE40" i="3"/>
  <c r="BN30" i="3" l="1"/>
  <c r="BN40" i="3" s="1"/>
  <c r="BN47" i="3" s="1"/>
  <c r="BQ17" i="3"/>
  <c r="BO17" i="3"/>
  <c r="BO30" i="3" s="1"/>
  <c r="BQ35" i="3"/>
  <c r="BO35" i="3"/>
  <c r="BS30" i="3"/>
  <c r="BS40" i="3" s="1"/>
  <c r="BS43" i="3" s="1"/>
  <c r="BU43" i="3" s="1"/>
  <c r="BV17" i="3"/>
  <c r="BV30" i="3" s="1"/>
  <c r="BV40" i="3" s="1"/>
  <c r="BV43" i="3" s="1"/>
  <c r="BX43" i="3" s="1"/>
  <c r="BT35" i="3" l="1"/>
  <c r="BW35" i="3" s="1"/>
  <c r="BR35" i="3"/>
  <c r="BU35" i="3" s="1"/>
  <c r="BX35" i="3" s="1"/>
  <c r="BO40" i="3"/>
  <c r="BO44" i="3" s="1"/>
  <c r="BT17" i="3"/>
  <c r="BQ30" i="3"/>
  <c r="BQ40" i="3" s="1"/>
  <c r="BR17" i="3"/>
  <c r="BR30" i="3" l="1"/>
  <c r="BR40" i="3" s="1"/>
  <c r="BR44" i="3" s="1"/>
  <c r="BU17" i="3"/>
  <c r="BT30" i="3"/>
  <c r="BT40" i="3" s="1"/>
  <c r="BW17" i="3"/>
  <c r="BW30" i="3" s="1"/>
  <c r="BW40" i="3" s="1"/>
  <c r="BU30" i="3" l="1"/>
  <c r="BU40" i="3" s="1"/>
  <c r="BU44" i="3" s="1"/>
  <c r="BX17" i="3"/>
  <c r="BX30" i="3" s="1"/>
  <c r="BX40" i="3" s="1"/>
  <c r="BX44" i="3" s="1"/>
  <c r="E15" i="1" l="1"/>
  <c r="E14" i="1"/>
  <c r="E13" i="1"/>
  <c r="E12" i="1"/>
  <c r="E11" i="1"/>
  <c r="E10" i="1"/>
  <c r="E9" i="1"/>
  <c r="E8" i="1"/>
  <c r="E7" i="1"/>
  <c r="E6" i="1"/>
  <c r="E5" i="1"/>
  <c r="E4" i="1"/>
  <c r="E3" i="1"/>
</calcChain>
</file>

<file path=xl/sharedStrings.xml><?xml version="1.0" encoding="utf-8"?>
<sst xmlns="http://schemas.openxmlformats.org/spreadsheetml/2006/main" count="2564" uniqueCount="720">
  <si>
    <t>Downloaded from NOAA website</t>
  </si>
  <si>
    <t>STATION</t>
  </si>
  <si>
    <t>NAME</t>
  </si>
  <si>
    <t>DATE</t>
  </si>
  <si>
    <t>HTDD</t>
  </si>
  <si>
    <t>USW00014944</t>
  </si>
  <si>
    <t>SIOUX FALLS FOSS FIELD, SD US</t>
  </si>
  <si>
    <t>2024-12</t>
  </si>
  <si>
    <t>2025-01</t>
  </si>
  <si>
    <t>2025-02</t>
  </si>
  <si>
    <t>2025-03</t>
  </si>
  <si>
    <t>2025-04</t>
  </si>
  <si>
    <t>2025-05</t>
  </si>
  <si>
    <t>2025-06</t>
  </si>
  <si>
    <t>2025-07</t>
  </si>
  <si>
    <t>2025-08</t>
  </si>
  <si>
    <t>2025-09</t>
  </si>
  <si>
    <t>2025-10</t>
  </si>
  <si>
    <t>2025-11</t>
  </si>
  <si>
    <t>2025-12</t>
  </si>
  <si>
    <t>CO_CD:</t>
  </si>
  <si>
    <t>15 - IL</t>
  </si>
  <si>
    <t>16 - IA</t>
  </si>
  <si>
    <t>17 - NE</t>
  </si>
  <si>
    <t>18 - SD</t>
  </si>
  <si>
    <t>Sum of SUM(F.PRORT_PC)</t>
  </si>
  <si>
    <t>REV_MO_DT</t>
  </si>
  <si>
    <t>CO_CD</t>
  </si>
  <si>
    <t>FILED_TRF_CD</t>
  </si>
  <si>
    <t>MTR_SZ_TX</t>
  </si>
  <si>
    <t>Grand Total</t>
  </si>
  <si>
    <t>LVI</t>
  </si>
  <si>
    <t>023000</t>
  </si>
  <si>
    <t>LVI Total</t>
  </si>
  <si>
    <t>LVT</t>
  </si>
  <si>
    <t>007000</t>
  </si>
  <si>
    <t>011000</t>
  </si>
  <si>
    <t>016000</t>
  </si>
  <si>
    <t>030000</t>
  </si>
  <si>
    <t>038000</t>
  </si>
  <si>
    <t>060000</t>
  </si>
  <si>
    <t>(blank)</t>
  </si>
  <si>
    <t>LVT Total</t>
  </si>
  <si>
    <t>MTM</t>
  </si>
  <si>
    <t>000402</t>
  </si>
  <si>
    <t>000416</t>
  </si>
  <si>
    <t>000425</t>
  </si>
  <si>
    <t>000630</t>
  </si>
  <si>
    <t>000675</t>
  </si>
  <si>
    <t>000750</t>
  </si>
  <si>
    <t>000800</t>
  </si>
  <si>
    <t>000998</t>
  </si>
  <si>
    <t>001000</t>
  </si>
  <si>
    <t>001400</t>
  </si>
  <si>
    <t>001500</t>
  </si>
  <si>
    <t>002300</t>
  </si>
  <si>
    <t>003000</t>
  </si>
  <si>
    <t>005000</t>
  </si>
  <si>
    <t>MTM Total</t>
  </si>
  <si>
    <t>MVS</t>
  </si>
  <si>
    <t>000250</t>
  </si>
  <si>
    <t>000275</t>
  </si>
  <si>
    <t>000400</t>
  </si>
  <si>
    <t>000415</t>
  </si>
  <si>
    <t>001200</t>
  </si>
  <si>
    <t>001600</t>
  </si>
  <si>
    <t>002000</t>
  </si>
  <si>
    <t>MVS Total</t>
  </si>
  <si>
    <t>MVT</t>
  </si>
  <si>
    <t>MVT Total</t>
  </si>
  <si>
    <t>NFS</t>
  </si>
  <si>
    <t>000000</t>
  </si>
  <si>
    <t>005600</t>
  </si>
  <si>
    <t>NFS Total</t>
  </si>
  <si>
    <t>SSS</t>
  </si>
  <si>
    <t>SSS Total</t>
  </si>
  <si>
    <t>STM</t>
  </si>
  <si>
    <t>000175</t>
  </si>
  <si>
    <t>STM Total</t>
  </si>
  <si>
    <t>SVI</t>
  </si>
  <si>
    <t>SVI Total</t>
  </si>
  <si>
    <t>SVS</t>
  </si>
  <si>
    <t>000200</t>
  </si>
  <si>
    <t>000225</t>
  </si>
  <si>
    <t>000240</t>
  </si>
  <si>
    <t>000305</t>
  </si>
  <si>
    <t>000310</t>
  </si>
  <si>
    <t>000401</t>
  </si>
  <si>
    <t>SVS Total</t>
  </si>
  <si>
    <t>18 Total</t>
  </si>
  <si>
    <t>January</t>
  </si>
  <si>
    <t>February</t>
  </si>
  <si>
    <t>March</t>
  </si>
  <si>
    <t>April</t>
  </si>
  <si>
    <t>May</t>
  </si>
  <si>
    <t>June</t>
  </si>
  <si>
    <t>July</t>
  </si>
  <si>
    <t>August</t>
  </si>
  <si>
    <t>September</t>
  </si>
  <si>
    <t>October</t>
  </si>
  <si>
    <t>November</t>
  </si>
  <si>
    <t>December</t>
  </si>
  <si>
    <t>TOTAL</t>
  </si>
  <si>
    <t>Fusion ID</t>
  </si>
  <si>
    <t>EBS ID</t>
  </si>
  <si>
    <t>Meter Type</t>
  </si>
  <si>
    <t>Unit Cost</t>
  </si>
  <si>
    <t>w/Sales Tax &amp; Shipping</t>
  </si>
  <si>
    <t>Install "Bogie"</t>
  </si>
  <si>
    <t>Qty</t>
  </si>
  <si>
    <t>Unit Cost Total</t>
  </si>
  <si>
    <t>Install           Bogie</t>
  </si>
  <si>
    <t>Total</t>
  </si>
  <si>
    <t>GRAND TOTAL</t>
  </si>
  <si>
    <t>Unit</t>
  </si>
  <si>
    <t>bogie</t>
  </si>
  <si>
    <t>BUDGET</t>
  </si>
  <si>
    <t>2026 est</t>
  </si>
  <si>
    <t>41-10007696</t>
  </si>
  <si>
    <t>369-380180</t>
  </si>
  <si>
    <t>250 (1A)</t>
  </si>
  <si>
    <t>41-10011740</t>
  </si>
  <si>
    <t>369-380182</t>
  </si>
  <si>
    <t>250 (20 LT)</t>
  </si>
  <si>
    <t>41-10010421</t>
  </si>
  <si>
    <t>369-380184</t>
  </si>
  <si>
    <t>Itron - 400</t>
  </si>
  <si>
    <t>41-10010441</t>
  </si>
  <si>
    <t>369-380186</t>
  </si>
  <si>
    <t>American - 600</t>
  </si>
  <si>
    <t>41-10007431</t>
  </si>
  <si>
    <t>369-380188</t>
  </si>
  <si>
    <t>Itron - 1000</t>
  </si>
  <si>
    <t>EEI - 250 class (1A)</t>
  </si>
  <si>
    <t>EEI - 250 class (20 LT)</t>
  </si>
  <si>
    <t>EEI - 400 class</t>
  </si>
  <si>
    <t>EEI - 600 class</t>
  </si>
  <si>
    <t>EEI - 1000 class</t>
  </si>
  <si>
    <t>Diaphragm Total</t>
  </si>
  <si>
    <t>41-10009294</t>
  </si>
  <si>
    <t>369-380107</t>
  </si>
  <si>
    <t>Rotary - 3M TC</t>
  </si>
  <si>
    <t>41-10014126</t>
  </si>
  <si>
    <t>369-380105</t>
  </si>
  <si>
    <t>Rotary - 3M CD</t>
  </si>
  <si>
    <t>41-10014483</t>
  </si>
  <si>
    <t>369-380112</t>
  </si>
  <si>
    <t>Rotary - 5M TC</t>
  </si>
  <si>
    <t>41-10011813</t>
  </si>
  <si>
    <t>369-380110</t>
  </si>
  <si>
    <t>Rotary - 5M CD</t>
  </si>
  <si>
    <t>41-10014581</t>
  </si>
  <si>
    <t>369-380117</t>
  </si>
  <si>
    <t>Rotary - 7M TC</t>
  </si>
  <si>
    <t>41-10014602</t>
  </si>
  <si>
    <t>369-380115</t>
  </si>
  <si>
    <t>Rotary - 7M CD</t>
  </si>
  <si>
    <t>41-10014782</t>
  </si>
  <si>
    <t>369-380120</t>
  </si>
  <si>
    <t>Rotary - 11M TC</t>
  </si>
  <si>
    <t>41-10012416</t>
  </si>
  <si>
    <t>369-380118</t>
  </si>
  <si>
    <t>Rotary - 11M CD</t>
  </si>
  <si>
    <t>41-10013026</t>
  </si>
  <si>
    <t>369-380130</t>
  </si>
  <si>
    <t>Rotary - 16M TC</t>
  </si>
  <si>
    <t>41-10010713</t>
  </si>
  <si>
    <t>369-380125</t>
  </si>
  <si>
    <t>Rotary - 16M CD</t>
  </si>
  <si>
    <t>41-10011764</t>
  </si>
  <si>
    <t>369-380132</t>
  </si>
  <si>
    <t>Rotary - 23M CD</t>
  </si>
  <si>
    <t>41-10014450</t>
  </si>
  <si>
    <t>369-380137</t>
  </si>
  <si>
    <t>Rotary - 38M CD</t>
  </si>
  <si>
    <t>41-10007429</t>
  </si>
  <si>
    <t>369-380143</t>
  </si>
  <si>
    <t>Rotary - 56M CD</t>
  </si>
  <si>
    <t>Rotary Total*</t>
  </si>
  <si>
    <t>est avg cost</t>
  </si>
  <si>
    <t>Instrument Total*</t>
  </si>
  <si>
    <t>Turbine (Spcl Orders)</t>
  </si>
  <si>
    <t>Varies</t>
  </si>
  <si>
    <t>Stock Domestic ERTs</t>
  </si>
  <si>
    <t>Stock LV ERTs</t>
  </si>
  <si>
    <t>ERT Changes/Adds (DSR S1005)</t>
  </si>
  <si>
    <t>Miscellaneous Parts*</t>
  </si>
  <si>
    <t>F/A (Forecast or Actual)</t>
  </si>
  <si>
    <t>F</t>
  </si>
  <si>
    <t>*Rotary Meters, Instruments, stock ERTS, miscellaneous items are stock coded items ordered automatically by the inventory system via a min/max</t>
  </si>
  <si>
    <t>sc</t>
  </si>
  <si>
    <t>G*A</t>
  </si>
  <si>
    <t>G&amp;A</t>
  </si>
  <si>
    <t>reg bogie</t>
  </si>
  <si>
    <t>Cost</t>
  </si>
  <si>
    <t>Regulator Size</t>
  </si>
  <si>
    <t>Equip</t>
  </si>
  <si>
    <t>Installation</t>
  </si>
  <si>
    <t>Weighting</t>
  </si>
  <si>
    <t>3/4"X1"</t>
  </si>
  <si>
    <t>1-1/2"</t>
  </si>
  <si>
    <t>2"</t>
  </si>
  <si>
    <t>Avg of 1-1/2" &amp; 2"</t>
  </si>
  <si>
    <t>Forecast Total</t>
  </si>
  <si>
    <t>REG SIZE</t>
  </si>
  <si>
    <t>w/Sales Tax &amp; shipping</t>
  </si>
  <si>
    <r>
      <t xml:space="preserve">Budget </t>
    </r>
    <r>
      <rPr>
        <b/>
        <sz val="11"/>
        <color rgb="FFFF0000"/>
        <rFont val="Calibri"/>
        <family val="2"/>
        <scheme val="minor"/>
      </rPr>
      <t>Slip</t>
    </r>
    <r>
      <rPr>
        <b/>
        <sz val="11"/>
        <color theme="1"/>
        <rFont val="Calibri"/>
        <family val="2"/>
        <scheme val="minor"/>
      </rPr>
      <t>/Surplus</t>
    </r>
  </si>
  <si>
    <r>
      <t xml:space="preserve">Cumulative Budget </t>
    </r>
    <r>
      <rPr>
        <b/>
        <sz val="11"/>
        <color rgb="FFFF0000"/>
        <rFont val="Calibri"/>
        <family val="2"/>
        <scheme val="minor"/>
      </rPr>
      <t>Slip</t>
    </r>
    <r>
      <rPr>
        <b/>
        <sz val="11"/>
        <color theme="1"/>
        <rFont val="Calibri"/>
        <family val="2"/>
        <scheme val="minor"/>
      </rPr>
      <t>/Surplus</t>
    </r>
  </si>
  <si>
    <t>Actual Receipts</t>
  </si>
  <si>
    <t>Open POs</t>
  </si>
  <si>
    <t>MidAmerican Energy Company</t>
  </si>
  <si>
    <t>MEC-So Dakota SSS</t>
  </si>
  <si>
    <t>Filed tariff SSS CSS tariff SSS</t>
  </si>
  <si>
    <t>Revenue Date 202501 - 202512</t>
  </si>
  <si>
    <t>Rates</t>
  </si>
  <si>
    <t>Therms</t>
  </si>
  <si>
    <t>No. of Bills</t>
  </si>
  <si>
    <t>Demand Therms</t>
  </si>
  <si>
    <t>Excess Use Therms</t>
  </si>
  <si>
    <t>Revenues $</t>
  </si>
  <si>
    <t>-------------</t>
  </si>
  <si>
    <t>Winter - Current 01-APR-2023 - 31-DEC-9999</t>
  </si>
  <si>
    <t>Customer Charge</t>
  </si>
  <si>
    <t>All therms</t>
  </si>
  <si>
    <t>Meter Class Charge 2</t>
  </si>
  <si>
    <t>Meter Class Charge 3</t>
  </si>
  <si>
    <t>Meter Class Charge 4</t>
  </si>
  <si>
    <t>Summer - Current 01-APR-2023 - 31-DEC-9999</t>
  </si>
  <si>
    <t>Units</t>
  </si>
  <si>
    <t>PGA Revenue</t>
  </si>
  <si>
    <t>PGA Rev</t>
  </si>
  <si>
    <t>PGA Adj</t>
  </si>
  <si>
    <t>Net PGA</t>
  </si>
  <si>
    <t>Distribution Charge $</t>
  </si>
  <si>
    <t>Supply Charge $</t>
  </si>
  <si>
    <t>PGA Demand Charge $</t>
  </si>
  <si>
    <t>Rider Revenue</t>
  </si>
  <si>
    <t>Rider Rev</t>
  </si>
  <si>
    <t>Rider Adj</t>
  </si>
  <si>
    <t>Net Rider</t>
  </si>
  <si>
    <t>Energy Efficiency $</t>
  </si>
  <si>
    <t>Renewal Resource Charge (Illinois) $</t>
  </si>
  <si>
    <t>Energy Assistance Charge (Illinois) $</t>
  </si>
  <si>
    <t>Capital Investment Charge</t>
  </si>
  <si>
    <t>Income Tax Adjustment Gas</t>
  </si>
  <si>
    <t>Illinois Gas Utility Assessment</t>
  </si>
  <si>
    <t>Capital Investment Phase-In Adjustment</t>
  </si>
  <si>
    <t>Int Income Tax Adjustment - Gas</t>
  </si>
  <si>
    <t>Rate Case Cost Recovery Fee</t>
  </si>
  <si>
    <t>Rate Equalization Factor</t>
  </si>
  <si>
    <t>Other Revenue</t>
  </si>
  <si>
    <t>Other Rev</t>
  </si>
  <si>
    <t>Other Adj</t>
  </si>
  <si>
    <t>Net Other</t>
  </si>
  <si>
    <t>Sales MDR-Daily Excess Use Penalty $</t>
  </si>
  <si>
    <t>Sales MHQ-Daily Excess Use Penalty $</t>
  </si>
  <si>
    <t>Sales Total Metering Excess Facility $</t>
  </si>
  <si>
    <t>Revenues Without Step Records</t>
  </si>
  <si>
    <t>Revenue</t>
  </si>
  <si>
    <t>% of Tot Revenue</t>
  </si>
  <si>
    <t>% of Tot Units</t>
  </si>
  <si>
    <t>Sales</t>
  </si>
  <si>
    <t>Interim Distribution Charge $</t>
  </si>
  <si>
    <t>Demand Charge $</t>
  </si>
  <si>
    <t>Interim Demand Charge $</t>
  </si>
  <si>
    <t>Meter Class 1 Metering Charge $</t>
  </si>
  <si>
    <t>Interim Meter Class 1 Metering Charge $</t>
  </si>
  <si>
    <t>Meter Class 2 Metering Charge $</t>
  </si>
  <si>
    <t>Interim Meter Class 2 Metering Charge $</t>
  </si>
  <si>
    <t>Meter Class 3 Metering Charge $</t>
  </si>
  <si>
    <t>Interim Meter Class 3 Metering Charge $</t>
  </si>
  <si>
    <t>Meter Class 4 Metering Charge $</t>
  </si>
  <si>
    <t>Interim Meter Class 4 Metering Charge $</t>
  </si>
  <si>
    <t>MHQ Charge $</t>
  </si>
  <si>
    <t>Interim MHQ Charge $</t>
  </si>
  <si>
    <t>Sales Metering Charge $</t>
  </si>
  <si>
    <t>Interim Sales Metering Charge $</t>
  </si>
  <si>
    <t>Transportation</t>
  </si>
  <si>
    <t>Negative Imbalance Charge $</t>
  </si>
  <si>
    <t>FSS Standby Charge $</t>
  </si>
  <si>
    <t>Gas Transport Customer Charge $</t>
  </si>
  <si>
    <t>Interim Gas Transport Customer Charge $</t>
  </si>
  <si>
    <t>Application Fee $</t>
  </si>
  <si>
    <t>Transportation Administration Charge $</t>
  </si>
  <si>
    <t>Interim Transportation Administration Charge $</t>
  </si>
  <si>
    <t>Group Balancing Fee $</t>
  </si>
  <si>
    <t>Return to Sales Fee $</t>
  </si>
  <si>
    <t>Interdepartmental Transportation Gas Revenue $</t>
  </si>
  <si>
    <t>Excess Use Charge $</t>
  </si>
  <si>
    <t>Transportation Metering Charge (Illinois) $</t>
  </si>
  <si>
    <t>Interim Transportation Metering Charge (Illinois) $</t>
  </si>
  <si>
    <t>Gas Transport Charge-Distribution $</t>
  </si>
  <si>
    <t>FSS Pipeline Demand Charge $</t>
  </si>
  <si>
    <t>Late Nomination Charge $</t>
  </si>
  <si>
    <t>Excess Facility Charge $</t>
  </si>
  <si>
    <t>Gas Daily Balancing Service-Reservation $</t>
  </si>
  <si>
    <t>Gas Daily Balancing Service-Commodity $</t>
  </si>
  <si>
    <t>Pipeline Demand Rider $</t>
  </si>
  <si>
    <t>Pipeline Transition Rider $</t>
  </si>
  <si>
    <t>Intra-Day Hourly Metering Charge $</t>
  </si>
  <si>
    <t>Special Transport Charge $</t>
  </si>
  <si>
    <t>Total Revenues Without Step Records</t>
  </si>
  <si>
    <t>Customer Charge Reconciling Factors</t>
  </si>
  <si>
    <t>Customer Charge Dollars-no prorate factor</t>
  </si>
  <si>
    <t>Customer Charge Difference for &gt; 39 days</t>
  </si>
  <si>
    <t>Customer Charge Difference for &lt; -39 days</t>
  </si>
  <si>
    <t>Meter Charge Dollars-no prorate factor</t>
  </si>
  <si>
    <t>Meter Charge Difference for &gt; 39 days</t>
  </si>
  <si>
    <t>Meter Charge Difference for &lt; -39 days</t>
  </si>
  <si>
    <t>Administrative Charge Dollars-no prorate factor</t>
  </si>
  <si>
    <t>Administrative Charge Difference for &gt; 39 days</t>
  </si>
  <si>
    <t>Administrative Charge Difference for &lt; -39 days</t>
  </si>
  <si>
    <t>Total Customer Charge Reconcilement</t>
  </si>
  <si>
    <t>Adjustments to Bills not in Database</t>
  </si>
  <si>
    <t>Adjustments</t>
  </si>
  <si>
    <t>Customer Charge $</t>
  </si>
  <si>
    <t>Meter Class 1 Charge $</t>
  </si>
  <si>
    <t>Meter Class 2 Charge $</t>
  </si>
  <si>
    <t>Meter Class 3 Charge $</t>
  </si>
  <si>
    <t>Meter Class 4 Charge $</t>
  </si>
  <si>
    <t>Total Adjustments to Bills not in Database</t>
  </si>
  <si>
    <t>As Calculated</t>
  </si>
  <si>
    <t>Company Use</t>
  </si>
  <si>
    <t>Total to Compare to Curst</t>
  </si>
  <si>
    <t>Difference-CURST400</t>
  </si>
  <si>
    <t>Adj</t>
  </si>
  <si>
    <t>Net Rev</t>
  </si>
  <si>
    <t>CURST400</t>
  </si>
  <si>
    <t>Net Units</t>
  </si>
  <si>
    <t>GL</t>
  </si>
  <si>
    <t>TERM Reconcilement (NE &amp; SD)</t>
  </si>
  <si>
    <t>Difference GL</t>
  </si>
  <si>
    <t>MEC-So Dakota LVT</t>
  </si>
  <si>
    <t>Filed tariff LVT CSS tariff LVT</t>
  </si>
  <si>
    <t>Total LV Revenues</t>
  </si>
  <si>
    <t>Billing Units</t>
  </si>
  <si>
    <t>Rev w/o Step Records</t>
  </si>
  <si>
    <t>Rate LVI</t>
  </si>
  <si>
    <t>LVT Adj</t>
  </si>
  <si>
    <t>All - Current 01-APR-2023 - 31-DEC-9999</t>
  </si>
  <si>
    <t>Transportation Meter Charge</t>
  </si>
  <si>
    <t>Administrative Charge</t>
  </si>
  <si>
    <t>MDR Charge</t>
  </si>
  <si>
    <t>MHQ Charge</t>
  </si>
  <si>
    <t>Excess Use Charges</t>
  </si>
  <si>
    <t>PGA offset</t>
  </si>
  <si>
    <t>Revenue Month 202501</t>
  </si>
  <si>
    <t>All - Old 15-NOV-2022 - 31-MAR-2023</t>
  </si>
  <si>
    <t>All - Old 01-JUN-2019 - 14-NOV-2022</t>
  </si>
  <si>
    <t>All - Old 01-JUL-2015 - 31-MAY-2019</t>
  </si>
  <si>
    <t>Calculation of Customer Accounts Composite Weights</t>
  </si>
  <si>
    <t xml:space="preserve"> </t>
  </si>
  <si>
    <t>Line</t>
  </si>
  <si>
    <t>Small</t>
  </si>
  <si>
    <t>Medium</t>
  </si>
  <si>
    <t>Large</t>
  </si>
  <si>
    <t>No.</t>
  </si>
  <si>
    <t>Description</t>
  </si>
  <si>
    <t>Amount</t>
  </si>
  <si>
    <t>Volume</t>
  </si>
  <si>
    <t>Notes</t>
  </si>
  <si>
    <t>(a)</t>
  </si>
  <si>
    <t>(b)</t>
  </si>
  <si>
    <t>(c)</t>
  </si>
  <si>
    <t>(d)</t>
  </si>
  <si>
    <t>(e)</t>
  </si>
  <si>
    <t>(f)</t>
  </si>
  <si>
    <t>Direct Customer Accounting Expense (Accounts 903 &amp; 905)</t>
  </si>
  <si>
    <t>Customer Count</t>
  </si>
  <si>
    <t>% Customers</t>
  </si>
  <si>
    <t>Subtotal</t>
  </si>
  <si>
    <t>Uncollectible Accounts Expense (Accoutn 904)</t>
  </si>
  <si>
    <t>Test-Year Revenues</t>
  </si>
  <si>
    <t>% Revenues</t>
  </si>
  <si>
    <t>Direct Customer Information Expense (Accounts 908-910)</t>
  </si>
  <si>
    <t>Methodology is reasonable as most of this expense is related to safety and therefore more targeted towards residential and small commerical</t>
  </si>
  <si>
    <t>Economic Development Expense (912001)</t>
  </si>
  <si>
    <t>Historically, approximately 75% of Account 912 is economic development expense; reasonable allocator as expense indirectly benefits all classes by attracting incremental revenues</t>
  </si>
  <si>
    <t>Acct 912 (less Econ Dev Exp) - Assigned Customer</t>
  </si>
  <si>
    <t>Assigned Customers</t>
  </si>
  <si>
    <t>% Assigned</t>
  </si>
  <si>
    <t>(Account 916 - Misc Exp)</t>
  </si>
  <si>
    <t>SUMMARY</t>
  </si>
  <si>
    <t>Customers</t>
  </si>
  <si>
    <t>Amount per customer</t>
  </si>
  <si>
    <t>Customer Account Weights</t>
  </si>
  <si>
    <t>Regulatory Income Statement-Jurisdiction by Line of Business</t>
  </si>
  <si>
    <t>20430-MidAmerican Energy Co.</t>
  </si>
  <si>
    <t>Ledger Name : BHE US REGULATORY</t>
  </si>
  <si>
    <t>Period Name : Dec-25</t>
  </si>
  <si>
    <t>Legal Entity : 20430-MidAmerican Energy Company</t>
  </si>
  <si>
    <t>Line of Business:  201-201-Gas</t>
  </si>
  <si>
    <t>3450-South Dakota</t>
  </si>
  <si>
    <t>Account</t>
  </si>
  <si>
    <t>Jan</t>
  </si>
  <si>
    <t>Feb</t>
  </si>
  <si>
    <t>Mar</t>
  </si>
  <si>
    <t>Apr</t>
  </si>
  <si>
    <t>Jun</t>
  </si>
  <si>
    <t>Jul</t>
  </si>
  <si>
    <t>Aug</t>
  </si>
  <si>
    <t>Sep</t>
  </si>
  <si>
    <t>Oct</t>
  </si>
  <si>
    <t>Nov</t>
  </si>
  <si>
    <t>Dec</t>
  </si>
  <si>
    <t>Gas Revenues</t>
  </si>
  <si>
    <t>4800000-480 Residential sales</t>
  </si>
  <si>
    <t>4810000-481 Commercial and industrial sales</t>
  </si>
  <si>
    <t>4830000-483 Sales for resale</t>
  </si>
  <si>
    <t>4840000-484 Interdepartmental sales</t>
  </si>
  <si>
    <t>4870000-487 Forfeited discounts</t>
  </si>
  <si>
    <t>4880000-488 Miscellaneous service revenues</t>
  </si>
  <si>
    <t>4893000-489.3 Revenues from transportation of gas of others through distribution</t>
  </si>
  <si>
    <t>4930000-493 Rent from gas property</t>
  </si>
  <si>
    <t>4950000-495 Other gas revenues</t>
  </si>
  <si>
    <t>Gas Revenues (480-496)</t>
  </si>
  <si>
    <t>Rate Case Pro Formas:</t>
  </si>
  <si>
    <t xml:space="preserve">    Weather Normalization</t>
  </si>
  <si>
    <t xml:space="preserve">    Sales Growth</t>
  </si>
  <si>
    <t xml:space="preserve">    PGA Revenues</t>
  </si>
  <si>
    <t xml:space="preserve">    Wholesale Revenues</t>
  </si>
  <si>
    <t xml:space="preserve">    Late Payment Charges</t>
  </si>
  <si>
    <t>Test Year Revenues</t>
  </si>
  <si>
    <t>Test Year Revenues per above</t>
  </si>
  <si>
    <t>Less:</t>
  </si>
  <si>
    <t xml:space="preserve">     Sales Growth</t>
  </si>
  <si>
    <t xml:space="preserve">     Misc Service Revenues</t>
  </si>
  <si>
    <t xml:space="preserve">     Rent from Gas Property</t>
  </si>
  <si>
    <t>Base Rate Revenues</t>
  </si>
  <si>
    <t>retirement_unit</t>
  </si>
  <si>
    <t>major_location</t>
  </si>
  <si>
    <t>ferc_activity_code</t>
  </si>
  <si>
    <t>month_number</t>
  </si>
  <si>
    <t>act_work_order_number</t>
  </si>
  <si>
    <t>activity_quantity</t>
  </si>
  <si>
    <t>activity_cost</t>
  </si>
  <si>
    <t>Avg Cost</t>
  </si>
  <si>
    <t>Count</t>
  </si>
  <si>
    <t>Sm</t>
  </si>
  <si>
    <t>Md</t>
  </si>
  <si>
    <t>Lg</t>
  </si>
  <si>
    <t>Services, Gas</t>
  </si>
  <si>
    <t>Gas Distribution Lines-NE</t>
  </si>
  <si>
    <t>Addition</t>
  </si>
  <si>
    <t>CPKGTD1000003522.CAP_BLK</t>
  </si>
  <si>
    <t>Gas Distribution Lines-IA</t>
  </si>
  <si>
    <t>CAPGDS1000000136.500</t>
  </si>
  <si>
    <t>CAPGDS1000000379.500</t>
  </si>
  <si>
    <t>CPKGTD1000000803.NONMAX</t>
  </si>
  <si>
    <t>CPKGTD1000002803.CAP_BLK</t>
  </si>
  <si>
    <t>CPKGTD1000004410.CAP_BLK</t>
  </si>
  <si>
    <t>CPKGTD1000001897.CAP_BLK</t>
  </si>
  <si>
    <t>CPKGTD1000002402.NONMAX</t>
  </si>
  <si>
    <t>CAPGDS1000000359.440</t>
  </si>
  <si>
    <t>CPKBBL1000000308.NONMAX</t>
  </si>
  <si>
    <t>CPKGTD1000002292.CAP_BLK</t>
  </si>
  <si>
    <t>CAPGDS1000000129.500</t>
  </si>
  <si>
    <t>CAPGDS1000000564.440</t>
  </si>
  <si>
    <t>CPKGTD1000003552.CAP_BLK</t>
  </si>
  <si>
    <t>CPKGTD1000004105.NONMAX</t>
  </si>
  <si>
    <t>CAPGDS1000000562.440</t>
  </si>
  <si>
    <t>CAPGDS1000000562.500</t>
  </si>
  <si>
    <t>CAPGDS1000000739.500</t>
  </si>
  <si>
    <t>CPKGTD1000000348.CAP_BLK</t>
  </si>
  <si>
    <t>CPKGTD1000000375.NONMAX</t>
  </si>
  <si>
    <t>CPKGTD1000000574.CAP_BLK</t>
  </si>
  <si>
    <t>CPKGTD1000000574.NONMAX</t>
  </si>
  <si>
    <t>CPKGTD1000000795.NONMAX</t>
  </si>
  <si>
    <t>CPKGTD1000001910.NONMAX</t>
  </si>
  <si>
    <t>CPKGTD1000001916.CAP_BLK</t>
  </si>
  <si>
    <t>CPKGTD1000002314.NONMAX</t>
  </si>
  <si>
    <t>CPKGTD1000003147.CAP_BLK</t>
  </si>
  <si>
    <t>CPKGTD1000004216.CAP_BLK</t>
  </si>
  <si>
    <t>CPKGTD1000000543.CAP_BLK</t>
  </si>
  <si>
    <t>Gas Distribution Lines-IL</t>
  </si>
  <si>
    <t>CAPGDS1000000313.440</t>
  </si>
  <si>
    <t>CPKGTD1000002585.CAP_BLK</t>
  </si>
  <si>
    <t>CPKGTD1000002598.NONMAX</t>
  </si>
  <si>
    <t>Gas Distribution Lines-SD</t>
  </si>
  <si>
    <t>CPKGTD1000003854.CAP_BLK</t>
  </si>
  <si>
    <t>CPKGTD1000002112.NONMAX</t>
  </si>
  <si>
    <t>CAPGDS1000000421.440</t>
  </si>
  <si>
    <t>CPKBBL1000000041.CAP_BLK</t>
  </si>
  <si>
    <t>CPKGTD1000002400.NONMAX</t>
  </si>
  <si>
    <t>CPKGTD1000003298.CAP_BLK</t>
  </si>
  <si>
    <t>CPKGTD1000000791.NONMAX</t>
  </si>
  <si>
    <t>CAPGDS1000000739.440</t>
  </si>
  <si>
    <t>CPKGTD1000000597.NONMAX</t>
  </si>
  <si>
    <t>CPKGTD1000001912.CAP_BLK</t>
  </si>
  <si>
    <t>CPKGTD1000001627.CAP_BLK</t>
  </si>
  <si>
    <t>CPKGTD1000004128.NONMAX</t>
  </si>
  <si>
    <t>CPKGTD1000001322.CAP_BLK</t>
  </si>
  <si>
    <t>CPKGTD1000004103.NONMAX</t>
  </si>
  <si>
    <t>CPKGTD1000001505.CAP_BLK</t>
  </si>
  <si>
    <t>CPKGTD1000003091.CAP_BLK</t>
  </si>
  <si>
    <t>CPKGTD1000000543.NONMAX</t>
  </si>
  <si>
    <t>CPKGTD1000000566.NONMAX</t>
  </si>
  <si>
    <t>CAPGDS1000000366.440</t>
  </si>
  <si>
    <t>CAPGDS1000000068.10</t>
  </si>
  <si>
    <t>CPKGTD1000000182.NONMAX</t>
  </si>
  <si>
    <t>CPKGTD1000000185.CAP_BLK</t>
  </si>
  <si>
    <t>CPKGTD1000003833.NONMAX</t>
  </si>
  <si>
    <t>CPKGTD1000003835.CAP_BLK</t>
  </si>
  <si>
    <t>CPKBBL1000000326.CAP_BLK</t>
  </si>
  <si>
    <t>CPKBBL1000000326.NONMAX</t>
  </si>
  <si>
    <t>CPKGTD1000003829.CAP_BLK</t>
  </si>
  <si>
    <t>CAPGDS1000000613.10</t>
  </si>
  <si>
    <t>CAPGDS1000000050.500</t>
  </si>
  <si>
    <t>CAPGDS1000000136.440</t>
  </si>
  <si>
    <t>CAPGDS1000000379.440</t>
  </si>
  <si>
    <t>CPKGTD1000002794.CAP_BLK</t>
  </si>
  <si>
    <t>CPKGTD1000004225.CAP_BLK</t>
  </si>
  <si>
    <t>CAPGDS1000000359.500</t>
  </si>
  <si>
    <t>CPKBBL1000000041.NONMAX</t>
  </si>
  <si>
    <t>CPKGTD1000002400.CAP_BLK</t>
  </si>
  <si>
    <t>CPKGTD1000000549.NONMAX</t>
  </si>
  <si>
    <t>CPKGTD1000003298.NONMAX</t>
  </si>
  <si>
    <t>CPKGTD1000001518.NONMAX</t>
  </si>
  <si>
    <t>CPKGTD1000002108.NONMAX</t>
  </si>
  <si>
    <t>CPKGTD1000003147.NONMAX</t>
  </si>
  <si>
    <t>CAPGDS1000000896.500</t>
  </si>
  <si>
    <t>CPKGTD1000002302.NONMAX</t>
  </si>
  <si>
    <t>CPKGTD1000002706.CAP_BLK</t>
  </si>
  <si>
    <t>CPKGTD1000003772.NONMAX</t>
  </si>
  <si>
    <t>CPKGTD1000003517.CAP_BLK</t>
  </si>
  <si>
    <t>CPKGTD1000000566.CAP_BLK</t>
  </si>
  <si>
    <t>CPKGTD1000002289.CAP_BLK</t>
  </si>
  <si>
    <t>CPKGTD1000002681.CAP_BLK</t>
  </si>
  <si>
    <t>CPKGTD1000001211.NONMAX</t>
  </si>
  <si>
    <t>CAPGDS1000000057.440</t>
  </si>
  <si>
    <t>CAPGDS1000000836.500</t>
  </si>
  <si>
    <t>CPKGTD1000000185.NONMAX</t>
  </si>
  <si>
    <t>CPKGTD1000003833.CAP_BLK</t>
  </si>
  <si>
    <t>CPKGTD1000003829.NONMAX</t>
  </si>
  <si>
    <t>CAPGDS1000000104.440</t>
  </si>
  <si>
    <t>CAPGDS1000000130.440</t>
  </si>
  <si>
    <t>CAPGDS1000000133.500</t>
  </si>
  <si>
    <t>CAPGDS1000000186.440</t>
  </si>
  <si>
    <t>CPKGTD1000003740.CAP_BLK</t>
  </si>
  <si>
    <t>CPKGTD1000000586.CAP_BLK</t>
  </si>
  <si>
    <t>CPKGTD1000000586.NONMAX</t>
  </si>
  <si>
    <t>CPKGTD1000000397.CAP_BLK</t>
  </si>
  <si>
    <t>CPKGTD1000000397.NONMAX</t>
  </si>
  <si>
    <t>CPKGTD1000000593.CAP_BLK</t>
  </si>
  <si>
    <t>CPKGTD1000002108.CAP_BLK</t>
  </si>
  <si>
    <t>CAPGDS1000000470.440</t>
  </si>
  <si>
    <t>CPKGTD1000000597.CAP_BLK</t>
  </si>
  <si>
    <t>CPKGTD1000000795.CAP_BLK</t>
  </si>
  <si>
    <t>CPKGTD1000003120.NONMAX</t>
  </si>
  <si>
    <t>CPKGTD1000002314.CAP_BLK</t>
  </si>
  <si>
    <t>CPKGTD1000004214.CAP_BLK</t>
  </si>
  <si>
    <t>CPKGTD1000003772.CAP_BLK</t>
  </si>
  <si>
    <t>CPKGTD1000003294.CAP_BLK</t>
  </si>
  <si>
    <t>CPKGTD1000001897.NONMAX</t>
  </si>
  <si>
    <t>CPKGTD1000003091.NONMAX</t>
  </si>
  <si>
    <t>CPKGTD1000000348.NONMAX</t>
  </si>
  <si>
    <t>CPKGTD1000002583.NONMAX</t>
  </si>
  <si>
    <t>CAPGDS1000000459.500</t>
  </si>
  <si>
    <t>CPKGTD1000003865.NONMAX</t>
  </si>
  <si>
    <t>CPKGTD1000000182.CAP_BLK</t>
  </si>
  <si>
    <t>CPKGTD1000000767.CAP_BLK</t>
  </si>
  <si>
    <t>CPKGTD1000003858.CAP_BLK</t>
  </si>
  <si>
    <t>CAPGDS1000000083.500</t>
  </si>
  <si>
    <t>CAPGDS1000000088.440</t>
  </si>
  <si>
    <t>CAPGDS1000000133.440</t>
  </si>
  <si>
    <t>CPKGTD1000004410.NONMAX</t>
  </si>
  <si>
    <t>CPKGTD1000002304.CAP_BLK</t>
  </si>
  <si>
    <t>CPKGTD1000001716.CAP_BLK</t>
  </si>
  <si>
    <t>CPKGTD1000000549.CAP_BLK</t>
  </si>
  <si>
    <t>CPKBBL1000000081.NONMAX</t>
  </si>
  <si>
    <t>CPKGTD1000004105.CAP_BLK</t>
  </si>
  <si>
    <t>CPKGTD1000000791.CAP_BLK</t>
  </si>
  <si>
    <t>CPKGTD1000001518.CAP_BLK</t>
  </si>
  <si>
    <t>CAPGDS1000000677.440</t>
  </si>
  <si>
    <t>CPKGTD1000001910.CAP_BLK</t>
  </si>
  <si>
    <t>CPKGTD1000003125.NONMAX</t>
  </si>
  <si>
    <t>CAPGDS1000000025.440</t>
  </si>
  <si>
    <t>CPKGTD1000001725.CAP_BLK</t>
  </si>
  <si>
    <t>CPKGTD1000001211.CAP_BLK</t>
  </si>
  <si>
    <t>CPKGTD1000002387.CAP_BLK</t>
  </si>
  <si>
    <t>CAPGDS1000000447.440</t>
  </si>
  <si>
    <t>CAPGDS1000000065.440</t>
  </si>
  <si>
    <t>CAPGDS1000000836.440</t>
  </si>
  <si>
    <t>CAPGDS1000000068.500</t>
  </si>
  <si>
    <t>CAPGDS1000000459.440</t>
  </si>
  <si>
    <t>CPKGTD1000003858.NONMAX</t>
  </si>
  <si>
    <t>CPKGTD1000000160.NONMAX</t>
  </si>
  <si>
    <t>CPKGTD1000000787.CAP_BLK</t>
  </si>
  <si>
    <t>CPKGTD1000000785.CAP_BLK</t>
  </si>
  <si>
    <t>CPKGTD1000003520.CAP_BLK</t>
  </si>
  <si>
    <t>CAPGDS1000001176.A-440</t>
  </si>
  <si>
    <t>CAPGDS1000000114.440</t>
  </si>
  <si>
    <t>CAPGDS1000000130.500</t>
  </si>
  <si>
    <t>CAPGDS1000000113.440</t>
  </si>
  <si>
    <t>CAPGDS1000000362.440</t>
  </si>
  <si>
    <t>CPKGTD1000003326.NONMAX</t>
  </si>
  <si>
    <t>CPKGTD1000002095.CAP_BLK</t>
  </si>
  <si>
    <t/>
  </si>
  <si>
    <t>CPKGTD1000002402.CAP_BLK</t>
  </si>
  <si>
    <t>Total Sample Cost</t>
  </si>
  <si>
    <t>CPKGTD1000001236.CAP_BLK</t>
  </si>
  <si>
    <t>Total Sample Count</t>
  </si>
  <si>
    <t>CPKGTD1000000768.CAP_BLK</t>
  </si>
  <si>
    <t>Sample Average</t>
  </si>
  <si>
    <t>CPKGTD1000003552.NONMAX</t>
  </si>
  <si>
    <t>Ratio vs. Small</t>
  </si>
  <si>
    <t>CAPGDS1000000560.440</t>
  </si>
  <si>
    <t>Rounded</t>
  </si>
  <si>
    <t>CPKGTD1000004118.CAP_BLK</t>
  </si>
  <si>
    <t>CPKGTD1000004118.NONMAX</t>
  </si>
  <si>
    <t>CPKGTD1000000618.CAP_BLK</t>
  </si>
  <si>
    <t>CPKGTD1000001334.NONMAX</t>
  </si>
  <si>
    <t>CPKGTD1000001508.NONMAX</t>
  </si>
  <si>
    <t>CPKGTD1000001916.NONMAX</t>
  </si>
  <si>
    <t>CPKGTD1000004122.NONMAX</t>
  </si>
  <si>
    <t>CPKGTD1000001333.NONMAX</t>
  </si>
  <si>
    <t>CPKGTD1000002302.CAP_BLK</t>
  </si>
  <si>
    <t>CPKGTD1000002313.CAP_BLK</t>
  </si>
  <si>
    <t>CPKGTD1000002412.CAP_BLK</t>
  </si>
  <si>
    <t>CPKGTD1000002412.NONMAX</t>
  </si>
  <si>
    <t>CPKGTD1000002706.NONMAX</t>
  </si>
  <si>
    <t>CPKGTD1000002932.CAP_BLK</t>
  </si>
  <si>
    <t>CPKGTD1000002387.NONMAX</t>
  </si>
  <si>
    <t>CPKGTD1000000764.CAP_BLK</t>
  </si>
  <si>
    <r>
      <t>From:</t>
    </r>
    <r>
      <rPr>
        <sz val="11"/>
        <rFont val="Calibri"/>
        <family val="2"/>
      </rPr>
      <t xml:space="preserve"> Meyers, Brian (MidAmerican) &lt;Brian.Meyers@midamerican.com&gt;</t>
    </r>
  </si>
  <si>
    <t>CPKGTD1000002583.CAP_BLK</t>
  </si>
  <si>
    <r>
      <t>Sent:</t>
    </r>
    <r>
      <rPr>
        <sz val="11"/>
        <rFont val="Calibri"/>
        <family val="2"/>
      </rPr>
      <t xml:space="preserve"> Friday, April 10, 2026 10:03 AM</t>
    </r>
  </si>
  <si>
    <t>CPKGTD1000002598.CAP_BLK</t>
  </si>
  <si>
    <r>
      <t>To:</t>
    </r>
    <r>
      <rPr>
        <sz val="11"/>
        <rFont val="Calibri"/>
        <family val="2"/>
      </rPr>
      <t xml:space="preserve"> Stratton, Stephen (MidAmerican) &lt;Stephen.Stratton@midamerican.com&gt;</t>
    </r>
  </si>
  <si>
    <t>CPCCCR1000000577.A-440</t>
  </si>
  <si>
    <r>
      <t>Subject:</t>
    </r>
    <r>
      <rPr>
        <sz val="11"/>
        <rFont val="Calibri"/>
        <family val="2"/>
      </rPr>
      <t xml:space="preserve"> RE: Gas Service Line and Gas Regulators</t>
    </r>
  </si>
  <si>
    <t>CAPGDS1000000071.500</t>
  </si>
  <si>
    <t>CPKGTD1000003863.CAP_BLK</t>
  </si>
  <si>
    <t xml:space="preserve">This is a bit of a loaded question. </t>
  </si>
  <si>
    <t>CPKGTD1000003865.CAP_BLK</t>
  </si>
  <si>
    <t>CPKGTD1000000763.NONMAX</t>
  </si>
  <si>
    <t xml:space="preserve">For Services we use Maximo As builts to allocate the costs within a project to the different retirement units. Think of these as builts as a piece of the pie. At the end of the day we need to allocate the whole pie so these dollars help come up with the ratio. Hopefully the entire as built is in line with the total costs of the project but that isn’t always the case. </t>
  </si>
  <si>
    <t>CPKBBL1000000329.CAP_BLK</t>
  </si>
  <si>
    <t>CPKBBL1000000329.NONMAX</t>
  </si>
  <si>
    <t xml:space="preserve">We have unitized 28,634 services since the beginning of 2025. That can be unitizing old projects with services on it and CPKs where we get these as builts. Of those we allocated 35,356,646.10 to services, or about 1,235 per service. </t>
  </si>
  <si>
    <t>CPKGTD1000003854.NONMAX</t>
  </si>
  <si>
    <t>CPKGTD1000000160.CAP_BLK</t>
  </si>
  <si>
    <t xml:space="preserve">Regulators are precap’d. We haven’t really unitized them due to system issues since go live but I think we can give you a good number. Will forward on that request in a follow up to this email. </t>
  </si>
  <si>
    <t>CPKGTD1000000205.CAP_BLK</t>
  </si>
  <si>
    <t>CPKGTD1000000785.NONMAX</t>
  </si>
  <si>
    <t>Brian Meyers</t>
  </si>
  <si>
    <t>CPKGTD1000003522.NONMAX</t>
  </si>
  <si>
    <t>Property Accounting</t>
  </si>
  <si>
    <t>CPKGTD1000003520.NONMAX</t>
  </si>
  <si>
    <t>515-281-2647</t>
  </si>
  <si>
    <t>From: Stratton, Stephen (MidAmerican) &lt;Stephen.Stratton@midamerican.com&gt;</t>
  </si>
  <si>
    <r>
      <t>Sent:</t>
    </r>
    <r>
      <rPr>
        <sz val="11"/>
        <rFont val="Calibri"/>
        <family val="2"/>
      </rPr>
      <t xml:space="preserve"> Thursday, March 19, 2026 10:20 AM</t>
    </r>
  </si>
  <si>
    <t>CAPGDS1000000050.440</t>
  </si>
  <si>
    <t>To: Meyers, Brian (MidAmerican) &lt;Brian.Meyers@midamerican.com&gt;</t>
  </si>
  <si>
    <t>CAPGDS1000000197.500</t>
  </si>
  <si>
    <r>
      <t>Subject:</t>
    </r>
    <r>
      <rPr>
        <sz val="11"/>
        <rFont val="Calibri"/>
        <family val="2"/>
      </rPr>
      <t xml:space="preserve"> Gas Service Line and Gas Regulators</t>
    </r>
  </si>
  <si>
    <t>CPKGTD1000002112.CAP_BLK</t>
  </si>
  <si>
    <t>CPKGTD1000002935.CAP_BLK</t>
  </si>
  <si>
    <t>Would you be able to provide the most recent unitized costs for gas service lines and gas regulators (by size)?  I’m not familiar with how either are unitized, especially gas services.  Are they based on length or the pipe size?  If the latter, could I get the detail by size for services as well?</t>
  </si>
  <si>
    <t>CPKGTD1000001618.CAP_BLK</t>
  </si>
  <si>
    <t>CPKBBL1000000308.CAP_BLK</t>
  </si>
  <si>
    <t>Thanks!</t>
  </si>
  <si>
    <t>CAPGDS1000000106.500</t>
  </si>
  <si>
    <t>CPKGTD1000001716.NONMAX</t>
  </si>
  <si>
    <t>CPKGTD1000000593.NONMAX</t>
  </si>
  <si>
    <t>CPKGTD1000001912.NONMAX</t>
  </si>
  <si>
    <t>CPKGTD1000003120.CAP_BLK</t>
  </si>
  <si>
    <t>CPKGTD1000003125.CAP_BLK</t>
  </si>
  <si>
    <t>CPKGTD1000001334.CAP_BLK</t>
  </si>
  <si>
    <t>CPKGTD1000001726.CAP_BLK</t>
  </si>
  <si>
    <t>CPKGTD1000004128.CAP_BLK</t>
  </si>
  <si>
    <t>CPKGTD1000002909.CAP_BLK</t>
  </si>
  <si>
    <t>CPKGTD1000003338.CAP_BLK</t>
  </si>
  <si>
    <t>CPKGTD1000003338.NONMAX</t>
  </si>
  <si>
    <t>CPKBBL1000000133.CAP_BLK</t>
  </si>
  <si>
    <t>CPKGTD1000004201.CAP_BLK</t>
  </si>
  <si>
    <t>CPKGTD1000002289.NONMAX</t>
  </si>
  <si>
    <t>CPKGTD1000003294.NONMAX</t>
  </si>
  <si>
    <t>CAPGDS1000000882.440</t>
  </si>
  <si>
    <t>CAPGDS1000000313.500</t>
  </si>
  <si>
    <t>CPKGTD1000002585.NONMAX</t>
  </si>
  <si>
    <t>CPKGTD1000000763.CAP_BLK</t>
  </si>
  <si>
    <t>CPKGTD1000003835.NONMAX</t>
  </si>
  <si>
    <t>CAPGDS1000000108.500</t>
  </si>
  <si>
    <t>CAPGDS1000000113.500</t>
  </si>
  <si>
    <t>CAPGDS1000000142.440</t>
  </si>
  <si>
    <t>CPKGTD1000000803.CAP_BLK</t>
  </si>
  <si>
    <t>CPKGTD1000002304.NONMAX</t>
  </si>
  <si>
    <t>CAPGDS1000000129.440</t>
  </si>
  <si>
    <t>CPKBBL1000000081.CAP_BLK</t>
  </si>
  <si>
    <t>CAPGDS1000000732.440</t>
  </si>
  <si>
    <t>CPKGTD1000000375.CAP_BLK</t>
  </si>
  <si>
    <t>CPKGTD1000001508.CAP_BLK</t>
  </si>
  <si>
    <t>CPKGTD1000001322.NONMAX</t>
  </si>
  <si>
    <t>CPKGTD1000001333.CAP_BLK</t>
  </si>
  <si>
    <t>CPKGTD1000000764.NONMAX</t>
  </si>
  <si>
    <t>CPKGTD1000001505.NONMAX</t>
  </si>
  <si>
    <t>CPKGTD1000003824.CAP_BLK</t>
  </si>
  <si>
    <t>TOTALS</t>
  </si>
  <si>
    <t>Breakdown of Account 813, 871 Expenses - Transport v. PGA</t>
  </si>
  <si>
    <t>Major Activities</t>
  </si>
  <si>
    <t>Line #</t>
  </si>
  <si>
    <t>Activity</t>
  </si>
  <si>
    <t>Function</t>
  </si>
  <si>
    <t>2023 Act per FRC040</t>
  </si>
  <si>
    <t>G-SUPP PHYSICAL</t>
  </si>
  <si>
    <t>PGA</t>
  </si>
  <si>
    <t>G-SUPP GAS TRANSPOR</t>
  </si>
  <si>
    <t>Transport</t>
  </si>
  <si>
    <t>G-SUPP FINANCIAL</t>
  </si>
  <si>
    <t>G-DIST-DISPATCHING</t>
  </si>
  <si>
    <t>G-DIST-TRANSPT EXP</t>
  </si>
  <si>
    <t>% of Total</t>
  </si>
  <si>
    <t>Transport Related</t>
  </si>
  <si>
    <t>PGA Related</t>
  </si>
  <si>
    <t>Transport Related Splt:</t>
  </si>
  <si>
    <t>Daily</t>
  </si>
  <si>
    <t>Monthly</t>
  </si>
  <si>
    <t>Allocation of Transportation Expenses:</t>
  </si>
  <si>
    <t>Source: WP C-2.2(G)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</si>
</sst>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0"/>
    <numFmt numFmtId="166" formatCode="###,###,###,###,###,##0.00"/>
    <numFmt numFmtId="167" formatCode="###,###,###,###,###,##0"/>
    <numFmt numFmtId="168" formatCode="##,###,###,###,###,##0.00"/>
    <numFmt numFmtId="169" formatCode="##,###,###,###,###,##0"/>
    <numFmt numFmtId="170" formatCode="&quot;$&quot;##,###,###,###,###,##0.00"/>
    <numFmt numFmtId="171" formatCode="##0.000%"/>
    <numFmt numFmtId="172" formatCode="_(&quot;$&quot;* #,##0_);_(&quot;$&quot;* \(#,##0\);_(&quot;$&quot;* &quot;-&quot;??_);_(@_)"/>
    <numFmt numFmtId="173" formatCode="_(* #,##0.00000_);_(* \(#,##0.00000\);_(* &quot;-&quot;??_);_(@_)"/>
    <numFmt numFmtId="174" formatCode="_(* #,##0.000_);_(* \(#,##0.000\);_(* &quot;-&quot;???_);_(@_)"/>
    <numFmt numFmtId="175" formatCode="0.0"/>
    <numFmt numFmtId="176" formatCode="_(* #,##0.0_);_(* \(#,##0.0\);_(* &quot;-&quot;??_);_(@_)"/>
    <numFmt numFmtId="177" formatCode="0.0%"/>
  </numFmts>
  <fonts count="45" x14ac:knownFonts="1">
    <font>
      <sz val="10"/>
      <name val="Arial"/>
      <family val="2"/>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0"/>
      <name val="Arial"/>
      <family val="2"/>
    </font>
    <font>
      <u/>
      <sz val="10"/>
      <color theme="10"/>
      <name val="Arial"/>
      <family val="2"/>
    </font>
    <font>
      <sz val="10"/>
      <color theme="1"/>
      <name val="Arial"/>
      <family val="2"/>
    </font>
    <font>
      <sz val="9"/>
      <color theme="1"/>
      <name val="Segoe UI"/>
      <family val="2"/>
      <charset val="1"/>
    </font>
    <font>
      <b/>
      <sz val="10"/>
      <color theme="1"/>
      <name val="Arial"/>
      <family val="2"/>
    </font>
    <font>
      <sz val="10"/>
      <color rgb="FFFF0000"/>
      <name val="Arial"/>
      <family val="2"/>
    </font>
    <font>
      <b/>
      <sz val="11"/>
      <color rgb="FFFF0000"/>
      <name val="Calibri"/>
      <family val="2"/>
      <scheme val="minor"/>
    </font>
    <font>
      <sz val="20"/>
      <color theme="1"/>
      <name val="Calibri"/>
      <family val="2"/>
      <scheme val="minor"/>
    </font>
    <font>
      <sz val="11"/>
      <name val="Calibri"/>
      <family val="2"/>
      <scheme val="minor"/>
    </font>
    <font>
      <b/>
      <i/>
      <sz val="11"/>
      <color theme="1"/>
      <name val="Calibri"/>
      <family val="2"/>
      <scheme val="minor"/>
    </font>
    <font>
      <i/>
      <sz val="11"/>
      <color theme="1"/>
      <name val="Calibri"/>
      <family val="2"/>
      <scheme val="minor"/>
    </font>
    <font>
      <b/>
      <sz val="11"/>
      <name val="Calibri"/>
      <family val="2"/>
      <scheme val="minor"/>
    </font>
    <font>
      <b/>
      <sz val="11"/>
      <name val="Arial"/>
      <family val="2"/>
    </font>
    <font>
      <u/>
      <sz val="10"/>
      <name val="Arial"/>
      <family val="2"/>
    </font>
    <font>
      <sz val="10"/>
      <color rgb="FF0070C0"/>
      <name val="Arial"/>
      <family val="2"/>
    </font>
    <font>
      <sz val="8"/>
      <color theme="1"/>
      <name val="Microsoft Sans Serif"/>
      <family val="2"/>
    </font>
    <font>
      <sz val="11"/>
      <color theme="1"/>
      <name val="Calibri"/>
      <family val="2"/>
    </font>
    <font>
      <b/>
      <sz val="10.8"/>
      <color theme="1"/>
      <name val="Arial"/>
      <family val="2"/>
    </font>
    <font>
      <sz val="10.8"/>
      <color theme="1"/>
      <name val="Arial"/>
      <family val="2"/>
    </font>
    <font>
      <b/>
      <sz val="8"/>
      <color theme="1"/>
      <name val="Microsoft Sans Serif"/>
      <family val="2"/>
    </font>
    <font>
      <sz val="11"/>
      <color theme="1"/>
      <name val="Arial"/>
      <family val="2"/>
    </font>
    <font>
      <sz val="10"/>
      <color theme="1"/>
      <name val="Calibri"/>
      <family val="2"/>
    </font>
    <font>
      <b/>
      <u/>
      <sz val="11"/>
      <color theme="1"/>
      <name val="Calibri"/>
      <family val="2"/>
    </font>
    <font>
      <sz val="8"/>
      <color rgb="FF000000"/>
      <name val="Microsoft Sans Serif"/>
      <family val="2"/>
    </font>
    <font>
      <sz val="11"/>
      <color rgb="FF00B050"/>
      <name val="Calibri"/>
      <family val="2"/>
    </font>
    <font>
      <sz val="11"/>
      <color rgb="FF000000"/>
      <name val="Calibri"/>
      <family val="2"/>
    </font>
    <font>
      <b/>
      <u val="singleAccounting"/>
      <sz val="10"/>
      <name val="Arial"/>
      <family val="2"/>
    </font>
    <font>
      <sz val="11"/>
      <name val="Aptos"/>
      <family val="2"/>
    </font>
    <font>
      <b/>
      <sz val="11"/>
      <name val="Calibri"/>
      <family val="2"/>
    </font>
    <font>
      <sz val="11"/>
      <name val="Calibri"/>
      <family val="2"/>
    </font>
    <font>
      <sz val="12"/>
      <name val="Aptos"/>
      <family val="2"/>
    </font>
    <font>
      <sz val="12"/>
      <color rgb="FF215E99"/>
      <name val="Aptos"/>
      <family val="2"/>
    </font>
    <font>
      <sz val="14"/>
      <name val="Arial"/>
      <family val="2"/>
    </font>
    <font>
      <b/>
      <sz val="12"/>
      <name val="Arial"/>
      <family val="2"/>
    </font>
    <font>
      <i/>
      <sz val="10"/>
      <name val="Arial"/>
      <family val="2"/>
    </font>
    <font>
      <b/>
      <i/>
      <sz val="10"/>
      <name val="Arial"/>
      <family val="2"/>
    </font>
    <font>
      <b/>
      <u/>
      <sz val="12"/>
      <name val="Arial"/>
      <family val="2"/>
    </font>
    <font>
      <sz val="10"/>
      <name val="Microsoft Sans Serif"/>
      <family val="2"/>
    </font>
    <font>
      <sz val="8"/>
      <name val="Microsoft Sans Serif"/>
      <family val="2"/>
    </font>
    <font>
      <b/>
      <sz val="9"/>
      <color theme="1"/>
      <name val="Segoe UI"/>
      <family val="2"/>
    </font>
  </fonts>
  <fills count="7">
    <fill>
      <patternFill patternType="none"/>
    </fill>
    <fill>
      <patternFill patternType="gray125"/>
    </fill>
    <fill>
      <patternFill patternType="solid">
        <fgColor theme="0" tint="-0.14999847407452621"/>
        <bgColor indexed="64"/>
      </patternFill>
    </fill>
    <fill>
      <patternFill patternType="solid">
        <fgColor rgb="FFFFFFFF"/>
      </patternFill>
    </fill>
    <fill>
      <patternFill patternType="solid">
        <fgColor rgb="FFFFFFFF"/>
        <bgColor rgb="FF000000"/>
      </patternFill>
    </fill>
    <fill>
      <patternFill patternType="solid">
        <fgColor theme="0" tint="-0.499984740745262"/>
        <bgColor indexed="64"/>
      </patternFill>
    </fill>
    <fill>
      <patternFill patternType="solid">
        <fgColor theme="4" tint="0.59999389629810485"/>
        <bgColor indexed="64"/>
      </patternFill>
    </fill>
  </fills>
  <borders count="43">
    <border>
      <left/>
      <right/>
      <top/>
      <bottom/>
      <diagonal/>
    </border>
    <border>
      <left style="thin">
        <color theme="0" tint="-0.14996795556505021"/>
      </left>
      <right/>
      <top/>
      <bottom/>
      <diagonal/>
    </border>
    <border>
      <left style="thin">
        <color auto="1"/>
      </left>
      <right style="thin">
        <color theme="0" tint="-0.14996795556505021"/>
      </right>
      <top style="thin">
        <color auto="1"/>
      </top>
      <bottom/>
      <diagonal/>
    </border>
    <border>
      <left style="thin">
        <color theme="0" tint="-0.14996795556505021"/>
      </left>
      <right/>
      <top style="thin">
        <color auto="1"/>
      </top>
      <bottom/>
      <diagonal/>
    </border>
    <border>
      <left style="thin">
        <color auto="1"/>
      </left>
      <right/>
      <top style="thin">
        <color auto="1"/>
      </top>
      <bottom/>
      <diagonal/>
    </border>
    <border>
      <left style="thin">
        <color theme="0" tint="-0.14996795556505021"/>
      </left>
      <right style="thin">
        <color theme="0" tint="-0.14996795556505021"/>
      </right>
      <top style="thin">
        <color auto="1"/>
      </top>
      <bottom/>
      <diagonal/>
    </border>
    <border>
      <left style="thin">
        <color theme="0" tint="-0.14996795556505021"/>
      </left>
      <right style="thin">
        <color auto="1"/>
      </right>
      <top style="thin">
        <color auto="1"/>
      </top>
      <bottom/>
      <diagonal/>
    </border>
    <border>
      <left/>
      <right/>
      <top style="thin">
        <color auto="1"/>
      </top>
      <bottom/>
      <diagonal/>
    </border>
    <border>
      <left style="thin">
        <color auto="1"/>
      </left>
      <right style="thin">
        <color theme="0" tint="-0.14996795556505021"/>
      </right>
      <top/>
      <bottom style="thin">
        <color auto="1"/>
      </bottom>
      <diagonal/>
    </border>
    <border>
      <left style="thin">
        <color auto="1"/>
      </left>
      <right/>
      <top/>
      <bottom/>
      <diagonal/>
    </border>
    <border>
      <left style="thin">
        <color theme="0" tint="-0.14996795556505021"/>
      </left>
      <right style="thin">
        <color theme="0" tint="-0.14996795556505021"/>
      </right>
      <top/>
      <bottom style="thin">
        <color auto="1"/>
      </bottom>
      <diagonal/>
    </border>
    <border>
      <left style="thin">
        <color theme="0" tint="-0.14996795556505021"/>
      </left>
      <right/>
      <top/>
      <bottom style="thin">
        <color auto="1"/>
      </bottom>
      <diagonal/>
    </border>
    <border>
      <left style="thin">
        <color theme="0" tint="-0.14996795556505021"/>
      </left>
      <right style="thin">
        <color auto="1"/>
      </right>
      <top/>
      <bottom style="thin">
        <color auto="1"/>
      </bottom>
      <diagonal/>
    </border>
    <border>
      <left/>
      <right style="thin">
        <color theme="0" tint="-0.14996795556505021"/>
      </right>
      <top/>
      <bottom/>
      <diagonal/>
    </border>
    <border>
      <left/>
      <right/>
      <top/>
      <bottom style="thin">
        <color indexed="64"/>
      </bottom>
      <diagonal/>
    </border>
    <border>
      <left style="thin">
        <color theme="0" tint="-0.14996795556505021"/>
      </left>
      <right style="thin">
        <color theme="0" tint="-0.14993743705557422"/>
      </right>
      <top/>
      <bottom style="thin">
        <color indexed="64"/>
      </bottom>
      <diagonal/>
    </border>
    <border>
      <left style="thin">
        <color theme="0" tint="-0.14993743705557422"/>
      </left>
      <right style="thin">
        <color auto="1"/>
      </right>
      <top/>
      <bottom style="thin">
        <color indexed="64"/>
      </bottom>
      <diagonal/>
    </border>
    <border>
      <left style="thin">
        <color theme="0" tint="-0.14996795556505021"/>
      </left>
      <right style="thin">
        <color auto="1"/>
      </right>
      <top/>
      <bottom/>
      <diagonal/>
    </border>
    <border>
      <left style="thin">
        <color auto="1"/>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thin">
        <color theme="0" tint="-0.14993743705557422"/>
      </right>
      <top style="thin">
        <color auto="1"/>
      </top>
      <bottom/>
      <diagonal/>
    </border>
    <border>
      <left style="thin">
        <color theme="0" tint="-0.14993743705557422"/>
      </left>
      <right style="thin">
        <color auto="1"/>
      </right>
      <top style="thin">
        <color auto="1"/>
      </top>
      <bottom/>
      <diagonal/>
    </border>
    <border>
      <left/>
      <right style="thin">
        <color auto="1"/>
      </right>
      <top style="thin">
        <color auto="1"/>
      </top>
      <bottom/>
      <diagonal/>
    </border>
    <border>
      <left style="thin">
        <color auto="1"/>
      </left>
      <right style="thin">
        <color theme="0" tint="-0.14996795556505021"/>
      </right>
      <top style="double">
        <color auto="1"/>
      </top>
      <bottom style="thin">
        <color auto="1"/>
      </bottom>
      <diagonal/>
    </border>
    <border>
      <left style="thin">
        <color theme="0" tint="-0.14996795556505021"/>
      </left>
      <right style="thin">
        <color theme="0" tint="-0.14996795556505021"/>
      </right>
      <top style="double">
        <color auto="1"/>
      </top>
      <bottom style="thin">
        <color auto="1"/>
      </bottom>
      <diagonal/>
    </border>
    <border>
      <left/>
      <right/>
      <top style="double">
        <color auto="1"/>
      </top>
      <bottom style="thin">
        <color auto="1"/>
      </bottom>
      <diagonal/>
    </border>
    <border>
      <left style="thin">
        <color theme="0" tint="-0.1499679555650502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theme="0" tint="-0.14996795556505021"/>
      </right>
      <top style="double">
        <color auto="1"/>
      </top>
      <bottom style="thin">
        <color auto="1"/>
      </bottom>
      <diagonal/>
    </border>
    <border>
      <left/>
      <right/>
      <top style="thin">
        <color indexed="64"/>
      </top>
      <bottom style="double">
        <color indexed="64"/>
      </bottom>
      <diagonal/>
    </border>
    <border>
      <left/>
      <right style="thin">
        <color theme="0" tint="-0.14996795556505021"/>
      </right>
      <top style="thin">
        <color auto="1"/>
      </top>
      <bottom/>
      <diagonal/>
    </border>
    <border>
      <left/>
      <right/>
      <top/>
      <bottom style="double">
        <color indexed="64"/>
      </bottom>
      <diagonal/>
    </border>
    <border>
      <left/>
      <right/>
      <top style="thin">
        <color indexed="64"/>
      </top>
      <bottom style="thin">
        <color indexed="64"/>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3">
    <xf numFmtId="0" fontId="0" fillId="0" borderId="0"/>
    <xf numFmtId="0" fontId="6" fillId="0" borderId="0" applyNumberFormat="0" applyFill="0" applyBorder="0" applyAlignment="0" applyProtection="0"/>
    <xf numFmtId="0" fontId="8"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1" fillId="0" borderId="0"/>
    <xf numFmtId="43" fontId="21" fillId="0" borderId="0" applyFont="0" applyFill="0" applyBorder="0" applyAlignment="0" applyProtection="0"/>
    <xf numFmtId="44" fontId="21" fillId="0" borderId="0" applyFont="0" applyFill="0" applyBorder="0" applyAlignment="0" applyProtection="0"/>
    <xf numFmtId="9" fontId="4" fillId="0" borderId="0" applyFont="0" applyFill="0" applyBorder="0" applyAlignment="0" applyProtection="0"/>
  </cellStyleXfs>
  <cellXfs count="345">
    <xf numFmtId="0" fontId="0" fillId="0" borderId="0" xfId="0"/>
    <xf numFmtId="0" fontId="4" fillId="0" borderId="0" xfId="0" applyFont="1"/>
    <xf numFmtId="0" fontId="6" fillId="0" borderId="0" xfId="1"/>
    <xf numFmtId="0" fontId="5" fillId="2" borderId="0" xfId="0" applyFont="1" applyFill="1"/>
    <xf numFmtId="0" fontId="8" fillId="0" borderId="0" xfId="2"/>
    <xf numFmtId="37" fontId="8" fillId="0" borderId="0" xfId="2" applyNumberFormat="1"/>
    <xf numFmtId="0" fontId="7" fillId="0" borderId="0" xfId="3" applyFont="1"/>
    <xf numFmtId="0" fontId="1" fillId="0" borderId="0" xfId="3"/>
    <xf numFmtId="0" fontId="3" fillId="0" borderId="0" xfId="3" applyFont="1"/>
    <xf numFmtId="0" fontId="3" fillId="0" borderId="0" xfId="3" applyFont="1" applyAlignment="1">
      <alignment horizontal="center"/>
    </xf>
    <xf numFmtId="44" fontId="1" fillId="0" borderId="0" xfId="3" applyNumberFormat="1"/>
    <xf numFmtId="164" fontId="0" fillId="0" borderId="0" xfId="4" applyNumberFormat="1" applyFont="1"/>
    <xf numFmtId="0" fontId="9" fillId="0" borderId="0" xfId="3" applyFont="1" applyAlignment="1">
      <alignment horizontal="left" vertical="center"/>
    </xf>
    <xf numFmtId="0" fontId="9" fillId="0" borderId="0" xfId="3" applyFont="1"/>
    <xf numFmtId="165" fontId="1" fillId="0" borderId="0" xfId="3" applyNumberFormat="1"/>
    <xf numFmtId="166" fontId="1" fillId="0" borderId="0" xfId="3" applyNumberFormat="1"/>
    <xf numFmtId="4" fontId="1" fillId="0" borderId="0" xfId="3" applyNumberFormat="1"/>
    <xf numFmtId="167" fontId="1" fillId="0" borderId="0" xfId="3" applyNumberFormat="1"/>
    <xf numFmtId="168" fontId="1" fillId="0" borderId="0" xfId="3" applyNumberFormat="1"/>
    <xf numFmtId="168" fontId="3" fillId="0" borderId="0" xfId="3" applyNumberFormat="1" applyFont="1"/>
    <xf numFmtId="169" fontId="1" fillId="0" borderId="0" xfId="3" applyNumberFormat="1"/>
    <xf numFmtId="169" fontId="3" fillId="0" borderId="0" xfId="3" applyNumberFormat="1" applyFont="1"/>
    <xf numFmtId="170" fontId="1" fillId="0" borderId="0" xfId="3" applyNumberFormat="1"/>
    <xf numFmtId="171" fontId="1" fillId="0" borderId="0" xfId="3" applyNumberFormat="1"/>
    <xf numFmtId="164" fontId="1" fillId="0" borderId="0" xfId="3" applyNumberFormat="1"/>
    <xf numFmtId="4" fontId="1" fillId="0" borderId="14" xfId="3" applyNumberFormat="1" applyBorder="1"/>
    <xf numFmtId="43" fontId="0" fillId="0" borderId="0" xfId="4" applyFont="1"/>
    <xf numFmtId="4" fontId="3" fillId="0" borderId="29" xfId="3" applyNumberFormat="1" applyFont="1" applyBorder="1"/>
    <xf numFmtId="44" fontId="0" fillId="0" borderId="14" xfId="5" applyFont="1" applyBorder="1"/>
    <xf numFmtId="44" fontId="0" fillId="0" borderId="31" xfId="5" applyFont="1" applyBorder="1"/>
    <xf numFmtId="168" fontId="2" fillId="0" borderId="0" xfId="3" applyNumberFormat="1" applyFont="1"/>
    <xf numFmtId="172" fontId="4" fillId="0" borderId="0" xfId="7" applyNumberFormat="1" applyFont="1" applyFill="1" applyAlignment="1">
      <alignment vertical="top"/>
    </xf>
    <xf numFmtId="0" fontId="21" fillId="0" borderId="0" xfId="9" applyAlignment="1">
      <alignment wrapText="1"/>
    </xf>
    <xf numFmtId="0" fontId="24" fillId="3" borderId="0" xfId="9" applyFont="1" applyFill="1" applyAlignment="1">
      <alignment horizontal="left" wrapText="1"/>
    </xf>
    <xf numFmtId="0" fontId="25" fillId="3" borderId="0" xfId="9" applyFont="1" applyFill="1" applyAlignment="1">
      <alignment wrapText="1"/>
    </xf>
    <xf numFmtId="0" fontId="21" fillId="3" borderId="0" xfId="9" applyFill="1" applyAlignment="1">
      <alignment horizontal="left" wrapText="1"/>
    </xf>
    <xf numFmtId="0" fontId="27" fillId="3" borderId="0" xfId="9" applyFont="1" applyFill="1" applyAlignment="1">
      <alignment horizontal="center" wrapText="1"/>
    </xf>
    <xf numFmtId="0" fontId="27" fillId="0" borderId="0" xfId="9" applyFont="1" applyAlignment="1">
      <alignment horizontal="center" wrapText="1"/>
    </xf>
    <xf numFmtId="0" fontId="21" fillId="3" borderId="0" xfId="9" applyFill="1" applyAlignment="1">
      <alignment horizontal="right" wrapText="1"/>
    </xf>
    <xf numFmtId="0" fontId="20" fillId="3" borderId="0" xfId="9" applyFont="1" applyFill="1" applyAlignment="1">
      <alignment horizontal="left" wrapText="1"/>
    </xf>
    <xf numFmtId="3" fontId="28" fillId="4" borderId="0" xfId="9" applyNumberFormat="1" applyFont="1" applyFill="1" applyAlignment="1">
      <alignment horizontal="right" wrapText="1"/>
    </xf>
    <xf numFmtId="3" fontId="20" fillId="3" borderId="0" xfId="9" applyNumberFormat="1" applyFont="1" applyFill="1" applyAlignment="1">
      <alignment horizontal="right" wrapText="1"/>
    </xf>
    <xf numFmtId="3" fontId="29" fillId="0" borderId="0" xfId="9" applyNumberFormat="1" applyFont="1" applyAlignment="1">
      <alignment wrapText="1"/>
    </xf>
    <xf numFmtId="3" fontId="21" fillId="0" borderId="0" xfId="9" applyNumberFormat="1" applyAlignment="1">
      <alignment wrapText="1"/>
    </xf>
    <xf numFmtId="3" fontId="21" fillId="0" borderId="14" xfId="9" applyNumberFormat="1" applyBorder="1" applyAlignment="1">
      <alignment wrapText="1"/>
    </xf>
    <xf numFmtId="3" fontId="28" fillId="4" borderId="33" xfId="9" applyNumberFormat="1" applyFont="1" applyFill="1" applyBorder="1" applyAlignment="1">
      <alignment horizontal="right" wrapText="1"/>
    </xf>
    <xf numFmtId="3" fontId="20" fillId="3" borderId="33" xfId="9" applyNumberFormat="1" applyFont="1" applyFill="1" applyBorder="1" applyAlignment="1">
      <alignment horizontal="right" wrapText="1"/>
    </xf>
    <xf numFmtId="3" fontId="30" fillId="4" borderId="0" xfId="9" applyNumberFormat="1" applyFont="1" applyFill="1" applyAlignment="1">
      <alignment horizontal="right" wrapText="1"/>
    </xf>
    <xf numFmtId="3" fontId="21" fillId="3" borderId="0" xfId="9" applyNumberFormat="1" applyFill="1" applyAlignment="1">
      <alignment horizontal="right" wrapText="1"/>
    </xf>
    <xf numFmtId="0" fontId="30" fillId="4" borderId="0" xfId="9" applyFont="1" applyFill="1" applyAlignment="1">
      <alignment horizontal="right" wrapText="1"/>
    </xf>
    <xf numFmtId="0" fontId="21" fillId="0" borderId="0" xfId="9" quotePrefix="1" applyAlignment="1">
      <alignment wrapText="1"/>
    </xf>
    <xf numFmtId="164" fontId="0" fillId="0" borderId="0" xfId="10" applyNumberFormat="1" applyFont="1" applyAlignment="1">
      <alignment wrapText="1"/>
    </xf>
    <xf numFmtId="164" fontId="0" fillId="0" borderId="0" xfId="10" applyNumberFormat="1" applyFont="1" applyBorder="1" applyAlignment="1">
      <alignment wrapText="1"/>
    </xf>
    <xf numFmtId="164" fontId="0" fillId="0" borderId="14" xfId="10" applyNumberFormat="1" applyFont="1" applyBorder="1" applyAlignment="1">
      <alignment wrapText="1"/>
    </xf>
    <xf numFmtId="172" fontId="0" fillId="0" borderId="31" xfId="11" applyNumberFormat="1" applyFont="1" applyBorder="1" applyAlignment="1">
      <alignment wrapText="1"/>
    </xf>
    <xf numFmtId="172" fontId="21" fillId="0" borderId="0" xfId="9" applyNumberFormat="1" applyAlignment="1">
      <alignment wrapText="1"/>
    </xf>
    <xf numFmtId="164" fontId="21" fillId="0" borderId="0" xfId="9" applyNumberFormat="1" applyAlignment="1">
      <alignment wrapText="1"/>
    </xf>
    <xf numFmtId="172" fontId="21" fillId="0" borderId="29" xfId="9" applyNumberFormat="1" applyBorder="1" applyAlignment="1">
      <alignment wrapText="1"/>
    </xf>
    <xf numFmtId="164" fontId="0" fillId="0" borderId="0" xfId="8" applyNumberFormat="1" applyFont="1"/>
    <xf numFmtId="44" fontId="0" fillId="5" borderId="0" xfId="7" applyFont="1" applyFill="1"/>
    <xf numFmtId="0" fontId="0" fillId="5" borderId="0" xfId="0" applyFill="1"/>
    <xf numFmtId="172" fontId="0" fillId="0" borderId="0" xfId="7" applyNumberFormat="1" applyFont="1"/>
    <xf numFmtId="44" fontId="0" fillId="0" borderId="0" xfId="7" applyFont="1"/>
    <xf numFmtId="164" fontId="0" fillId="0" borderId="14" xfId="8" applyNumberFormat="1" applyFont="1" applyBorder="1"/>
    <xf numFmtId="0" fontId="0" fillId="0" borderId="14" xfId="0" applyBorder="1"/>
    <xf numFmtId="172" fontId="0" fillId="0" borderId="14" xfId="7" applyNumberFormat="1" applyFont="1" applyBorder="1"/>
    <xf numFmtId="172" fontId="0" fillId="0" borderId="0" xfId="7" applyNumberFormat="1" applyFont="1" applyBorder="1"/>
    <xf numFmtId="44" fontId="0" fillId="0" borderId="14" xfId="7" applyFont="1" applyFill="1" applyBorder="1"/>
    <xf numFmtId="164" fontId="0" fillId="0" borderId="14" xfId="8" applyNumberFormat="1" applyFont="1" applyFill="1" applyBorder="1"/>
    <xf numFmtId="43" fontId="0" fillId="0" borderId="0" xfId="0" applyNumberFormat="1"/>
    <xf numFmtId="176" fontId="0" fillId="0" borderId="0" xfId="0" applyNumberFormat="1"/>
    <xf numFmtId="0" fontId="32" fillId="0" borderId="0" xfId="0" applyFont="1" applyAlignment="1">
      <alignment vertical="center"/>
    </xf>
    <xf numFmtId="0" fontId="33"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6" fillId="0" borderId="0" xfId="1" applyAlignment="1">
      <alignment vertical="center"/>
    </xf>
    <xf numFmtId="0" fontId="5" fillId="0" borderId="0" xfId="0" applyFont="1"/>
    <xf numFmtId="164" fontId="5" fillId="0" borderId="0" xfId="8" applyNumberFormat="1" applyFont="1"/>
    <xf numFmtId="44" fontId="5" fillId="0" borderId="0" xfId="7" applyFont="1"/>
    <xf numFmtId="0" fontId="37" fillId="0" borderId="0" xfId="0" applyFont="1"/>
    <xf numFmtId="0" fontId="4" fillId="0" borderId="0" xfId="0" applyFont="1" applyAlignment="1">
      <alignment horizontal="center"/>
    </xf>
    <xf numFmtId="0" fontId="18" fillId="0" borderId="0" xfId="0" applyFont="1" applyAlignment="1">
      <alignment horizontal="center"/>
    </xf>
    <xf numFmtId="0" fontId="4" fillId="0" borderId="0" xfId="0" quotePrefix="1" applyFont="1" applyAlignment="1">
      <alignment horizontal="center"/>
    </xf>
    <xf numFmtId="0" fontId="0" fillId="0" borderId="0" xfId="0" applyAlignment="1">
      <alignment horizontal="center"/>
    </xf>
    <xf numFmtId="0" fontId="0" fillId="0" borderId="0" xfId="0" applyAlignment="1">
      <alignment horizontal="left"/>
    </xf>
    <xf numFmtId="164" fontId="0" fillId="0" borderId="0" xfId="8" applyNumberFormat="1" applyFont="1" applyBorder="1"/>
    <xf numFmtId="172" fontId="19" fillId="0" borderId="0" xfId="0" applyNumberFormat="1" applyFont="1"/>
    <xf numFmtId="177" fontId="0" fillId="0" borderId="0" xfId="12" applyNumberFormat="1" applyFont="1" applyBorder="1"/>
    <xf numFmtId="172" fontId="19" fillId="0" borderId="32" xfId="7" applyNumberFormat="1" applyFont="1" applyBorder="1"/>
    <xf numFmtId="172" fontId="0" fillId="0" borderId="32" xfId="7" applyNumberFormat="1" applyFont="1" applyBorder="1"/>
    <xf numFmtId="172" fontId="19" fillId="0" borderId="0" xfId="7" applyNumberFormat="1" applyFont="1" applyBorder="1"/>
    <xf numFmtId="172" fontId="0" fillId="0" borderId="29" xfId="0" applyNumberFormat="1" applyBorder="1"/>
    <xf numFmtId="172" fontId="0" fillId="0" borderId="0" xfId="0" applyNumberFormat="1"/>
    <xf numFmtId="164" fontId="0" fillId="0" borderId="0" xfId="0" applyNumberFormat="1"/>
    <xf numFmtId="0" fontId="18" fillId="0" borderId="0" xfId="0" applyFont="1" applyAlignment="1">
      <alignment horizontal="right"/>
    </xf>
    <xf numFmtId="10" fontId="0" fillId="0" borderId="0" xfId="12" applyNumberFormat="1" applyFont="1" applyBorder="1"/>
    <xf numFmtId="172" fontId="4" fillId="0" borderId="0" xfId="7" applyNumberFormat="1"/>
    <xf numFmtId="10" fontId="0" fillId="0" borderId="0" xfId="12" applyNumberFormat="1" applyFont="1"/>
    <xf numFmtId="0" fontId="19" fillId="0" borderId="0" xfId="0" applyFont="1"/>
    <xf numFmtId="177" fontId="19" fillId="0" borderId="0" xfId="12" applyNumberFormat="1" applyFont="1"/>
    <xf numFmtId="177" fontId="19" fillId="0" borderId="29" xfId="0" applyNumberFormat="1" applyFont="1" applyBorder="1"/>
    <xf numFmtId="172" fontId="19" fillId="0" borderId="0" xfId="7" applyNumberFormat="1" applyFont="1"/>
    <xf numFmtId="172" fontId="19" fillId="0" borderId="29" xfId="7" applyNumberFormat="1" applyFont="1" applyBorder="1"/>
    <xf numFmtId="0" fontId="10" fillId="0" borderId="0" xfId="0" applyFont="1"/>
    <xf numFmtId="0" fontId="5" fillId="0" borderId="0" xfId="3" applyFont="1" applyAlignment="1">
      <alignment horizontal="center" wrapText="1"/>
    </xf>
    <xf numFmtId="8" fontId="4" fillId="0" borderId="19" xfId="3" applyNumberFormat="1" applyFont="1" applyBorder="1"/>
    <xf numFmtId="164" fontId="5" fillId="0" borderId="0" xfId="4" applyNumberFormat="1" applyFont="1" applyFill="1" applyBorder="1"/>
    <xf numFmtId="8" fontId="5" fillId="0" borderId="0" xfId="3" applyNumberFormat="1" applyFont="1"/>
    <xf numFmtId="8" fontId="4" fillId="0" borderId="0" xfId="3" applyNumberFormat="1" applyFont="1"/>
    <xf numFmtId="8" fontId="4" fillId="0" borderId="17" xfId="3" applyNumberFormat="1" applyFont="1" applyBorder="1"/>
    <xf numFmtId="0" fontId="4" fillId="0" borderId="0" xfId="3" applyFont="1"/>
    <xf numFmtId="0" fontId="4" fillId="0" borderId="1" xfId="3" applyFont="1" applyBorder="1"/>
    <xf numFmtId="38" fontId="4" fillId="0" borderId="0" xfId="3" applyNumberFormat="1" applyFont="1"/>
    <xf numFmtId="0" fontId="5" fillId="0" borderId="2" xfId="3" applyFont="1" applyBorder="1"/>
    <xf numFmtId="0" fontId="5" fillId="0" borderId="3" xfId="3" applyFont="1" applyBorder="1" applyAlignment="1">
      <alignment horizontal="center"/>
    </xf>
    <xf numFmtId="0" fontId="4" fillId="0" borderId="4" xfId="3" applyFont="1" applyBorder="1" applyAlignment="1">
      <alignment horizontal="center"/>
    </xf>
    <xf numFmtId="0" fontId="5" fillId="0" borderId="4" xfId="3" applyFont="1" applyBorder="1" applyAlignment="1">
      <alignment horizontal="center"/>
    </xf>
    <xf numFmtId="0" fontId="5" fillId="0" borderId="0" xfId="3" applyFont="1" applyAlignment="1">
      <alignment horizontal="center"/>
    </xf>
    <xf numFmtId="0" fontId="4" fillId="0" borderId="8" xfId="3" applyFont="1" applyBorder="1" applyAlignment="1">
      <alignment horizontal="center"/>
    </xf>
    <xf numFmtId="0" fontId="4" fillId="0" borderId="1" xfId="3" applyFont="1" applyBorder="1" applyAlignment="1">
      <alignment horizontal="center"/>
    </xf>
    <xf numFmtId="0" fontId="4" fillId="0" borderId="9" xfId="3" applyFont="1" applyBorder="1" applyAlignment="1">
      <alignment horizontal="center" wrapText="1"/>
    </xf>
    <xf numFmtId="38" fontId="4" fillId="0" borderId="8" xfId="3" applyNumberFormat="1" applyFont="1" applyBorder="1" applyAlignment="1">
      <alignment horizontal="center"/>
    </xf>
    <xf numFmtId="0" fontId="4" fillId="0" borderId="10" xfId="3" applyFont="1" applyBorder="1" applyAlignment="1">
      <alignment horizontal="center" wrapText="1"/>
    </xf>
    <xf numFmtId="0" fontId="4" fillId="0" borderId="11" xfId="3" applyFont="1" applyBorder="1" applyAlignment="1">
      <alignment horizontal="center" wrapText="1"/>
    </xf>
    <xf numFmtId="0" fontId="4" fillId="0" borderId="12" xfId="3" applyFont="1" applyBorder="1" applyAlignment="1">
      <alignment horizontal="center" wrapText="1"/>
    </xf>
    <xf numFmtId="38" fontId="5" fillId="0" borderId="8" xfId="3" applyNumberFormat="1" applyFont="1" applyBorder="1" applyAlignment="1">
      <alignment horizontal="center"/>
    </xf>
    <xf numFmtId="0" fontId="5" fillId="0" borderId="12" xfId="3" applyFont="1" applyBorder="1" applyAlignment="1">
      <alignment horizontal="center" wrapText="1"/>
    </xf>
    <xf numFmtId="38" fontId="39" fillId="0" borderId="10" xfId="3" applyNumberFormat="1" applyFont="1" applyBorder="1"/>
    <xf numFmtId="38" fontId="39" fillId="0" borderId="14" xfId="3" applyNumberFormat="1" applyFont="1" applyBorder="1"/>
    <xf numFmtId="0" fontId="39" fillId="0" borderId="12" xfId="3" applyFont="1" applyBorder="1"/>
    <xf numFmtId="38" fontId="39" fillId="0" borderId="8" xfId="3" applyNumberFormat="1" applyFont="1" applyBorder="1"/>
    <xf numFmtId="6" fontId="39" fillId="0" borderId="15" xfId="3" applyNumberFormat="1" applyFont="1" applyBorder="1"/>
    <xf numFmtId="6" fontId="39" fillId="0" borderId="16" xfId="3" applyNumberFormat="1" applyFont="1" applyBorder="1"/>
    <xf numFmtId="38" fontId="40" fillId="0" borderId="8" xfId="3" applyNumberFormat="1" applyFont="1" applyBorder="1"/>
    <xf numFmtId="6" fontId="39" fillId="0" borderId="10" xfId="3" applyNumberFormat="1" applyFont="1" applyBorder="1"/>
    <xf numFmtId="6" fontId="40" fillId="0" borderId="12" xfId="3" applyNumberFormat="1" applyFont="1" applyBorder="1"/>
    <xf numFmtId="6" fontId="40" fillId="0" borderId="0" xfId="3" applyNumberFormat="1" applyFont="1"/>
    <xf numFmtId="0" fontId="4" fillId="0" borderId="2" xfId="3" applyFont="1" applyBorder="1"/>
    <xf numFmtId="38" fontId="4" fillId="0" borderId="18" xfId="3" applyNumberFormat="1" applyFont="1" applyBorder="1"/>
    <xf numFmtId="6" fontId="4" fillId="0" borderId="19" xfId="3" applyNumberFormat="1" applyFont="1" applyBorder="1"/>
    <xf numFmtId="6" fontId="4" fillId="0" borderId="1" xfId="3" applyNumberFormat="1" applyFont="1" applyBorder="1"/>
    <xf numFmtId="6" fontId="4" fillId="0" borderId="17" xfId="3" applyNumberFormat="1" applyFont="1" applyBorder="1"/>
    <xf numFmtId="38" fontId="5" fillId="0" borderId="18" xfId="3" applyNumberFormat="1" applyFont="1" applyBorder="1"/>
    <xf numFmtId="6" fontId="5" fillId="0" borderId="17" xfId="3" applyNumberFormat="1" applyFont="1" applyBorder="1"/>
    <xf numFmtId="6" fontId="5" fillId="0" borderId="0" xfId="3" applyNumberFormat="1" applyFont="1"/>
    <xf numFmtId="164" fontId="4" fillId="0" borderId="0" xfId="4" applyNumberFormat="1" applyFont="1" applyFill="1"/>
    <xf numFmtId="6" fontId="4" fillId="0" borderId="0" xfId="3" applyNumberFormat="1" applyFont="1"/>
    <xf numFmtId="0" fontId="4" fillId="0" borderId="18" xfId="3" applyFont="1" applyBorder="1"/>
    <xf numFmtId="8" fontId="5" fillId="0" borderId="17" xfId="3" applyNumberFormat="1" applyFont="1" applyBorder="1"/>
    <xf numFmtId="43" fontId="5" fillId="0" borderId="0" xfId="4" applyFont="1" applyFill="1" applyBorder="1"/>
    <xf numFmtId="43" fontId="5" fillId="0" borderId="14" xfId="4" applyFont="1" applyFill="1" applyBorder="1"/>
    <xf numFmtId="0" fontId="39" fillId="0" borderId="0" xfId="3" applyFont="1"/>
    <xf numFmtId="0" fontId="39" fillId="0" borderId="2" xfId="3" applyFont="1" applyBorder="1"/>
    <xf numFmtId="38" fontId="39" fillId="0" borderId="5" xfId="3" applyNumberFormat="1" applyFont="1" applyBorder="1"/>
    <xf numFmtId="38" fontId="39" fillId="0" borderId="7" xfId="3" applyNumberFormat="1" applyFont="1" applyBorder="1"/>
    <xf numFmtId="0" fontId="39" fillId="0" borderId="6" xfId="3" applyFont="1" applyBorder="1"/>
    <xf numFmtId="38" fontId="39" fillId="0" borderId="2" xfId="3" applyNumberFormat="1" applyFont="1" applyBorder="1"/>
    <xf numFmtId="6" fontId="39" fillId="0" borderId="20" xfId="3" applyNumberFormat="1" applyFont="1" applyBorder="1"/>
    <xf numFmtId="6" fontId="39" fillId="0" borderId="21" xfId="3" applyNumberFormat="1" applyFont="1" applyBorder="1"/>
    <xf numFmtId="38" fontId="40" fillId="0" borderId="2" xfId="3" applyNumberFormat="1" applyFont="1" applyBorder="1"/>
    <xf numFmtId="6" fontId="39" fillId="0" borderId="5" xfId="3" applyNumberFormat="1" applyFont="1" applyBorder="1"/>
    <xf numFmtId="6" fontId="40" fillId="0" borderId="6" xfId="3" applyNumberFormat="1" applyFont="1" applyBorder="1"/>
    <xf numFmtId="43" fontId="40" fillId="0" borderId="0" xfId="4" applyFont="1" applyFill="1" applyBorder="1"/>
    <xf numFmtId="6" fontId="39" fillId="0" borderId="0" xfId="3" applyNumberFormat="1" applyFont="1"/>
    <xf numFmtId="0" fontId="39" fillId="0" borderId="18" xfId="3" applyFont="1" applyBorder="1"/>
    <xf numFmtId="38" fontId="40" fillId="0" borderId="19" xfId="3" applyNumberFormat="1" applyFont="1" applyBorder="1" applyAlignment="1">
      <alignment horizontal="center"/>
    </xf>
    <xf numFmtId="38" fontId="40" fillId="0" borderId="0" xfId="3" applyNumberFormat="1" applyFont="1" applyAlignment="1">
      <alignment horizontal="center"/>
    </xf>
    <xf numFmtId="0" fontId="39" fillId="0" borderId="17" xfId="3" applyFont="1" applyBorder="1"/>
    <xf numFmtId="38" fontId="39" fillId="0" borderId="18" xfId="3" applyNumberFormat="1" applyFont="1" applyBorder="1"/>
    <xf numFmtId="6" fontId="39" fillId="0" borderId="19" xfId="3" applyNumberFormat="1" applyFont="1" applyBorder="1"/>
    <xf numFmtId="6" fontId="39" fillId="0" borderId="1" xfId="3" applyNumberFormat="1" applyFont="1" applyBorder="1"/>
    <xf numFmtId="6" fontId="39" fillId="0" borderId="17" xfId="3" applyNumberFormat="1" applyFont="1" applyBorder="1"/>
    <xf numFmtId="38" fontId="40" fillId="0" borderId="18" xfId="3" applyNumberFormat="1" applyFont="1" applyBorder="1"/>
    <xf numFmtId="6" fontId="40" fillId="0" borderId="17" xfId="3" applyNumberFormat="1" applyFont="1" applyBorder="1"/>
    <xf numFmtId="164" fontId="4" fillId="0" borderId="0" xfId="3" applyNumberFormat="1" applyFont="1"/>
    <xf numFmtId="164" fontId="5" fillId="0" borderId="14" xfId="4" applyNumberFormat="1" applyFont="1" applyFill="1" applyBorder="1"/>
    <xf numFmtId="164" fontId="4" fillId="0" borderId="14" xfId="4" applyNumberFormat="1" applyFont="1" applyFill="1" applyBorder="1"/>
    <xf numFmtId="164" fontId="4" fillId="0" borderId="14" xfId="3" applyNumberFormat="1" applyFont="1" applyBorder="1"/>
    <xf numFmtId="6" fontId="39" fillId="0" borderId="22" xfId="3" applyNumberFormat="1" applyFont="1" applyBorder="1"/>
    <xf numFmtId="164" fontId="40" fillId="0" borderId="0" xfId="4" applyNumberFormat="1" applyFont="1" applyFill="1" applyBorder="1"/>
    <xf numFmtId="164" fontId="39" fillId="0" borderId="0" xfId="4" applyNumberFormat="1" applyFont="1" applyFill="1"/>
    <xf numFmtId="0" fontId="4" fillId="0" borderId="19" xfId="3" applyFont="1" applyBorder="1"/>
    <xf numFmtId="0" fontId="4" fillId="0" borderId="17" xfId="3" applyFont="1" applyBorder="1"/>
    <xf numFmtId="164" fontId="4" fillId="0" borderId="0" xfId="4" applyNumberFormat="1" applyFont="1" applyFill="1" applyBorder="1"/>
    <xf numFmtId="38" fontId="39" fillId="0" borderId="18" xfId="3" applyNumberFormat="1" applyFont="1" applyBorder="1" applyAlignment="1">
      <alignment horizontal="right"/>
    </xf>
    <xf numFmtId="6" fontId="4" fillId="0" borderId="13" xfId="3" applyNumberFormat="1" applyFont="1" applyBorder="1"/>
    <xf numFmtId="6" fontId="4" fillId="0" borderId="19" xfId="3" applyNumberFormat="1" applyFont="1" applyBorder="1" applyAlignment="1">
      <alignment horizontal="center"/>
    </xf>
    <xf numFmtId="0" fontId="4" fillId="0" borderId="17" xfId="3" applyFont="1" applyBorder="1" applyAlignment="1">
      <alignment horizontal="center"/>
    </xf>
    <xf numFmtId="38" fontId="4" fillId="0" borderId="18" xfId="3" applyNumberFormat="1" applyFont="1" applyBorder="1" applyAlignment="1">
      <alignment horizontal="center"/>
    </xf>
    <xf numFmtId="0" fontId="40" fillId="0" borderId="23" xfId="3" applyFont="1" applyBorder="1"/>
    <xf numFmtId="0" fontId="40" fillId="0" borderId="24" xfId="3" applyFont="1" applyBorder="1"/>
    <xf numFmtId="0" fontId="40" fillId="0" borderId="25" xfId="3" applyFont="1" applyBorder="1"/>
    <xf numFmtId="0" fontId="40" fillId="0" borderId="26" xfId="3" applyFont="1" applyBorder="1"/>
    <xf numFmtId="38" fontId="5" fillId="0" borderId="27" xfId="3" applyNumberFormat="1" applyFont="1" applyBorder="1"/>
    <xf numFmtId="6" fontId="4" fillId="0" borderId="25" xfId="3" applyNumberFormat="1" applyFont="1" applyBorder="1"/>
    <xf numFmtId="38" fontId="4" fillId="0" borderId="27" xfId="3" applyNumberFormat="1" applyFont="1" applyBorder="1"/>
    <xf numFmtId="6" fontId="4" fillId="0" borderId="28" xfId="3" applyNumberFormat="1" applyFont="1" applyBorder="1"/>
    <xf numFmtId="6" fontId="4" fillId="0" borderId="24" xfId="3" applyNumberFormat="1" applyFont="1" applyBorder="1"/>
    <xf numFmtId="6" fontId="5" fillId="0" borderId="26" xfId="3" applyNumberFormat="1" applyFont="1" applyBorder="1"/>
    <xf numFmtId="6" fontId="4" fillId="0" borderId="26" xfId="3" applyNumberFormat="1" applyFont="1" applyBorder="1"/>
    <xf numFmtId="6" fontId="5" fillId="0" borderId="29" xfId="3" applyNumberFormat="1" applyFont="1" applyBorder="1"/>
    <xf numFmtId="164" fontId="5" fillId="0" borderId="0" xfId="3" applyNumberFormat="1" applyFont="1"/>
    <xf numFmtId="164" fontId="0" fillId="0" borderId="0" xfId="4" applyNumberFormat="1" applyFont="1" applyFill="1"/>
    <xf numFmtId="38" fontId="1" fillId="0" borderId="0" xfId="3" applyNumberFormat="1"/>
    <xf numFmtId="0" fontId="1" fillId="0" borderId="2" xfId="3" applyBorder="1" applyAlignment="1">
      <alignment horizontal="left"/>
    </xf>
    <xf numFmtId="0" fontId="1" fillId="0" borderId="3" xfId="3" applyBorder="1" applyAlignment="1">
      <alignment horizontal="center"/>
    </xf>
    <xf numFmtId="0" fontId="1" fillId="0" borderId="4" xfId="3" applyBorder="1" applyAlignment="1">
      <alignment horizontal="center"/>
    </xf>
    <xf numFmtId="0" fontId="13" fillId="0" borderId="4" xfId="3" applyFont="1" applyBorder="1" applyAlignment="1">
      <alignment horizontal="center"/>
    </xf>
    <xf numFmtId="0" fontId="3" fillId="0" borderId="6" xfId="3" applyFont="1" applyBorder="1"/>
    <xf numFmtId="0" fontId="1" fillId="0" borderId="8" xfId="3" applyBorder="1" applyAlignment="1">
      <alignment horizontal="center"/>
    </xf>
    <xf numFmtId="0" fontId="1" fillId="0" borderId="1" xfId="3" applyBorder="1" applyAlignment="1">
      <alignment horizontal="center"/>
    </xf>
    <xf numFmtId="0" fontId="1" fillId="0" borderId="9" xfId="3" applyBorder="1" applyAlignment="1">
      <alignment horizontal="center" wrapText="1"/>
    </xf>
    <xf numFmtId="38" fontId="1" fillId="0" borderId="8" xfId="3" applyNumberFormat="1" applyBorder="1" applyAlignment="1">
      <alignment horizontal="center"/>
    </xf>
    <xf numFmtId="0" fontId="1" fillId="0" borderId="10" xfId="3" applyBorder="1" applyAlignment="1">
      <alignment horizontal="center" wrapText="1"/>
    </xf>
    <xf numFmtId="0" fontId="1" fillId="0" borderId="11" xfId="3" applyBorder="1" applyAlignment="1">
      <alignment horizontal="center" wrapText="1"/>
    </xf>
    <xf numFmtId="0" fontId="1" fillId="0" borderId="12" xfId="3" applyBorder="1" applyAlignment="1">
      <alignment horizontal="center" wrapText="1"/>
    </xf>
    <xf numFmtId="164" fontId="3" fillId="0" borderId="8" xfId="4" applyNumberFormat="1" applyFont="1" applyFill="1" applyBorder="1" applyAlignment="1">
      <alignment horizontal="center"/>
    </xf>
    <xf numFmtId="0" fontId="3" fillId="0" borderId="12" xfId="3" applyFont="1" applyBorder="1" applyAlignment="1">
      <alignment horizontal="center" wrapText="1"/>
    </xf>
    <xf numFmtId="8" fontId="1" fillId="0" borderId="7" xfId="3" applyNumberFormat="1" applyBorder="1"/>
    <xf numFmtId="164" fontId="1" fillId="0" borderId="5" xfId="3" applyNumberFormat="1" applyBorder="1"/>
    <xf numFmtId="6" fontId="1" fillId="0" borderId="3" xfId="3" applyNumberFormat="1" applyBorder="1"/>
    <xf numFmtId="6" fontId="1" fillId="0" borderId="6" xfId="3" applyNumberFormat="1" applyBorder="1"/>
    <xf numFmtId="6" fontId="1" fillId="0" borderId="5" xfId="3" applyNumberFormat="1" applyBorder="1"/>
    <xf numFmtId="164" fontId="3" fillId="0" borderId="5" xfId="4" applyNumberFormat="1" applyFont="1" applyFill="1" applyBorder="1"/>
    <xf numFmtId="6" fontId="3" fillId="0" borderId="6" xfId="3" applyNumberFormat="1" applyFont="1" applyBorder="1"/>
    <xf numFmtId="8" fontId="1" fillId="0" borderId="0" xfId="3" applyNumberFormat="1"/>
    <xf numFmtId="164" fontId="1" fillId="0" borderId="19" xfId="3" applyNumberFormat="1" applyBorder="1"/>
    <xf numFmtId="6" fontId="1" fillId="0" borderId="19" xfId="3" applyNumberFormat="1" applyBorder="1"/>
    <xf numFmtId="6" fontId="1" fillId="0" borderId="1" xfId="3" applyNumberFormat="1" applyBorder="1"/>
    <xf numFmtId="6" fontId="1" fillId="0" borderId="17" xfId="3" applyNumberFormat="1" applyBorder="1"/>
    <xf numFmtId="164" fontId="3" fillId="0" borderId="19" xfId="4" applyNumberFormat="1" applyFont="1" applyFill="1" applyBorder="1"/>
    <xf numFmtId="6" fontId="3" fillId="0" borderId="17" xfId="3" applyNumberFormat="1" applyFont="1" applyBorder="1"/>
    <xf numFmtId="8" fontId="13" fillId="0" borderId="17" xfId="3" applyNumberFormat="1" applyFont="1" applyBorder="1"/>
    <xf numFmtId="38" fontId="1" fillId="0" borderId="18" xfId="3" applyNumberFormat="1" applyBorder="1"/>
    <xf numFmtId="8" fontId="1" fillId="0" borderId="19" xfId="3" applyNumberFormat="1" applyBorder="1"/>
    <xf numFmtId="0" fontId="1" fillId="0" borderId="19" xfId="3" applyBorder="1"/>
    <xf numFmtId="164" fontId="3" fillId="0" borderId="18" xfId="4" applyNumberFormat="1" applyFont="1" applyFill="1" applyBorder="1"/>
    <xf numFmtId="0" fontId="1" fillId="0" borderId="18" xfId="3" applyBorder="1"/>
    <xf numFmtId="0" fontId="14" fillId="0" borderId="23" xfId="3" applyFont="1" applyBorder="1"/>
    <xf numFmtId="0" fontId="14" fillId="0" borderId="24" xfId="3" applyFont="1" applyBorder="1"/>
    <xf numFmtId="0" fontId="14" fillId="0" borderId="25" xfId="3" applyFont="1" applyBorder="1"/>
    <xf numFmtId="0" fontId="14" fillId="0" borderId="26" xfId="3" applyFont="1" applyBorder="1"/>
    <xf numFmtId="38" fontId="3" fillId="0" borderId="27" xfId="3" applyNumberFormat="1" applyFont="1" applyBorder="1"/>
    <xf numFmtId="6" fontId="1" fillId="0" borderId="25" xfId="3" applyNumberFormat="1" applyBorder="1"/>
    <xf numFmtId="38" fontId="1" fillId="0" borderId="27" xfId="3" applyNumberFormat="1" applyBorder="1"/>
    <xf numFmtId="164" fontId="1" fillId="0" borderId="27" xfId="3" applyNumberFormat="1" applyBorder="1"/>
    <xf numFmtId="164" fontId="3" fillId="0" borderId="27" xfId="4" applyNumberFormat="1" applyFont="1" applyFill="1" applyBorder="1"/>
    <xf numFmtId="6" fontId="1" fillId="0" borderId="0" xfId="3" applyNumberFormat="1"/>
    <xf numFmtId="6" fontId="3" fillId="0" borderId="0" xfId="3" applyNumberFormat="1" applyFont="1"/>
    <xf numFmtId="38" fontId="15" fillId="0" borderId="0" xfId="3" applyNumberFormat="1" applyFont="1"/>
    <xf numFmtId="0" fontId="1" fillId="0" borderId="27" xfId="3" applyBorder="1"/>
    <xf numFmtId="0" fontId="16" fillId="0" borderId="0" xfId="3" applyFont="1" applyAlignment="1">
      <alignment horizontal="center"/>
    </xf>
    <xf numFmtId="0" fontId="13" fillId="0" borderId="0" xfId="3" applyFont="1"/>
    <xf numFmtId="0" fontId="1" fillId="0" borderId="0" xfId="3" applyAlignment="1">
      <alignment horizontal="center"/>
    </xf>
    <xf numFmtId="8" fontId="0" fillId="0" borderId="0" xfId="5" applyNumberFormat="1" applyFont="1" applyFill="1"/>
    <xf numFmtId="43" fontId="13" fillId="0" borderId="0" xfId="4" applyFont="1" applyFill="1"/>
    <xf numFmtId="44" fontId="0" fillId="0" borderId="0" xfId="5" applyFont="1" applyFill="1"/>
    <xf numFmtId="0" fontId="2" fillId="0" borderId="0" xfId="3" applyFont="1"/>
    <xf numFmtId="172" fontId="4" fillId="0" borderId="0" xfId="7" applyNumberFormat="1" applyFont="1" applyFill="1" applyAlignment="1"/>
    <xf numFmtId="173" fontId="4" fillId="0" borderId="14" xfId="8" applyNumberFormat="1" applyFont="1" applyFill="1" applyBorder="1" applyAlignment="1">
      <alignment vertical="top"/>
    </xf>
    <xf numFmtId="172" fontId="4" fillId="0" borderId="32" xfId="7" applyNumberFormat="1" applyFont="1" applyFill="1" applyBorder="1" applyAlignment="1">
      <alignment vertical="top"/>
    </xf>
    <xf numFmtId="172" fontId="4" fillId="0" borderId="0" xfId="7" applyNumberFormat="1" applyFont="1" applyFill="1" applyBorder="1" applyAlignment="1">
      <alignment vertical="top"/>
    </xf>
    <xf numFmtId="173" fontId="4" fillId="0" borderId="0" xfId="8" applyNumberFormat="1" applyFont="1" applyFill="1" applyAlignment="1">
      <alignment vertical="top"/>
    </xf>
    <xf numFmtId="164" fontId="4" fillId="0" borderId="0" xfId="8" applyNumberFormat="1" applyFont="1" applyFill="1" applyAlignment="1">
      <alignment vertical="top"/>
    </xf>
    <xf numFmtId="0" fontId="5" fillId="0" borderId="0" xfId="6" applyFont="1"/>
    <xf numFmtId="0" fontId="4" fillId="0" borderId="0" xfId="6"/>
    <xf numFmtId="0" fontId="17" fillId="0" borderId="0" xfId="6" applyFont="1"/>
    <xf numFmtId="0" fontId="4" fillId="0" borderId="0" xfId="6" applyAlignment="1">
      <alignment horizontal="center"/>
    </xf>
    <xf numFmtId="0" fontId="41" fillId="0" borderId="0" xfId="6" applyFont="1"/>
    <xf numFmtId="0" fontId="4" fillId="0" borderId="14" xfId="6" applyBorder="1" applyAlignment="1">
      <alignment horizontal="center"/>
    </xf>
    <xf numFmtId="0" fontId="5" fillId="0" borderId="0" xfId="6" applyFont="1" applyAlignment="1">
      <alignment horizontal="center"/>
    </xf>
    <xf numFmtId="0" fontId="18" fillId="0" borderId="0" xfId="6" applyFont="1"/>
    <xf numFmtId="0" fontId="18" fillId="0" borderId="0" xfId="6" applyFont="1" applyAlignment="1">
      <alignment horizontal="right"/>
    </xf>
    <xf numFmtId="0" fontId="4" fillId="0" borderId="0" xfId="6" applyAlignment="1">
      <alignment horizontal="center" vertical="top"/>
    </xf>
    <xf numFmtId="0" fontId="4" fillId="0" borderId="0" xfId="6" applyAlignment="1">
      <alignment vertical="top" wrapText="1"/>
    </xf>
    <xf numFmtId="0" fontId="4" fillId="0" borderId="0" xfId="6" applyAlignment="1">
      <alignment vertical="top"/>
    </xf>
    <xf numFmtId="172" fontId="42" fillId="0" borderId="0" xfId="5" applyNumberFormat="1" applyFont="1" applyFill="1" applyBorder="1" applyAlignment="1">
      <alignment horizontal="right" wrapText="1"/>
    </xf>
    <xf numFmtId="0" fontId="43" fillId="0" borderId="0" xfId="3" applyFont="1" applyAlignment="1">
      <alignment horizontal="left" wrapText="1"/>
    </xf>
    <xf numFmtId="0" fontId="4" fillId="0" borderId="0" xfId="6" applyAlignment="1">
      <alignment horizontal="right" vertical="top"/>
    </xf>
    <xf numFmtId="164" fontId="4" fillId="0" borderId="0" xfId="6" applyNumberFormat="1" applyAlignment="1">
      <alignment vertical="top"/>
    </xf>
    <xf numFmtId="172" fontId="4" fillId="0" borderId="0" xfId="5" applyNumberFormat="1" applyFont="1" applyFill="1" applyBorder="1"/>
    <xf numFmtId="0" fontId="5" fillId="0" borderId="0" xfId="6" applyFont="1" applyAlignment="1">
      <alignment vertical="top" wrapText="1"/>
    </xf>
    <xf numFmtId="0" fontId="4" fillId="0" borderId="0" xfId="6" applyAlignment="1">
      <alignment horizontal="right" vertical="top" wrapText="1"/>
    </xf>
    <xf numFmtId="172" fontId="4" fillId="0" borderId="0" xfId="6" applyNumberFormat="1" applyAlignment="1">
      <alignment vertical="top"/>
    </xf>
    <xf numFmtId="44" fontId="42" fillId="0" borderId="0" xfId="5" applyFont="1" applyFill="1" applyBorder="1" applyAlignment="1">
      <alignment horizontal="right" wrapText="1"/>
    </xf>
    <xf numFmtId="0" fontId="5" fillId="0" borderId="0" xfId="6" applyFont="1" applyAlignment="1">
      <alignment vertical="top"/>
    </xf>
    <xf numFmtId="44" fontId="4" fillId="0" borderId="0" xfId="5" applyFont="1" applyFill="1" applyBorder="1"/>
    <xf numFmtId="0" fontId="4" fillId="0" borderId="0" xfId="6" applyAlignment="1">
      <alignment horizontal="left" vertical="top"/>
    </xf>
    <xf numFmtId="172" fontId="4" fillId="0" borderId="0" xfId="5" applyNumberFormat="1" applyFont="1" applyFill="1" applyAlignment="1"/>
    <xf numFmtId="0" fontId="4" fillId="0" borderId="0" xfId="6" quotePrefix="1" applyAlignment="1">
      <alignment horizontal="right" vertical="top"/>
    </xf>
    <xf numFmtId="174" fontId="4" fillId="0" borderId="0" xfId="6" applyNumberFormat="1" applyAlignment="1">
      <alignment vertical="top"/>
    </xf>
    <xf numFmtId="43" fontId="0" fillId="0" borderId="0" xfId="8" applyFont="1"/>
    <xf numFmtId="44" fontId="0" fillId="0" borderId="0" xfId="7" applyFont="1" applyFill="1"/>
    <xf numFmtId="164" fontId="0" fillId="0" borderId="0" xfId="8" applyNumberFormat="1" applyFont="1" applyFill="1"/>
    <xf numFmtId="44" fontId="0" fillId="0" borderId="0" xfId="7" applyFont="1" applyFill="1" applyBorder="1"/>
    <xf numFmtId="164" fontId="0" fillId="0" borderId="0" xfId="8" applyNumberFormat="1" applyFont="1" applyFill="1" applyBorder="1"/>
    <xf numFmtId="44" fontId="0" fillId="0" borderId="34" xfId="7" applyFont="1" applyFill="1" applyBorder="1"/>
    <xf numFmtId="0" fontId="0" fillId="0" borderId="35" xfId="0" applyBorder="1"/>
    <xf numFmtId="172" fontId="31" fillId="0" borderId="35" xfId="7" applyNumberFormat="1" applyFont="1" applyFill="1" applyBorder="1" applyAlignment="1">
      <alignment horizontal="center"/>
    </xf>
    <xf numFmtId="0" fontId="31" fillId="0" borderId="36" xfId="0" applyFont="1" applyBorder="1" applyAlignment="1">
      <alignment horizontal="center"/>
    </xf>
    <xf numFmtId="44" fontId="4" fillId="0" borderId="37" xfId="7" applyFont="1" applyFill="1" applyBorder="1"/>
    <xf numFmtId="172" fontId="0" fillId="0" borderId="0" xfId="7" applyNumberFormat="1" applyFont="1" applyFill="1" applyBorder="1"/>
    <xf numFmtId="172" fontId="0" fillId="0" borderId="38" xfId="7" applyNumberFormat="1" applyFont="1" applyFill="1" applyBorder="1"/>
    <xf numFmtId="164" fontId="0" fillId="0" borderId="39" xfId="8" applyNumberFormat="1" applyFont="1" applyFill="1" applyBorder="1"/>
    <xf numFmtId="44" fontId="0" fillId="0" borderId="38" xfId="7" applyFont="1" applyFill="1" applyBorder="1"/>
    <xf numFmtId="2" fontId="0" fillId="0" borderId="0" xfId="0" applyNumberFormat="1"/>
    <xf numFmtId="43" fontId="0" fillId="0" borderId="0" xfId="8" applyFont="1" applyFill="1" applyBorder="1"/>
    <xf numFmtId="43" fontId="0" fillId="0" borderId="38" xfId="8" applyFont="1" applyFill="1" applyBorder="1"/>
    <xf numFmtId="44" fontId="4" fillId="0" borderId="40" xfId="7" applyFont="1" applyFill="1" applyBorder="1"/>
    <xf numFmtId="0" fontId="0" fillId="0" borderId="41" xfId="0" applyBorder="1"/>
    <xf numFmtId="175" fontId="0" fillId="0" borderId="41" xfId="0" applyNumberFormat="1" applyBorder="1"/>
    <xf numFmtId="176" fontId="0" fillId="0" borderId="41" xfId="0" applyNumberFormat="1" applyBorder="1"/>
    <xf numFmtId="176" fontId="0" fillId="0" borderId="42" xfId="0" applyNumberFormat="1" applyBorder="1"/>
    <xf numFmtId="0" fontId="5" fillId="2" borderId="0" xfId="0" applyFont="1" applyFill="1" applyAlignment="1">
      <alignment horizontal="center"/>
    </xf>
    <xf numFmtId="0" fontId="5" fillId="0" borderId="2" xfId="3" applyFont="1" applyBorder="1" applyAlignment="1">
      <alignment horizontal="center"/>
    </xf>
    <xf numFmtId="0" fontId="5" fillId="0" borderId="7" xfId="3" applyFont="1" applyBorder="1" applyAlignment="1">
      <alignment horizontal="center"/>
    </xf>
    <xf numFmtId="0" fontId="5" fillId="0" borderId="6" xfId="3" applyFont="1" applyBorder="1" applyAlignment="1">
      <alignment horizontal="center"/>
    </xf>
    <xf numFmtId="0" fontId="38" fillId="0" borderId="0" xfId="3" applyFont="1" applyAlignment="1">
      <alignment horizontal="center"/>
    </xf>
    <xf numFmtId="0" fontId="38" fillId="0" borderId="13" xfId="3" applyFont="1" applyBorder="1" applyAlignment="1">
      <alignment horizontal="center"/>
    </xf>
    <xf numFmtId="0" fontId="4" fillId="0" borderId="7" xfId="3" applyFont="1" applyBorder="1" applyAlignment="1">
      <alignment horizontal="left"/>
    </xf>
    <xf numFmtId="0" fontId="5" fillId="0" borderId="5" xfId="3" applyFont="1" applyBorder="1" applyAlignment="1">
      <alignment horizontal="center"/>
    </xf>
    <xf numFmtId="0" fontId="5" fillId="0" borderId="3" xfId="3" applyFont="1" applyBorder="1" applyAlignment="1">
      <alignment horizontal="center"/>
    </xf>
    <xf numFmtId="38" fontId="4" fillId="0" borderId="0" xfId="3" applyNumberFormat="1" applyFont="1" applyAlignment="1">
      <alignment horizontal="center"/>
    </xf>
    <xf numFmtId="0" fontId="3" fillId="0" borderId="4" xfId="3" applyFont="1" applyBorder="1" applyAlignment="1">
      <alignment horizontal="center"/>
    </xf>
    <xf numFmtId="0" fontId="3" fillId="0" borderId="7" xfId="3" applyFont="1" applyBorder="1" applyAlignment="1">
      <alignment horizontal="center"/>
    </xf>
    <xf numFmtId="0" fontId="3" fillId="0" borderId="30" xfId="3" applyFont="1" applyBorder="1" applyAlignment="1">
      <alignment horizontal="center"/>
    </xf>
    <xf numFmtId="0" fontId="3" fillId="0" borderId="2" xfId="3" applyFont="1" applyBorder="1" applyAlignment="1">
      <alignment horizontal="center"/>
    </xf>
    <xf numFmtId="0" fontId="3" fillId="0" borderId="6" xfId="3" applyFont="1" applyBorder="1" applyAlignment="1">
      <alignment horizontal="center"/>
    </xf>
    <xf numFmtId="0" fontId="3" fillId="0" borderId="14" xfId="3" applyFont="1" applyBorder="1" applyAlignment="1">
      <alignment horizontal="center"/>
    </xf>
    <xf numFmtId="0" fontId="3" fillId="0" borderId="5" xfId="3" applyFont="1" applyBorder="1" applyAlignment="1">
      <alignment horizontal="center"/>
    </xf>
    <xf numFmtId="0" fontId="3" fillId="0" borderId="3" xfId="3" applyFont="1" applyBorder="1" applyAlignment="1">
      <alignment horizontal="center"/>
    </xf>
    <xf numFmtId="0" fontId="1" fillId="0" borderId="14" xfId="3" applyBorder="1" applyAlignment="1">
      <alignment horizontal="left"/>
    </xf>
    <xf numFmtId="38" fontId="1" fillId="0" borderId="0" xfId="3" applyNumberFormat="1" applyAlignment="1">
      <alignment horizontal="center"/>
    </xf>
    <xf numFmtId="0" fontId="3" fillId="0" borderId="0" xfId="3" applyFont="1" applyAlignment="1">
      <alignment horizontal="center"/>
    </xf>
    <xf numFmtId="0" fontId="12" fillId="0" borderId="14" xfId="3" applyFont="1" applyBorder="1" applyAlignment="1">
      <alignment horizontal="center"/>
    </xf>
    <xf numFmtId="0" fontId="3" fillId="0" borderId="0" xfId="3" applyFont="1" applyAlignment="1">
      <alignment horizontal="center" wrapText="1"/>
    </xf>
    <xf numFmtId="0" fontId="5" fillId="0" borderId="0" xfId="6" applyFont="1" applyAlignment="1">
      <alignment horizontal="left" vertical="top" wrapText="1"/>
    </xf>
    <xf numFmtId="0" fontId="24" fillId="3" borderId="0" xfId="9" applyFont="1" applyFill="1" applyAlignment="1">
      <alignment horizontal="left" wrapText="1"/>
    </xf>
    <xf numFmtId="0" fontId="26" fillId="3" borderId="0" xfId="9" applyFont="1" applyFill="1" applyAlignment="1">
      <alignment horizontal="left" vertical="top" wrapText="1"/>
    </xf>
    <xf numFmtId="0" fontId="22" fillId="3" borderId="0" xfId="9" applyFont="1" applyFill="1" applyAlignment="1">
      <alignment horizontal="left" wrapText="1"/>
    </xf>
    <xf numFmtId="0" fontId="23" fillId="3" borderId="0" xfId="9" applyFont="1" applyFill="1" applyAlignment="1">
      <alignment horizontal="left" wrapText="1"/>
    </xf>
    <xf numFmtId="0" fontId="44" fillId="6" borderId="0" xfId="2" applyFont="1" applyFill="1"/>
    <xf numFmtId="0" fontId="44" fillId="0" borderId="0" xfId="2" applyFont="1"/>
    <xf numFmtId="37" fontId="44" fillId="0" borderId="0" xfId="2" applyNumberFormat="1" applyFont="1"/>
    <xf numFmtId="37" fontId="44" fillId="6" borderId="0" xfId="2" applyNumberFormat="1" applyFont="1" applyFill="1"/>
  </cellXfs>
  <cellStyles count="13">
    <cellStyle name="Comma 2" xfId="4" xr:uid="{42365AC6-706C-4A83-8B88-16330F06D925}"/>
    <cellStyle name="Comma 2 2" xfId="8" xr:uid="{D79872D1-175B-44C3-9E82-752C87228B22}"/>
    <cellStyle name="Comma 3" xfId="10" xr:uid="{DEC923B3-D647-4366-8A80-B3FA662034CF}"/>
    <cellStyle name="Currency 2" xfId="5" xr:uid="{D9508A7C-7B5F-4D7F-A9D2-4FBA30B20CF8}"/>
    <cellStyle name="Currency 2 2" xfId="7" xr:uid="{C7D667F4-B79B-42E9-942C-7E2ADEFE853E}"/>
    <cellStyle name="Currency 3" xfId="11" xr:uid="{E9EFC1FF-12DE-4DEC-8355-C0890C5DAA4D}"/>
    <cellStyle name="Hyperlink" xfId="1" builtinId="8"/>
    <cellStyle name="Normal" xfId="0" builtinId="0"/>
    <cellStyle name="Normal 2" xfId="2" xr:uid="{07E61310-82D4-486D-85F1-116029245414}"/>
    <cellStyle name="Normal 3" xfId="3" xr:uid="{281EA848-79DF-482A-B365-026006CDB5BE}"/>
    <cellStyle name="Normal 3 2" xfId="6" xr:uid="{C8C062E9-946D-4007-B173-D9DE69838EA4}"/>
    <cellStyle name="Normal 4" xfId="9" xr:uid="{618200D2-BB61-4970-A1A5-AFF463A345ED}"/>
    <cellStyle name="Percent 2" xfId="12" xr:uid="{8C4AF1BD-6DF2-4FCD-B653-B7F4D0EDDF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361950</xdr:colOff>
      <xdr:row>58</xdr:row>
      <xdr:rowOff>47623</xdr:rowOff>
    </xdr:from>
    <xdr:to>
      <xdr:col>7</xdr:col>
      <xdr:colOff>0</xdr:colOff>
      <xdr:row>216</xdr:row>
      <xdr:rowOff>123825</xdr:rowOff>
    </xdr:to>
    <xdr:sp macro="" textlink="">
      <xdr:nvSpPr>
        <xdr:cNvPr id="2" name="TextBox 1">
          <a:extLst>
            <a:ext uri="{FF2B5EF4-FFF2-40B4-BE49-F238E27FC236}">
              <a16:creationId xmlns:a16="http://schemas.microsoft.com/office/drawing/2014/main" id="{306EEBC0-11D5-4700-88BF-8D02FF0C4C0B}"/>
            </a:ext>
          </a:extLst>
        </xdr:cNvPr>
        <xdr:cNvSpPr txBox="1"/>
      </xdr:nvSpPr>
      <xdr:spPr>
        <a:xfrm>
          <a:off x="971550" y="11391898"/>
          <a:ext cx="7429500" cy="256603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MIDAMERICAN ENERGY COMPANY</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903001 CUST ACCTS-GENL COMM</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Customer Accounts - General Communication</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in communications between the company and customers in response to a customer inquiry or request. This includes the cost of:</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Initiating regulated utility services</a:t>
          </a:r>
        </a:p>
        <a:p>
          <a:r>
            <a:rPr lang="en-US" sz="1100" b="0" i="0">
              <a:solidFill>
                <a:schemeClr val="dk1"/>
              </a:solidFill>
              <a:effectLst/>
              <a:latin typeface="+mn-lt"/>
              <a:ea typeface="+mn-ea"/>
              <a:cs typeface="+mn-cs"/>
            </a:rPr>
            <a:t>Establishing credit arrangements</a:t>
          </a:r>
        </a:p>
        <a:p>
          <a:r>
            <a:rPr lang="en-US" sz="1100" b="0" i="0">
              <a:solidFill>
                <a:schemeClr val="dk1"/>
              </a:solidFill>
              <a:effectLst/>
              <a:latin typeface="+mn-lt"/>
              <a:ea typeface="+mn-ea"/>
              <a:cs typeface="+mn-cs"/>
            </a:rPr>
            <a:t>Handling inquiries about account or billing information</a:t>
          </a:r>
        </a:p>
        <a:p>
          <a:r>
            <a:rPr lang="en-US" sz="1100" b="0" i="0">
              <a:solidFill>
                <a:schemeClr val="dk1"/>
              </a:solidFill>
              <a:effectLst/>
              <a:latin typeface="+mn-lt"/>
              <a:ea typeface="+mn-ea"/>
              <a:cs typeface="+mn-cs"/>
            </a:rPr>
            <a:t>Other general inquiries</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903010 MASS BILLING</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Mass Billings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in processing, verifying, adjusting, mailing and recording mass customer bills. Mass bills are produced automatically. This activity also includes the operation and maintenance of related machinery and the maintenance of related billing controls and tables with the customer service system.</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903011 SPECIAL BILLING</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Special Billing</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in processing, verifying, adjusting, mailing and recording mass special customer bills. Special bills are calculated individually. This activity also includes the cost of operation and maintenance of related machinery and the maintenance of related billing controls and tables with the customer service system.</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903020 CREDIT ANALYSIS</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Credit Analysis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for credit and risk analysis of new and existing customers. This activity includes the cost of related items such as: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Mailings and report preparation related to delinquent accounts</a:t>
          </a:r>
        </a:p>
        <a:p>
          <a:r>
            <a:rPr lang="en-US" sz="1100" b="0" i="0">
              <a:solidFill>
                <a:schemeClr val="dk1"/>
              </a:solidFill>
              <a:effectLst/>
              <a:latin typeface="+mn-lt"/>
              <a:ea typeface="+mn-ea"/>
              <a:cs typeface="+mn-cs"/>
            </a:rPr>
            <a:t>Final meter reads when done by field personnel. This includes cut-outs, cut-ins, final bill disconnects per credit and door hangers for credit action.</a:t>
          </a:r>
        </a:p>
        <a:p>
          <a:r>
            <a:rPr lang="en-US" sz="1100" b="0" i="0">
              <a:solidFill>
                <a:schemeClr val="dk1"/>
              </a:solidFill>
              <a:effectLst/>
              <a:latin typeface="+mn-lt"/>
              <a:ea typeface="+mn-ea"/>
              <a:cs typeface="+mn-cs"/>
            </a:rPr>
            <a:t>Management of collection agencies used to collect such accounts</a:t>
          </a:r>
        </a:p>
        <a:p>
          <a:r>
            <a:rPr lang="en-US" sz="1100" b="0" i="0">
              <a:solidFill>
                <a:schemeClr val="dk1"/>
              </a:solidFill>
              <a:effectLst/>
              <a:latin typeface="+mn-lt"/>
              <a:ea typeface="+mn-ea"/>
              <a:cs typeface="+mn-cs"/>
            </a:rPr>
            <a:t>Investigation of customer credit</a:t>
          </a:r>
        </a:p>
        <a:p>
          <a:r>
            <a:rPr lang="en-US" sz="1100" b="0" i="0">
              <a:solidFill>
                <a:schemeClr val="dk1"/>
              </a:solidFill>
              <a:effectLst/>
              <a:latin typeface="+mn-lt"/>
              <a:ea typeface="+mn-ea"/>
              <a:cs typeface="+mn-cs"/>
            </a:rPr>
            <a:t>Maintenance of customer credit records</a:t>
          </a:r>
        </a:p>
        <a:p>
          <a:r>
            <a:rPr lang="en-US" sz="1100" b="0" i="0">
              <a:solidFill>
                <a:schemeClr val="dk1"/>
              </a:solidFill>
              <a:effectLst/>
              <a:latin typeface="+mn-lt"/>
              <a:ea typeface="+mn-ea"/>
              <a:cs typeface="+mn-cs"/>
            </a:rPr>
            <a:t>Securing, refunding or applying customer deposits</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903030 CUST PYMNTS-ONLINE</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Customer Payments - Online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in processing customer payments related to the online cashiering system, pay stations and payments processed through methods other than remittance machines. This activity includes the cost of related items such as: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Collecting payments</a:t>
          </a:r>
        </a:p>
        <a:p>
          <a:r>
            <a:rPr lang="en-US" sz="1100" b="0" i="0">
              <a:solidFill>
                <a:schemeClr val="dk1"/>
              </a:solidFill>
              <a:effectLst/>
              <a:latin typeface="+mn-lt"/>
              <a:ea typeface="+mn-ea"/>
              <a:cs typeface="+mn-cs"/>
            </a:rPr>
            <a:t>Balancing and posting collections</a:t>
          </a:r>
        </a:p>
        <a:p>
          <a:r>
            <a:rPr lang="en-US" sz="1100" b="0" i="0">
              <a:solidFill>
                <a:schemeClr val="dk1"/>
              </a:solidFill>
              <a:effectLst/>
              <a:latin typeface="+mn-lt"/>
              <a:ea typeface="+mn-ea"/>
              <a:cs typeface="+mn-cs"/>
            </a:rPr>
            <a:t>Preparing collections for deposit</a:t>
          </a:r>
        </a:p>
        <a:p>
          <a:r>
            <a:rPr lang="en-US" sz="1100" b="0" i="0">
              <a:solidFill>
                <a:schemeClr val="dk1"/>
              </a:solidFill>
              <a:effectLst/>
              <a:latin typeface="+mn-lt"/>
              <a:ea typeface="+mn-ea"/>
              <a:cs typeface="+mn-cs"/>
            </a:rPr>
            <a:t>Preparing cash reports</a:t>
          </a:r>
        </a:p>
        <a:p>
          <a:r>
            <a:rPr lang="en-US" sz="1100" b="0" i="0">
              <a:solidFill>
                <a:schemeClr val="dk1"/>
              </a:solidFill>
              <a:effectLst/>
              <a:latin typeface="+mn-lt"/>
              <a:ea typeface="+mn-ea"/>
              <a:cs typeface="+mn-cs"/>
            </a:rPr>
            <a:t>Balancing customer accounts</a:t>
          </a:r>
        </a:p>
        <a:p>
          <a:r>
            <a:rPr lang="en-US" sz="1100" b="0" i="0">
              <a:solidFill>
                <a:schemeClr val="dk1"/>
              </a:solidFill>
              <a:effectLst/>
              <a:latin typeface="+mn-lt"/>
              <a:ea typeface="+mn-ea"/>
              <a:cs typeface="+mn-cs"/>
            </a:rPr>
            <a:t>Posting credits and charges to customer accounts</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903031 CUST PYMNTS-MACHINE</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Customer Payments - Machine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in processing customer payments with remittance machines. This activity includes the cost of related items such as: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Collecting payments</a:t>
          </a:r>
        </a:p>
        <a:p>
          <a:r>
            <a:rPr lang="en-US" sz="1100" b="0" i="0">
              <a:solidFill>
                <a:schemeClr val="dk1"/>
              </a:solidFill>
              <a:effectLst/>
              <a:latin typeface="+mn-lt"/>
              <a:ea typeface="+mn-ea"/>
              <a:cs typeface="+mn-cs"/>
            </a:rPr>
            <a:t>Balancing and posting collections</a:t>
          </a:r>
        </a:p>
        <a:p>
          <a:r>
            <a:rPr lang="en-US" sz="1100" b="0" i="0">
              <a:solidFill>
                <a:schemeClr val="dk1"/>
              </a:solidFill>
              <a:effectLst/>
              <a:latin typeface="+mn-lt"/>
              <a:ea typeface="+mn-ea"/>
              <a:cs typeface="+mn-cs"/>
            </a:rPr>
            <a:t>Preparing collections for deposit</a:t>
          </a:r>
        </a:p>
        <a:p>
          <a:r>
            <a:rPr lang="en-US" sz="1100" b="0" i="0">
              <a:solidFill>
                <a:schemeClr val="dk1"/>
              </a:solidFill>
              <a:effectLst/>
              <a:latin typeface="+mn-lt"/>
              <a:ea typeface="+mn-ea"/>
              <a:cs typeface="+mn-cs"/>
            </a:rPr>
            <a:t>Preparing cash reports</a:t>
          </a:r>
        </a:p>
        <a:p>
          <a:r>
            <a:rPr lang="en-US" sz="1100" b="0" i="0">
              <a:solidFill>
                <a:schemeClr val="dk1"/>
              </a:solidFill>
              <a:effectLst/>
              <a:latin typeface="+mn-lt"/>
              <a:ea typeface="+mn-ea"/>
              <a:cs typeface="+mn-cs"/>
            </a:rPr>
            <a:t>Balancing customer accounts</a:t>
          </a:r>
        </a:p>
        <a:p>
          <a:r>
            <a:rPr lang="en-US" sz="1100" b="0" i="0">
              <a:solidFill>
                <a:schemeClr val="dk1"/>
              </a:solidFill>
              <a:effectLst/>
              <a:latin typeface="+mn-lt"/>
              <a:ea typeface="+mn-ea"/>
              <a:cs typeface="+mn-cs"/>
            </a:rPr>
            <a:t>Posting credits and charges to customer accounts</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903032 CUST PYMNTS-RESEARCH</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Customer Payments - Research</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in researching customer payments from a variety of payment methods. This activity includes the cost of related items such as: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Misplaced payments</a:t>
          </a:r>
        </a:p>
        <a:p>
          <a:r>
            <a:rPr lang="en-US" sz="1100" b="0" i="0">
              <a:solidFill>
                <a:schemeClr val="dk1"/>
              </a:solidFill>
              <a:effectLst/>
              <a:latin typeface="+mn-lt"/>
              <a:ea typeface="+mn-ea"/>
              <a:cs typeface="+mn-cs"/>
            </a:rPr>
            <a:t>Lost payments</a:t>
          </a:r>
        </a:p>
        <a:p>
          <a:r>
            <a:rPr lang="en-US" sz="1100" b="0" i="0">
              <a:solidFill>
                <a:schemeClr val="dk1"/>
              </a:solidFill>
              <a:effectLst/>
              <a:latin typeface="+mn-lt"/>
              <a:ea typeface="+mn-ea"/>
              <a:cs typeface="+mn-cs"/>
            </a:rPr>
            <a:t>Misapplied payments</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903100 CUST SVC-COMPUTER</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Customer Service System - Computer</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all costs incurred in supporting the customer service computer system (hardware and software) and its users. This activity includes: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Information technology personnel labor and expenses</a:t>
          </a:r>
        </a:p>
        <a:p>
          <a:r>
            <a:rPr lang="en-US" sz="1100" b="0" i="0">
              <a:solidFill>
                <a:schemeClr val="dk1"/>
              </a:solidFill>
              <a:effectLst/>
              <a:latin typeface="+mn-lt"/>
              <a:ea typeface="+mn-ea"/>
              <a:cs typeface="+mn-cs"/>
            </a:rPr>
            <a:t>Consultant fees and expenses</a:t>
          </a:r>
        </a:p>
        <a:p>
          <a:r>
            <a:rPr lang="en-US" sz="1100" b="0" i="0">
              <a:solidFill>
                <a:schemeClr val="dk1"/>
              </a:solidFill>
              <a:effectLst/>
              <a:latin typeface="+mn-lt"/>
              <a:ea typeface="+mn-ea"/>
              <a:cs typeface="+mn-cs"/>
            </a:rPr>
            <a:t>Maintenance costs for hardware and software</a:t>
          </a:r>
        </a:p>
        <a:p>
          <a:r>
            <a:rPr lang="en-US" sz="1100" b="0" i="0">
              <a:solidFill>
                <a:schemeClr val="dk1"/>
              </a:solidFill>
              <a:effectLst/>
              <a:latin typeface="+mn-lt"/>
              <a:ea typeface="+mn-ea"/>
              <a:cs typeface="+mn-cs"/>
            </a:rPr>
            <a:t>Dedicated time of customer service personnel</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903200 CUSTOMER-CENTRIC OPS</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Customer-Centric Operations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in the general management and oversight of customer-centric operations. This includes aligning technologies and processes to meet customer needs, time-scheduled appointments for customer requested orders and measuring performance with customer-centric key performance indicators. The cost of supervising and carrying out such orders is chargeable to the account for the work associated with these orders.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904001 UNCOLL ACCTS-NONSVC</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Uncollectible Accounts - Non-Service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amounts sufficient to provide for losses from utility non-service revenue. Concurrent credits shall be made to account </a:t>
          </a:r>
          <a:r>
            <a:rPr lang="en-US" sz="1100" b="0" i="0" u="none" strike="noStrike">
              <a:solidFill>
                <a:schemeClr val="dk1"/>
              </a:solidFill>
              <a:effectLst/>
              <a:latin typeface="+mn-lt"/>
              <a:ea typeface="+mn-ea"/>
              <a:cs typeface="+mn-cs"/>
              <a:hlinkClick xmlns:r="http://schemas.openxmlformats.org/officeDocument/2006/relationships" r:id=""/>
            </a:rPr>
            <a:t>144.001</a:t>
          </a:r>
          <a:r>
            <a:rPr lang="en-US" sz="1100" b="0" i="0">
              <a:solidFill>
                <a:schemeClr val="dk1"/>
              </a:solidFill>
              <a:effectLst/>
              <a:latin typeface="+mn-lt"/>
              <a:ea typeface="+mn-ea"/>
              <a:cs typeface="+mn-cs"/>
            </a:rPr>
            <a:t>, accumulated uncollectible accounts - non-service. Actual losses from uncollectible electric or gas regulated service accounts shall also be charged to account 144.001.</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904010 UNCOLL ACCTS-ET WHSL</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Uncollectible Accounts - Electric Trading - Wholesale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amounts sufficient to provide for losses from electric trading revenue. Concurrent credits shall be made to account </a:t>
          </a:r>
          <a:r>
            <a:rPr lang="en-US" sz="1100" b="0" i="0" u="none" strike="noStrike">
              <a:solidFill>
                <a:schemeClr val="dk1"/>
              </a:solidFill>
              <a:effectLst/>
              <a:latin typeface="+mn-lt"/>
              <a:ea typeface="+mn-ea"/>
              <a:cs typeface="+mn-cs"/>
              <a:hlinkClick xmlns:r="http://schemas.openxmlformats.org/officeDocument/2006/relationships" r:id=""/>
            </a:rPr>
            <a:t>144.001</a:t>
          </a:r>
          <a:r>
            <a:rPr lang="en-US" sz="1100" b="0" i="0">
              <a:solidFill>
                <a:schemeClr val="dk1"/>
              </a:solidFill>
              <a:effectLst/>
              <a:latin typeface="+mn-lt"/>
              <a:ea typeface="+mn-ea"/>
              <a:cs typeface="+mn-cs"/>
            </a:rPr>
            <a:t>, accumulated uncollectible accounts - wholesale electric trading. Closed September 2023.</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904013 UNCOLL ACCTS-CLAIMS</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Uncollectible Accounts - Claims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amounts sufficient to provide for losses from utility claims billings. Concurrent credits shall be made to account </a:t>
          </a:r>
          <a:r>
            <a:rPr lang="en-US" sz="1100" b="0" i="0" u="none" strike="noStrike">
              <a:solidFill>
                <a:schemeClr val="dk1"/>
              </a:solidFill>
              <a:effectLst/>
              <a:latin typeface="+mn-lt"/>
              <a:ea typeface="+mn-ea"/>
              <a:cs typeface="+mn-cs"/>
              <a:hlinkClick xmlns:r="http://schemas.openxmlformats.org/officeDocument/2006/relationships" r:id=""/>
            </a:rPr>
            <a:t>144.013</a:t>
          </a:r>
          <a:r>
            <a:rPr lang="en-US" sz="1100" b="0" i="0">
              <a:solidFill>
                <a:schemeClr val="dk1"/>
              </a:solidFill>
              <a:effectLst/>
              <a:latin typeface="+mn-lt"/>
              <a:ea typeface="+mn-ea"/>
              <a:cs typeface="+mn-cs"/>
            </a:rPr>
            <a:t>, accumulated uncollectible accounts - claims. Actual losses from uncollectible claims shall also be charged to 144.013.</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904040 UNCOLL ACCTS-SERVICE</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Uncollectible Accounts - Service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amounts sufficient to provide for losses from utility service (regulated gas and electric) revenue. Concurrent credits shall be made to account </a:t>
          </a:r>
          <a:r>
            <a:rPr lang="en-US" sz="1100" b="0" i="0" u="none" strike="noStrike">
              <a:solidFill>
                <a:schemeClr val="dk1"/>
              </a:solidFill>
              <a:effectLst/>
              <a:latin typeface="+mn-lt"/>
              <a:ea typeface="+mn-ea"/>
              <a:cs typeface="+mn-cs"/>
              <a:hlinkClick xmlns:r="http://schemas.openxmlformats.org/officeDocument/2006/relationships" r:id=""/>
            </a:rPr>
            <a:t>144.002</a:t>
          </a:r>
          <a:r>
            <a:rPr lang="en-US" sz="1100" b="0" i="0">
              <a:solidFill>
                <a:schemeClr val="dk1"/>
              </a:solidFill>
              <a:effectLst/>
              <a:latin typeface="+mn-lt"/>
              <a:ea typeface="+mn-ea"/>
              <a:cs typeface="+mn-cs"/>
            </a:rPr>
            <a:t>, accumulated uncollectible accounts - electric and gas. Actual losses from uncollectible electric or gas regulated service accounts shall also be charged to account 144.002.</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904100 REG CUST SETTLEMENTS</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Regulated Customer Settlements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above-the-line activity is used to record regulated customer settlements for service related adjustments.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905001 MISC CUST ACCT EXP</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Miscellaneous Customer Account Expense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related to customer account functions that are not more appropriately chargeable to FERC account </a:t>
          </a:r>
          <a:r>
            <a:rPr lang="en-US" sz="1100" b="0" i="0" u="none" strike="noStrike">
              <a:solidFill>
                <a:schemeClr val="dk1"/>
              </a:solidFill>
              <a:effectLst/>
              <a:latin typeface="+mn-lt"/>
              <a:ea typeface="+mn-ea"/>
              <a:cs typeface="+mn-cs"/>
              <a:hlinkClick xmlns:r="http://schemas.openxmlformats.org/officeDocument/2006/relationships" r:id=""/>
            </a:rPr>
            <a:t>901</a:t>
          </a:r>
          <a:r>
            <a:rPr lang="en-US" sz="1100" b="0" i="0">
              <a:solidFill>
                <a:schemeClr val="dk1"/>
              </a:solidFill>
              <a:effectLst/>
              <a:latin typeface="+mn-lt"/>
              <a:ea typeface="+mn-ea"/>
              <a:cs typeface="+mn-cs"/>
            </a:rPr>
            <a:t>, </a:t>
          </a:r>
          <a:r>
            <a:rPr lang="en-US" sz="1100" b="0" i="0" u="none" strike="noStrike">
              <a:solidFill>
                <a:schemeClr val="dk1"/>
              </a:solidFill>
              <a:effectLst/>
              <a:latin typeface="+mn-lt"/>
              <a:ea typeface="+mn-ea"/>
              <a:cs typeface="+mn-cs"/>
              <a:hlinkClick xmlns:r="http://schemas.openxmlformats.org/officeDocument/2006/relationships" r:id=""/>
            </a:rPr>
            <a:t>902</a:t>
          </a:r>
          <a:r>
            <a:rPr lang="en-US" sz="1100" b="0" i="0">
              <a:solidFill>
                <a:schemeClr val="dk1"/>
              </a:solidFill>
              <a:effectLst/>
              <a:latin typeface="+mn-lt"/>
              <a:ea typeface="+mn-ea"/>
              <a:cs typeface="+mn-cs"/>
            </a:rPr>
            <a:t> or </a:t>
          </a:r>
          <a:r>
            <a:rPr lang="en-US" sz="1100" b="0" i="0" u="none" strike="noStrike">
              <a:solidFill>
                <a:schemeClr val="dk1"/>
              </a:solidFill>
              <a:effectLst/>
              <a:latin typeface="+mn-lt"/>
              <a:ea typeface="+mn-ea"/>
              <a:cs typeface="+mn-cs"/>
              <a:hlinkClick xmlns:r="http://schemas.openxmlformats.org/officeDocument/2006/relationships" r:id=""/>
            </a:rPr>
            <a:t>903</a:t>
          </a:r>
          <a:r>
            <a:rPr lang="en-US" sz="1100" b="0" i="0">
              <a:solidFill>
                <a:schemeClr val="dk1"/>
              </a:solidFill>
              <a:effectLst/>
              <a:latin typeface="+mn-lt"/>
              <a:ea typeface="+mn-ea"/>
              <a:cs typeface="+mn-cs"/>
            </a:rPr>
            <a:t>. This includes costs for general clerical work, training and safety programs not chargeable elsewhere, as well as unproductive time and other general functions.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908001 CUST ASSISTANCE GEN</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Customer Assistance - General</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relating to the performance of customer service activities designed to encourage safe, efficient and economical use of utility service. This activity includes:Processing customer inquiries relating to the use of electric or gas equipment</a:t>
          </a:r>
        </a:p>
        <a:p>
          <a:r>
            <a:rPr lang="en-US" sz="1100" b="0" i="0">
              <a:solidFill>
                <a:schemeClr val="dk1"/>
              </a:solidFill>
              <a:effectLst/>
              <a:latin typeface="+mn-lt"/>
              <a:ea typeface="+mn-ea"/>
              <a:cs typeface="+mn-cs"/>
            </a:rPr>
            <a:t>Providing engineering and technical advice to customers</a:t>
          </a:r>
        </a:p>
        <a:p>
          <a:r>
            <a:rPr lang="en-US" sz="1100" b="0" i="0">
              <a:solidFill>
                <a:schemeClr val="dk1"/>
              </a:solidFill>
              <a:effectLst/>
              <a:latin typeface="+mn-lt"/>
              <a:ea typeface="+mn-ea"/>
              <a:cs typeface="+mn-cs"/>
            </a:rPr>
            <a:t>Presenting demonstrations, exhibits, lectures and other related programs</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908101 DSM PROGRAMS-ELEC</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Demand Side Management Programs - Electric</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associated with electric energy efficiency plans that are non-incremental. This activity requires the use of a project and subnumber. Closed September 2023.</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908102 ELEC EE PRG-NONRECOV</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Electric Energy Efficiency Programs - Non-recoverable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for electric energy efficiency programs not subject to cost recovery.</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908103 DSM ELECT-AMORT</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Demand Side Management Electric Amortization</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below-the-line activity is used to record the demand side management electric amortization.</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908110 E-ENERGY ASSIS CHG</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Electric Energy Assistance Charge - Illinois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the expense charged Illinois electric customers for the energy assistance charge. Amounts collected are remitted to Illinois Department of Revenue on a monthly basis. The credit is to </a:t>
          </a:r>
          <a:r>
            <a:rPr lang="en-US" sz="1100" b="0" i="0" u="none" strike="noStrike">
              <a:solidFill>
                <a:schemeClr val="dk1"/>
              </a:solidFill>
              <a:effectLst/>
              <a:latin typeface="+mn-lt"/>
              <a:ea typeface="+mn-ea"/>
              <a:cs typeface="+mn-cs"/>
              <a:hlinkClick xmlns:r="http://schemas.openxmlformats.org/officeDocument/2006/relationships" r:id=""/>
            </a:rPr>
            <a:t>232.810</a:t>
          </a:r>
          <a:r>
            <a:rPr lang="en-US" sz="1100" b="0" i="0">
              <a:solidFill>
                <a:schemeClr val="dk1"/>
              </a:solidFill>
              <a:effectLst/>
              <a:latin typeface="+mn-lt"/>
              <a:ea typeface="+mn-ea"/>
              <a:cs typeface="+mn-cs"/>
            </a:rPr>
            <a:t>.</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908120 E-RENEW RESOUR CHG</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Electric Renewable Resources and Coal Technology Charge - Illinois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the expense charged Illinois customers for the renewable resources and coal technology charge. Amounts collected are remitted to Illinois Department of Revenue on a monthly basis. The credit is to </a:t>
          </a:r>
          <a:r>
            <a:rPr lang="en-US" sz="1100" b="0" i="0" u="none" strike="noStrike">
              <a:solidFill>
                <a:schemeClr val="dk1"/>
              </a:solidFill>
              <a:effectLst/>
              <a:latin typeface="+mn-lt"/>
              <a:ea typeface="+mn-ea"/>
              <a:cs typeface="+mn-cs"/>
              <a:hlinkClick xmlns:r="http://schemas.openxmlformats.org/officeDocument/2006/relationships" r:id=""/>
            </a:rPr>
            <a:t>232.810</a:t>
          </a:r>
          <a:r>
            <a:rPr lang="en-US" sz="1100" b="0" i="0">
              <a:solidFill>
                <a:schemeClr val="dk1"/>
              </a:solidFill>
              <a:effectLst/>
              <a:latin typeface="+mn-lt"/>
              <a:ea typeface="+mn-ea"/>
              <a:cs typeface="+mn-cs"/>
            </a:rPr>
            <a:t>.</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908130 E-ILL EE TRUST FUND</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Electric Illinois Energy Efficiency Trust Fund</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the Illinois electric energy efficiency trust fund contributions.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908201 DSM PROGRAMS-GAS-IL</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Demand Side Management Programs - Gas - Illinois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the costs associated with the gas energy efficiency plan in Illinois that are non-incremental. This activity requires the use of a project and subnumber. Closed September 2023.</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908202 GAS EE-BASE RATES</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Gas Energy Efficiency Programs in Base Rates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the costs for gas energy efficiency programs not subject to cost recovery through a separate ECR factor.</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908204 DSM GAS-AMORT</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Gas Energy Efficiency Expenses Amortization</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the expense the currently recovered energy efficiency costs.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908210 G-ENERGY ASSIS CHG</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Gas Energy Assistance Charge Illinois Customers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the expense charged Illinois customers for the energy assistance charge. Amounts collected are remitted to the Illinois Department of Revenue on a monthly basis. The credit is to </a:t>
          </a:r>
          <a:r>
            <a:rPr lang="en-US" sz="1100" b="0" i="0" u="none" strike="noStrike">
              <a:solidFill>
                <a:schemeClr val="dk1"/>
              </a:solidFill>
              <a:effectLst/>
              <a:latin typeface="+mn-lt"/>
              <a:ea typeface="+mn-ea"/>
              <a:cs typeface="+mn-cs"/>
              <a:hlinkClick xmlns:r="http://schemas.openxmlformats.org/officeDocument/2006/relationships" r:id=""/>
            </a:rPr>
            <a:t>232.810</a:t>
          </a:r>
          <a:r>
            <a:rPr lang="en-US" sz="1100" b="0" i="0">
              <a:solidFill>
                <a:schemeClr val="dk1"/>
              </a:solidFill>
              <a:effectLst/>
              <a:latin typeface="+mn-lt"/>
              <a:ea typeface="+mn-ea"/>
              <a:cs typeface="+mn-cs"/>
            </a:rPr>
            <a:t>.</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908220 G-RENEW RESOUR CHG</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Gas Renewable Resources and Coal Technology Charge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the expense charged Illinois customers for the renewable resources and coal technology charge. Amounts collected are remitted to the Illinois Department of Revenue on a monthly basis. The credit is to </a:t>
          </a:r>
          <a:r>
            <a:rPr lang="en-US" sz="1100" b="0" i="0" u="none" strike="noStrike">
              <a:solidFill>
                <a:schemeClr val="dk1"/>
              </a:solidFill>
              <a:effectLst/>
              <a:latin typeface="+mn-lt"/>
              <a:ea typeface="+mn-ea"/>
              <a:cs typeface="+mn-cs"/>
              <a:hlinkClick xmlns:r="http://schemas.openxmlformats.org/officeDocument/2006/relationships" r:id=""/>
            </a:rPr>
            <a:t>232.810</a:t>
          </a:r>
          <a:r>
            <a:rPr lang="en-US" sz="1100" b="0" i="0">
              <a:solidFill>
                <a:schemeClr val="dk1"/>
              </a:solidFill>
              <a:effectLst/>
              <a:latin typeface="+mn-lt"/>
              <a:ea typeface="+mn-ea"/>
              <a:cs typeface="+mn-cs"/>
            </a:rPr>
            <a:t>.</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909001 ENRGY 4 EDU/SFTY ADV</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Energy for Education and Safety Advertising</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the costs associated with creating, producing and placing energy for education material and safety advertising. It includes developing creative concepts, producing advertisements and placing the advertisement in the appropriate media.</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910001 MISC CUST SVC/INFORM</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Miscellaneous Customer Service and Informational Expense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miscellaneous costs related to customer assistance and informational activities that are not more appropriately charged to FERC accounts </a:t>
          </a:r>
          <a:r>
            <a:rPr lang="en-US" sz="1100" b="0" i="0" u="none" strike="noStrike">
              <a:solidFill>
                <a:schemeClr val="dk1"/>
              </a:solidFill>
              <a:effectLst/>
              <a:latin typeface="+mn-lt"/>
              <a:ea typeface="+mn-ea"/>
              <a:cs typeface="+mn-cs"/>
              <a:hlinkClick xmlns:r="http://schemas.openxmlformats.org/officeDocument/2006/relationships" r:id=""/>
            </a:rPr>
            <a:t>908</a:t>
          </a:r>
          <a:r>
            <a:rPr lang="en-US" sz="1100" b="0" i="0">
              <a:solidFill>
                <a:schemeClr val="dk1"/>
              </a:solidFill>
              <a:effectLst/>
              <a:latin typeface="+mn-lt"/>
              <a:ea typeface="+mn-ea"/>
              <a:cs typeface="+mn-cs"/>
            </a:rPr>
            <a:t> or </a:t>
          </a:r>
          <a:r>
            <a:rPr lang="en-US" sz="1100" b="0" i="0" u="none" strike="noStrike">
              <a:solidFill>
                <a:schemeClr val="dk1"/>
              </a:solidFill>
              <a:effectLst/>
              <a:latin typeface="+mn-lt"/>
              <a:ea typeface="+mn-ea"/>
              <a:cs typeface="+mn-cs"/>
              <a:hlinkClick xmlns:r="http://schemas.openxmlformats.org/officeDocument/2006/relationships" r:id=""/>
            </a:rPr>
            <a:t>909</a:t>
          </a:r>
          <a:r>
            <a:rPr lang="en-US" sz="1100" b="0" i="0">
              <a:solidFill>
                <a:schemeClr val="dk1"/>
              </a:solidFill>
              <a:effectLst/>
              <a:latin typeface="+mn-lt"/>
              <a:ea typeface="+mn-ea"/>
              <a:cs typeface="+mn-cs"/>
            </a:rPr>
            <a:t>. It includes general clerical and general communication expenses related to these activities.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p>
        <a:p>
          <a:endParaRPr lang="en-US" sz="1100"/>
        </a:p>
      </xdr:txBody>
    </xdr:sp>
    <xdr:clientData/>
  </xdr:twoCellAnchor>
  <xdr:twoCellAnchor>
    <xdr:from>
      <xdr:col>1</xdr:col>
      <xdr:colOff>333375</xdr:colOff>
      <xdr:row>219</xdr:row>
      <xdr:rowOff>142874</xdr:rowOff>
    </xdr:from>
    <xdr:to>
      <xdr:col>7</xdr:col>
      <xdr:colOff>0</xdr:colOff>
      <xdr:row>258</xdr:row>
      <xdr:rowOff>47624</xdr:rowOff>
    </xdr:to>
    <xdr:sp macro="" textlink="">
      <xdr:nvSpPr>
        <xdr:cNvPr id="3" name="TextBox 2">
          <a:extLst>
            <a:ext uri="{FF2B5EF4-FFF2-40B4-BE49-F238E27FC236}">
              <a16:creationId xmlns:a16="http://schemas.microsoft.com/office/drawing/2014/main" id="{529AC99D-BB4D-41D9-ACD0-5C557FD2D1C0}"/>
            </a:ext>
          </a:extLst>
        </xdr:cNvPr>
        <xdr:cNvSpPr txBox="1"/>
      </xdr:nvSpPr>
      <xdr:spPr>
        <a:xfrm>
          <a:off x="942975" y="37557074"/>
          <a:ext cx="7458075" cy="6219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912001 SUPPORT ECONOMIC DEV</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Support Economic Development</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associated with aiding in the development of various community projects. The objective of the company's effort is to promote or retain the use of utility services by present and projective customers. This activity includes costs for:Responding to requests for community support</a:t>
          </a:r>
        </a:p>
        <a:p>
          <a:r>
            <a:rPr lang="en-US" sz="1100" b="0" i="0">
              <a:solidFill>
                <a:schemeClr val="dk1"/>
              </a:solidFill>
              <a:effectLst/>
              <a:latin typeface="+mn-lt"/>
              <a:ea typeface="+mn-ea"/>
              <a:cs typeface="+mn-cs"/>
            </a:rPr>
            <a:t>Managing community development contributions</a:t>
          </a:r>
        </a:p>
        <a:p>
          <a:r>
            <a:rPr lang="en-US" sz="1100" b="0" i="0">
              <a:solidFill>
                <a:schemeClr val="dk1"/>
              </a:solidFill>
              <a:effectLst/>
              <a:latin typeface="+mn-lt"/>
              <a:ea typeface="+mn-ea"/>
              <a:cs typeface="+mn-cs"/>
            </a:rPr>
            <a:t>Building relations with community leaders</a:t>
          </a:r>
        </a:p>
        <a:p>
          <a:r>
            <a:rPr lang="en-US" sz="1100" b="0" i="0">
              <a:solidFill>
                <a:schemeClr val="dk1"/>
              </a:solidFill>
              <a:effectLst/>
              <a:latin typeface="+mn-lt"/>
              <a:ea typeface="+mn-ea"/>
              <a:cs typeface="+mn-cs"/>
            </a:rPr>
            <a:t>Other similar functions</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912010 WHSL ELE TRADE AGREE</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Wholesale Electric Trade Agreements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 associated with administering contracts for electric trading wholesale power sales. It includes:Contracting marketing activities for wholesale requirements</a:t>
          </a:r>
        </a:p>
        <a:p>
          <a:r>
            <a:rPr lang="en-US" sz="1100" b="0" i="0">
              <a:solidFill>
                <a:schemeClr val="dk1"/>
              </a:solidFill>
              <a:effectLst/>
              <a:latin typeface="+mn-lt"/>
              <a:ea typeface="+mn-ea"/>
              <a:cs typeface="+mn-cs"/>
            </a:rPr>
            <a:t>Conducting bids</a:t>
          </a:r>
        </a:p>
        <a:p>
          <a:r>
            <a:rPr lang="en-US" sz="1100" b="0" i="0">
              <a:solidFill>
                <a:schemeClr val="dk1"/>
              </a:solidFill>
              <a:effectLst/>
              <a:latin typeface="+mn-lt"/>
              <a:ea typeface="+mn-ea"/>
              <a:cs typeface="+mn-cs"/>
            </a:rPr>
            <a:t>Preparing contracts</a:t>
          </a:r>
        </a:p>
        <a:p>
          <a:r>
            <a:rPr lang="en-US" sz="1100" b="0" i="0">
              <a:solidFill>
                <a:schemeClr val="dk1"/>
              </a:solidFill>
              <a:effectLst/>
              <a:latin typeface="+mn-lt"/>
              <a:ea typeface="+mn-ea"/>
              <a:cs typeface="+mn-cs"/>
            </a:rPr>
            <a:t>Maintaining relations with buyers</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912020 ASSIGNED CUSTOMERS</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Assigned Customers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 incurred for communications with an assigned customer in which issues are identified and subsequently resolved. It also includes the executive call program but is separate from sales calls typically performed by an account executive. This activity includes:Regular servicing and problem solving of assigned accounts</a:t>
          </a:r>
        </a:p>
        <a:p>
          <a:r>
            <a:rPr lang="en-US" sz="1100" b="0" i="0">
              <a:solidFill>
                <a:schemeClr val="dk1"/>
              </a:solidFill>
              <a:effectLst/>
              <a:latin typeface="+mn-lt"/>
              <a:ea typeface="+mn-ea"/>
              <a:cs typeface="+mn-cs"/>
            </a:rPr>
            <a:t>Identification of long-term customer needs</a:t>
          </a:r>
        </a:p>
        <a:p>
          <a:r>
            <a:rPr lang="en-US" sz="1100" b="0" i="0">
              <a:solidFill>
                <a:schemeClr val="dk1"/>
              </a:solidFill>
              <a:effectLst/>
              <a:latin typeface="+mn-lt"/>
              <a:ea typeface="+mn-ea"/>
              <a:cs typeface="+mn-cs"/>
            </a:rPr>
            <a:t>Strategic planning to meet those needs</a:t>
          </a:r>
        </a:p>
        <a:p>
          <a:r>
            <a:rPr lang="en-US" sz="1100" b="0" i="0">
              <a:solidFill>
                <a:schemeClr val="dk1"/>
              </a:solidFill>
              <a:effectLst/>
              <a:latin typeface="+mn-lt"/>
              <a:ea typeface="+mn-ea"/>
              <a:cs typeface="+mn-cs"/>
            </a:rPr>
            <a:t>Compiling competitive information</a:t>
          </a:r>
        </a:p>
        <a:p>
          <a:r>
            <a:rPr lang="en-US" sz="1100" b="0" i="0">
              <a:solidFill>
                <a:schemeClr val="dk1"/>
              </a:solidFill>
              <a:effectLst/>
              <a:latin typeface="+mn-lt"/>
              <a:ea typeface="+mn-ea"/>
              <a:cs typeface="+mn-cs"/>
            </a:rPr>
            <a:t>Other tasks related to assigned customers</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912050 OTHER SALES EXP</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Other Sales Expense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for specific demonstration and sales related functions not chargeable to other 912 activities. It may include forecasting, administration of power purchased contracts and pre-call work related to current customers. Closed September 2023.</a:t>
          </a:r>
        </a:p>
        <a:p>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916001 MISC MARKETING EXP</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Miscellaneous Marketing and Sales Expense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This activity is used to record costs incurred in regulated electric or gas sales activities which are not includible in other sales expense accounts (</a:t>
          </a:r>
          <a:r>
            <a:rPr lang="en-US" sz="1100" b="0" i="0" u="none" strike="noStrike">
              <a:solidFill>
                <a:schemeClr val="dk1"/>
              </a:solidFill>
              <a:effectLst/>
              <a:latin typeface="+mn-lt"/>
              <a:ea typeface="+mn-ea"/>
              <a:cs typeface="+mn-cs"/>
              <a:hlinkClick xmlns:r="http://schemas.openxmlformats.org/officeDocument/2006/relationships" r:id=""/>
            </a:rPr>
            <a:t> 912</a:t>
          </a:r>
          <a:r>
            <a:rPr lang="en-US" sz="1100" b="0" i="0">
              <a:solidFill>
                <a:schemeClr val="dk1"/>
              </a:solidFill>
              <a:effectLst/>
              <a:latin typeface="+mn-lt"/>
              <a:ea typeface="+mn-ea"/>
              <a:cs typeface="+mn-cs"/>
            </a:rPr>
            <a:t>). </a:t>
          </a:r>
          <a:r>
            <a:rPr lang="en-US" sz="1100" b="0" i="0">
              <a:solidFill>
                <a:srgbClr val="FF0000"/>
              </a:solidFill>
              <a:effectLst/>
              <a:latin typeface="+mn-lt"/>
              <a:ea typeface="+mn-ea"/>
              <a:cs typeface="+mn-cs"/>
            </a:rPr>
            <a:t>This activity includes general clerical work, printing and postage, miscellaneous office supplies and other miscellaneous or general costs.</a:t>
          </a:r>
        </a:p>
        <a:p>
          <a:endParaRPr lang="en-US" sz="1100"/>
        </a:p>
      </xdr:txBody>
    </xdr:sp>
    <xdr:clientData/>
  </xdr:twoCellAnchor>
  <xdr:twoCellAnchor editAs="oneCell">
    <xdr:from>
      <xdr:col>10</xdr:col>
      <xdr:colOff>250658</xdr:colOff>
      <xdr:row>3</xdr:row>
      <xdr:rowOff>75198</xdr:rowOff>
    </xdr:from>
    <xdr:to>
      <xdr:col>17</xdr:col>
      <xdr:colOff>505769</xdr:colOff>
      <xdr:row>26</xdr:row>
      <xdr:rowOff>145383</xdr:rowOff>
    </xdr:to>
    <xdr:pic>
      <xdr:nvPicPr>
        <xdr:cNvPr id="4" name="Picture 3">
          <a:extLst>
            <a:ext uri="{FF2B5EF4-FFF2-40B4-BE49-F238E27FC236}">
              <a16:creationId xmlns:a16="http://schemas.microsoft.com/office/drawing/2014/main" id="{1A5DB1D3-5D2C-4323-9647-20EFAB4AA0E4}"/>
            </a:ext>
          </a:extLst>
        </xdr:cNvPr>
        <xdr:cNvPicPr>
          <a:picLocks noChangeAspect="1"/>
        </xdr:cNvPicPr>
      </xdr:nvPicPr>
      <xdr:blipFill>
        <a:blip xmlns:r="http://schemas.openxmlformats.org/officeDocument/2006/relationships" r:embed="rId1"/>
        <a:stretch>
          <a:fillRect/>
        </a:stretch>
      </xdr:blipFill>
      <xdr:spPr>
        <a:xfrm>
          <a:off x="12452183" y="560973"/>
          <a:ext cx="8970486" cy="44897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28575</xdr:colOff>
      <xdr:row>162</xdr:row>
      <xdr:rowOff>19050</xdr:rowOff>
    </xdr:from>
    <xdr:to>
      <xdr:col>15</xdr:col>
      <xdr:colOff>219075</xdr:colOff>
      <xdr:row>170</xdr:row>
      <xdr:rowOff>95250</xdr:rowOff>
    </xdr:to>
    <xdr:sp macro="" textlink="">
      <xdr:nvSpPr>
        <xdr:cNvPr id="2" name="TextBox 1">
          <a:extLst>
            <a:ext uri="{FF2B5EF4-FFF2-40B4-BE49-F238E27FC236}">
              <a16:creationId xmlns:a16="http://schemas.microsoft.com/office/drawing/2014/main" id="{2FAD24AE-CDB7-4A48-AD0E-D38C89186EA0}"/>
            </a:ext>
          </a:extLst>
        </xdr:cNvPr>
        <xdr:cNvSpPr txBox="1"/>
      </xdr:nvSpPr>
      <xdr:spPr>
        <a:xfrm>
          <a:off x="14697075" y="26298525"/>
          <a:ext cx="489585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update the services weighting, I selected a sample of the average costs above,</a:t>
          </a:r>
          <a:r>
            <a:rPr lang="en-US" sz="1100" baseline="0"/>
            <a:t> using lines with relatively larger number of units, and assigned the selected lines to class (small, medium or large) based on cost thresholds equal to the average cost assumption used in RPU-2023-001.  For example, since in RPU-2023-001, the average medium service was determined to be $2,222, any line items selected that were less than that amount were assigned to the small class.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1352550</xdr:colOff>
      <xdr:row>34</xdr:row>
      <xdr:rowOff>28575</xdr:rowOff>
    </xdr:from>
    <xdr:to>
      <xdr:col>7</xdr:col>
      <xdr:colOff>353780</xdr:colOff>
      <xdr:row>46</xdr:row>
      <xdr:rowOff>12204</xdr:rowOff>
    </xdr:to>
    <xdr:pic>
      <xdr:nvPicPr>
        <xdr:cNvPr id="2" name="Picture 1">
          <a:extLst>
            <a:ext uri="{FF2B5EF4-FFF2-40B4-BE49-F238E27FC236}">
              <a16:creationId xmlns:a16="http://schemas.microsoft.com/office/drawing/2014/main" id="{BB6A1EE5-ACC1-40FF-8249-3C7B23790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7950" y="6981825"/>
          <a:ext cx="4925780" cy="1926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307552</xdr:colOff>
      <xdr:row>36</xdr:row>
      <xdr:rowOff>9525</xdr:rowOff>
    </xdr:from>
    <xdr:to>
      <xdr:col>13</xdr:col>
      <xdr:colOff>209550</xdr:colOff>
      <xdr:row>46</xdr:row>
      <xdr:rowOff>66675</xdr:rowOff>
    </xdr:to>
    <xdr:pic>
      <xdr:nvPicPr>
        <xdr:cNvPr id="3" name="Picture 2">
          <a:extLst>
            <a:ext uri="{FF2B5EF4-FFF2-40B4-BE49-F238E27FC236}">
              <a16:creationId xmlns:a16="http://schemas.microsoft.com/office/drawing/2014/main" id="{6D0FEC9F-3237-409E-9BE4-9131916B9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7502" y="7286625"/>
          <a:ext cx="4807373"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352425</xdr:colOff>
      <xdr:row>4</xdr:row>
      <xdr:rowOff>28576</xdr:rowOff>
    </xdr:from>
    <xdr:to>
      <xdr:col>18</xdr:col>
      <xdr:colOff>199420</xdr:colOff>
      <xdr:row>14</xdr:row>
      <xdr:rowOff>123826</xdr:rowOff>
    </xdr:to>
    <xdr:pic>
      <xdr:nvPicPr>
        <xdr:cNvPr id="4" name="Picture 3">
          <a:extLst>
            <a:ext uri="{FF2B5EF4-FFF2-40B4-BE49-F238E27FC236}">
              <a16:creationId xmlns:a16="http://schemas.microsoft.com/office/drawing/2014/main" id="{99D5143D-C978-4892-B85A-8C9B73FDA242}"/>
            </a:ext>
          </a:extLst>
        </xdr:cNvPr>
        <xdr:cNvPicPr>
          <a:picLocks noChangeAspect="1"/>
        </xdr:cNvPicPr>
      </xdr:nvPicPr>
      <xdr:blipFill>
        <a:blip xmlns:r="http://schemas.openxmlformats.org/officeDocument/2006/relationships" r:embed="rId3"/>
        <a:stretch>
          <a:fillRect/>
        </a:stretch>
      </xdr:blipFill>
      <xdr:spPr>
        <a:xfrm>
          <a:off x="8791575" y="1781176"/>
          <a:ext cx="6771670" cy="1981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Brian.Meyers@midamerican.com" TargetMode="External"/><Relationship Id="rId1" Type="http://schemas.openxmlformats.org/officeDocument/2006/relationships/hyperlink" Target="mailto:Stephen.Stratton@midamerican.com"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FA287-EDB9-470F-958E-4640C9373F14}">
  <dimension ref="A1:G15"/>
  <sheetViews>
    <sheetView tabSelected="1" view="pageLayout" zoomScaleNormal="100" workbookViewId="0">
      <selection activeCell="A19" sqref="A19"/>
    </sheetView>
  </sheetViews>
  <sheetFormatPr defaultRowHeight="12.75" x14ac:dyDescent="0.2"/>
  <cols>
    <col min="1" max="1" width="13.5703125" bestFit="1" customWidth="1"/>
    <col min="2" max="2" width="31.7109375" bestFit="1" customWidth="1"/>
    <col min="3" max="3" width="12.5703125" customWidth="1"/>
    <col min="4" max="4" width="8.7109375" customWidth="1"/>
    <col min="5" max="5" width="13.7109375" customWidth="1"/>
  </cols>
  <sheetData>
    <row r="1" spans="1:7" x14ac:dyDescent="0.2">
      <c r="A1" s="313" t="s">
        <v>0</v>
      </c>
      <c r="B1" s="313"/>
      <c r="C1" s="313"/>
      <c r="D1" s="313"/>
      <c r="E1" s="1"/>
      <c r="G1" s="2"/>
    </row>
    <row r="2" spans="1:7" x14ac:dyDescent="0.2">
      <c r="A2" s="3" t="s">
        <v>1</v>
      </c>
      <c r="B2" s="3" t="s">
        <v>2</v>
      </c>
      <c r="C2" s="3" t="s">
        <v>3</v>
      </c>
      <c r="D2" s="3" t="s">
        <v>4</v>
      </c>
      <c r="E2" s="1"/>
    </row>
    <row r="3" spans="1:7" x14ac:dyDescent="0.2">
      <c r="A3" t="s">
        <v>5</v>
      </c>
      <c r="B3" t="s">
        <v>6</v>
      </c>
      <c r="C3" t="s">
        <v>7</v>
      </c>
      <c r="D3">
        <v>1210</v>
      </c>
      <c r="E3" t="str">
        <f>LEFT(C3,4)&amp;RIGHT(C3,2)</f>
        <v>202412</v>
      </c>
    </row>
    <row r="4" spans="1:7" x14ac:dyDescent="0.2">
      <c r="A4" t="s">
        <v>5</v>
      </c>
      <c r="B4" t="s">
        <v>6</v>
      </c>
      <c r="C4" t="s">
        <v>8</v>
      </c>
      <c r="D4">
        <v>1446</v>
      </c>
      <c r="E4" t="str">
        <f t="shared" ref="E4:E15" si="0">LEFT(C4,4)&amp;RIGHT(C4,2)</f>
        <v>202501</v>
      </c>
    </row>
    <row r="5" spans="1:7" x14ac:dyDescent="0.2">
      <c r="A5" t="s">
        <v>5</v>
      </c>
      <c r="B5" t="s">
        <v>6</v>
      </c>
      <c r="C5" t="s">
        <v>9</v>
      </c>
      <c r="D5">
        <v>1346</v>
      </c>
      <c r="E5" t="str">
        <f t="shared" si="0"/>
        <v>202502</v>
      </c>
    </row>
    <row r="6" spans="1:7" x14ac:dyDescent="0.2">
      <c r="A6" t="s">
        <v>5</v>
      </c>
      <c r="B6" t="s">
        <v>6</v>
      </c>
      <c r="C6" t="s">
        <v>10</v>
      </c>
      <c r="D6">
        <v>731</v>
      </c>
      <c r="E6" t="str">
        <f t="shared" si="0"/>
        <v>202503</v>
      </c>
    </row>
    <row r="7" spans="1:7" x14ac:dyDescent="0.2">
      <c r="A7" t="s">
        <v>5</v>
      </c>
      <c r="B7" t="s">
        <v>6</v>
      </c>
      <c r="C7" t="s">
        <v>11</v>
      </c>
      <c r="D7">
        <v>470</v>
      </c>
      <c r="E7" t="str">
        <f t="shared" si="0"/>
        <v>202504</v>
      </c>
    </row>
    <row r="8" spans="1:7" x14ac:dyDescent="0.2">
      <c r="A8" t="s">
        <v>5</v>
      </c>
      <c r="B8" t="s">
        <v>6</v>
      </c>
      <c r="C8" t="s">
        <v>12</v>
      </c>
      <c r="D8">
        <v>230</v>
      </c>
      <c r="E8" t="str">
        <f t="shared" si="0"/>
        <v>202505</v>
      </c>
    </row>
    <row r="9" spans="1:7" x14ac:dyDescent="0.2">
      <c r="A9" t="s">
        <v>5</v>
      </c>
      <c r="B9" t="s">
        <v>6</v>
      </c>
      <c r="C9" t="s">
        <v>13</v>
      </c>
      <c r="D9">
        <v>24</v>
      </c>
      <c r="E9" t="str">
        <f t="shared" si="0"/>
        <v>202506</v>
      </c>
    </row>
    <row r="10" spans="1:7" x14ac:dyDescent="0.2">
      <c r="A10" t="s">
        <v>5</v>
      </c>
      <c r="B10" t="s">
        <v>6</v>
      </c>
      <c r="C10" t="s">
        <v>14</v>
      </c>
      <c r="D10">
        <v>4</v>
      </c>
      <c r="E10" t="str">
        <f t="shared" si="0"/>
        <v>202507</v>
      </c>
    </row>
    <row r="11" spans="1:7" x14ac:dyDescent="0.2">
      <c r="A11" t="s">
        <v>5</v>
      </c>
      <c r="B11" t="s">
        <v>6</v>
      </c>
      <c r="C11" t="s">
        <v>15</v>
      </c>
      <c r="D11">
        <v>19</v>
      </c>
      <c r="E11" t="str">
        <f t="shared" si="0"/>
        <v>202508</v>
      </c>
    </row>
    <row r="12" spans="1:7" x14ac:dyDescent="0.2">
      <c r="A12" t="s">
        <v>5</v>
      </c>
      <c r="B12" t="s">
        <v>6</v>
      </c>
      <c r="C12" t="s">
        <v>16</v>
      </c>
      <c r="D12">
        <v>55</v>
      </c>
      <c r="E12" t="str">
        <f t="shared" si="0"/>
        <v>202509</v>
      </c>
    </row>
    <row r="13" spans="1:7" x14ac:dyDescent="0.2">
      <c r="A13" t="s">
        <v>5</v>
      </c>
      <c r="B13" t="s">
        <v>6</v>
      </c>
      <c r="C13" t="s">
        <v>17</v>
      </c>
      <c r="D13">
        <v>349</v>
      </c>
      <c r="E13" t="str">
        <f t="shared" si="0"/>
        <v>202510</v>
      </c>
    </row>
    <row r="14" spans="1:7" x14ac:dyDescent="0.2">
      <c r="A14" t="s">
        <v>5</v>
      </c>
      <c r="B14" t="s">
        <v>6</v>
      </c>
      <c r="C14" t="s">
        <v>18</v>
      </c>
      <c r="D14">
        <v>857</v>
      </c>
      <c r="E14" t="str">
        <f t="shared" si="0"/>
        <v>202511</v>
      </c>
    </row>
    <row r="15" spans="1:7" x14ac:dyDescent="0.2">
      <c r="A15" t="s">
        <v>5</v>
      </c>
      <c r="B15" t="s">
        <v>6</v>
      </c>
      <c r="C15" t="s">
        <v>19</v>
      </c>
      <c r="D15">
        <v>1301</v>
      </c>
      <c r="E15" t="str">
        <f t="shared" si="0"/>
        <v>202512</v>
      </c>
    </row>
  </sheetData>
  <mergeCells count="1">
    <mergeCell ref="A1:D1"/>
  </mergeCells>
  <pageMargins left="0.7" right="0.7" top="1.4270833333333299" bottom="0.75" header="0.3" footer="0.3"/>
  <pageSetup orientation="portrait" horizontalDpi="1200" verticalDpi="1200" r:id="rId1"/>
  <headerFooter>
    <oddHeader>&amp;CMIDAMERICAN ENERGY COMPANY
2026 SOUTH DAKOTA GAS RATE CASE
Docket No. NG26-___
Statement O-Workpapers Support
FOR THE YEAR ENDING DECEMBER 31, 2025&amp;RStratton Direct Exhibit 1.2, WP1
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FAD6-52E9-4334-A9A1-792D9490AB22}">
  <dimension ref="A2:P244"/>
  <sheetViews>
    <sheetView workbookViewId="0">
      <pane ySplit="2" topLeftCell="A3" activePane="bottomLeft" state="frozen"/>
      <selection activeCell="A19" sqref="A19"/>
      <selection pane="bottomLeft" activeCell="M21" sqref="M21"/>
    </sheetView>
  </sheetViews>
  <sheetFormatPr defaultRowHeight="12.75" x14ac:dyDescent="0.2"/>
  <cols>
    <col min="1" max="3" width="35" bestFit="1" customWidth="1"/>
    <col min="4" max="4" width="12" bestFit="1" customWidth="1"/>
    <col min="5" max="5" width="35" bestFit="1" customWidth="1"/>
    <col min="6" max="6" width="17.140625" bestFit="1" customWidth="1"/>
    <col min="7" max="7" width="15" bestFit="1" customWidth="1"/>
    <col min="8" max="8" width="14.85546875" customWidth="1"/>
    <col min="9" max="9" width="21" bestFit="1" customWidth="1"/>
    <col min="10" max="10" width="11.28515625" bestFit="1" customWidth="1"/>
    <col min="13" max="13" width="13" customWidth="1"/>
    <col min="14" max="15" width="14" bestFit="1" customWidth="1"/>
    <col min="16" max="16" width="11.28515625" customWidth="1"/>
  </cols>
  <sheetData>
    <row r="2" spans="1:15" x14ac:dyDescent="0.2">
      <c r="A2" t="s">
        <v>429</v>
      </c>
      <c r="B2" t="s">
        <v>430</v>
      </c>
      <c r="C2" t="s">
        <v>431</v>
      </c>
      <c r="D2" t="s">
        <v>432</v>
      </c>
      <c r="E2" t="s">
        <v>433</v>
      </c>
      <c r="F2" t="s">
        <v>434</v>
      </c>
      <c r="G2" t="s">
        <v>435</v>
      </c>
      <c r="H2" s="83" t="s">
        <v>436</v>
      </c>
      <c r="J2" s="1" t="s">
        <v>436</v>
      </c>
      <c r="K2" s="1" t="s">
        <v>437</v>
      </c>
      <c r="M2" s="1" t="s">
        <v>438</v>
      </c>
      <c r="N2" s="1" t="s">
        <v>439</v>
      </c>
      <c r="O2" s="1" t="s">
        <v>440</v>
      </c>
    </row>
    <row r="3" spans="1:15" x14ac:dyDescent="0.2">
      <c r="A3" t="s">
        <v>441</v>
      </c>
      <c r="B3" t="s">
        <v>442</v>
      </c>
      <c r="C3" t="s">
        <v>443</v>
      </c>
      <c r="D3">
        <v>202601</v>
      </c>
      <c r="E3" t="s">
        <v>444</v>
      </c>
      <c r="F3">
        <v>3</v>
      </c>
      <c r="G3">
        <v>0</v>
      </c>
      <c r="H3" s="291">
        <f>IF(F3=0,"",G3/F3)</f>
        <v>0</v>
      </c>
      <c r="J3" s="58">
        <v>0</v>
      </c>
    </row>
    <row r="4" spans="1:15" x14ac:dyDescent="0.2">
      <c r="A4" t="s">
        <v>441</v>
      </c>
      <c r="B4" t="s">
        <v>445</v>
      </c>
      <c r="C4" t="s">
        <v>443</v>
      </c>
      <c r="D4">
        <v>202506</v>
      </c>
      <c r="E4" t="s">
        <v>446</v>
      </c>
      <c r="F4">
        <v>2</v>
      </c>
      <c r="G4">
        <v>336.51</v>
      </c>
      <c r="H4" s="291">
        <f t="shared" ref="H4:H67" si="0">IF(F4=0,"",G4/F4)</f>
        <v>168.255</v>
      </c>
      <c r="J4" s="59">
        <v>3.3830864197530865</v>
      </c>
      <c r="K4" s="60">
        <f>_xlfn.XLOOKUP(J4,$H$3:$H$242,$F$3:$F$242)</f>
        <v>243</v>
      </c>
    </row>
    <row r="5" spans="1:15" x14ac:dyDescent="0.2">
      <c r="A5" t="s">
        <v>441</v>
      </c>
      <c r="B5" t="s">
        <v>445</v>
      </c>
      <c r="C5" t="s">
        <v>443</v>
      </c>
      <c r="D5">
        <v>202509</v>
      </c>
      <c r="E5" t="s">
        <v>447</v>
      </c>
      <c r="F5">
        <v>2</v>
      </c>
      <c r="G5">
        <v>1165.8900000000001</v>
      </c>
      <c r="H5" s="291">
        <f t="shared" si="0"/>
        <v>582.94500000000005</v>
      </c>
      <c r="J5" s="59">
        <v>10.33375</v>
      </c>
      <c r="K5" s="60">
        <f t="shared" ref="K5:K68" si="1">_xlfn.XLOOKUP(J5,$H$3:$H$242,$F$3:$F$242)</f>
        <v>8</v>
      </c>
    </row>
    <row r="6" spans="1:15" x14ac:dyDescent="0.2">
      <c r="A6" t="s">
        <v>441</v>
      </c>
      <c r="B6" t="s">
        <v>445</v>
      </c>
      <c r="C6" t="s">
        <v>443</v>
      </c>
      <c r="D6">
        <v>202601</v>
      </c>
      <c r="E6" t="s">
        <v>448</v>
      </c>
      <c r="F6">
        <v>0</v>
      </c>
      <c r="G6">
        <v>1501.48</v>
      </c>
      <c r="H6" s="291" t="str">
        <f t="shared" si="0"/>
        <v/>
      </c>
      <c r="J6" s="59">
        <v>11.389551282051283</v>
      </c>
      <c r="K6" s="60">
        <f t="shared" si="1"/>
        <v>156</v>
      </c>
    </row>
    <row r="7" spans="1:15" x14ac:dyDescent="0.2">
      <c r="A7" t="s">
        <v>441</v>
      </c>
      <c r="B7" t="s">
        <v>445</v>
      </c>
      <c r="C7" t="s">
        <v>443</v>
      </c>
      <c r="D7">
        <v>202601</v>
      </c>
      <c r="E7" t="s">
        <v>449</v>
      </c>
      <c r="F7">
        <v>1</v>
      </c>
      <c r="G7">
        <v>587.5</v>
      </c>
      <c r="H7" s="291">
        <f t="shared" si="0"/>
        <v>587.5</v>
      </c>
      <c r="J7" s="59">
        <v>19.545846560846559</v>
      </c>
      <c r="K7" s="60">
        <f t="shared" si="1"/>
        <v>756</v>
      </c>
    </row>
    <row r="8" spans="1:15" x14ac:dyDescent="0.2">
      <c r="A8" t="s">
        <v>441</v>
      </c>
      <c r="B8" t="s">
        <v>445</v>
      </c>
      <c r="C8" t="s">
        <v>443</v>
      </c>
      <c r="D8">
        <v>202601</v>
      </c>
      <c r="E8" t="s">
        <v>450</v>
      </c>
      <c r="F8">
        <v>1</v>
      </c>
      <c r="G8">
        <v>3219.17</v>
      </c>
      <c r="H8" s="291">
        <f t="shared" si="0"/>
        <v>3219.17</v>
      </c>
      <c r="J8" s="59">
        <v>23.61</v>
      </c>
      <c r="K8" s="60">
        <f t="shared" si="1"/>
        <v>1</v>
      </c>
    </row>
    <row r="9" spans="1:15" x14ac:dyDescent="0.2">
      <c r="A9" t="s">
        <v>441</v>
      </c>
      <c r="B9" t="s">
        <v>445</v>
      </c>
      <c r="C9" t="s">
        <v>443</v>
      </c>
      <c r="D9">
        <v>202512</v>
      </c>
      <c r="E9" t="s">
        <v>451</v>
      </c>
      <c r="F9">
        <v>1</v>
      </c>
      <c r="G9">
        <v>23.61</v>
      </c>
      <c r="H9" s="291">
        <f t="shared" si="0"/>
        <v>23.61</v>
      </c>
      <c r="J9" s="59">
        <v>30.565000000000001</v>
      </c>
      <c r="K9" s="60">
        <f t="shared" si="1"/>
        <v>2</v>
      </c>
    </row>
    <row r="10" spans="1:15" x14ac:dyDescent="0.2">
      <c r="A10" t="s">
        <v>441</v>
      </c>
      <c r="B10" t="s">
        <v>445</v>
      </c>
      <c r="C10" t="s">
        <v>443</v>
      </c>
      <c r="D10">
        <v>202512</v>
      </c>
      <c r="E10" t="s">
        <v>452</v>
      </c>
      <c r="F10">
        <v>0</v>
      </c>
      <c r="G10">
        <v>24465.11</v>
      </c>
      <c r="H10" s="291" t="str">
        <f t="shared" si="0"/>
        <v/>
      </c>
      <c r="J10" s="59">
        <v>36.642487309644672</v>
      </c>
      <c r="K10" s="60">
        <f t="shared" si="1"/>
        <v>394</v>
      </c>
    </row>
    <row r="11" spans="1:15" x14ac:dyDescent="0.2">
      <c r="A11" t="s">
        <v>441</v>
      </c>
      <c r="B11" t="s">
        <v>445</v>
      </c>
      <c r="C11" t="s">
        <v>443</v>
      </c>
      <c r="D11">
        <v>202603</v>
      </c>
      <c r="E11" t="s">
        <v>453</v>
      </c>
      <c r="F11">
        <v>93</v>
      </c>
      <c r="G11">
        <v>40243.410000000003</v>
      </c>
      <c r="H11" s="291">
        <f t="shared" si="0"/>
        <v>432.72483870967744</v>
      </c>
      <c r="J11" s="59">
        <v>88.1875</v>
      </c>
      <c r="K11" s="60">
        <f t="shared" si="1"/>
        <v>8</v>
      </c>
    </row>
    <row r="12" spans="1:15" x14ac:dyDescent="0.2">
      <c r="A12" t="s">
        <v>441</v>
      </c>
      <c r="B12" t="s">
        <v>445</v>
      </c>
      <c r="C12" t="s">
        <v>443</v>
      </c>
      <c r="D12">
        <v>202512</v>
      </c>
      <c r="E12" t="s">
        <v>454</v>
      </c>
      <c r="F12">
        <v>0</v>
      </c>
      <c r="G12">
        <v>402.66</v>
      </c>
      <c r="H12" s="291" t="str">
        <f t="shared" si="0"/>
        <v/>
      </c>
      <c r="J12" s="59">
        <v>131.21095238095236</v>
      </c>
      <c r="K12" s="60">
        <f t="shared" si="1"/>
        <v>21</v>
      </c>
    </row>
    <row r="13" spans="1:15" x14ac:dyDescent="0.2">
      <c r="A13" t="s">
        <v>441</v>
      </c>
      <c r="B13" t="s">
        <v>445</v>
      </c>
      <c r="C13" t="s">
        <v>443</v>
      </c>
      <c r="D13">
        <v>202512</v>
      </c>
      <c r="E13" t="s">
        <v>455</v>
      </c>
      <c r="F13">
        <v>16</v>
      </c>
      <c r="G13">
        <v>7241.37</v>
      </c>
      <c r="H13" s="291">
        <f t="shared" si="0"/>
        <v>452.58562499999999</v>
      </c>
      <c r="J13" s="59">
        <v>134.80199999999999</v>
      </c>
      <c r="K13" s="60">
        <f t="shared" si="1"/>
        <v>5</v>
      </c>
    </row>
    <row r="14" spans="1:15" x14ac:dyDescent="0.2">
      <c r="A14" t="s">
        <v>441</v>
      </c>
      <c r="B14" t="s">
        <v>445</v>
      </c>
      <c r="C14" t="s">
        <v>443</v>
      </c>
      <c r="D14">
        <v>202511</v>
      </c>
      <c r="E14" t="s">
        <v>456</v>
      </c>
      <c r="F14">
        <v>10</v>
      </c>
      <c r="G14">
        <v>1456.16</v>
      </c>
      <c r="H14" s="291">
        <f t="shared" si="0"/>
        <v>145.61600000000001</v>
      </c>
      <c r="J14" s="59">
        <v>144.34444444444446</v>
      </c>
      <c r="K14" s="60">
        <f t="shared" si="1"/>
        <v>9</v>
      </c>
    </row>
    <row r="15" spans="1:15" x14ac:dyDescent="0.2">
      <c r="A15" t="s">
        <v>441</v>
      </c>
      <c r="B15" t="s">
        <v>445</v>
      </c>
      <c r="C15" t="s">
        <v>443</v>
      </c>
      <c r="D15">
        <v>202603</v>
      </c>
      <c r="E15" t="s">
        <v>457</v>
      </c>
      <c r="F15">
        <v>8</v>
      </c>
      <c r="G15">
        <v>4748.74</v>
      </c>
      <c r="H15" s="291">
        <f t="shared" si="0"/>
        <v>593.59249999999997</v>
      </c>
      <c r="J15" s="59">
        <v>145.61600000000001</v>
      </c>
      <c r="K15" s="60">
        <f t="shared" si="1"/>
        <v>10</v>
      </c>
    </row>
    <row r="16" spans="1:15" x14ac:dyDescent="0.2">
      <c r="A16" t="s">
        <v>441</v>
      </c>
      <c r="B16" t="s">
        <v>445</v>
      </c>
      <c r="C16" t="s">
        <v>443</v>
      </c>
      <c r="D16">
        <v>202512</v>
      </c>
      <c r="E16" t="s">
        <v>458</v>
      </c>
      <c r="F16">
        <v>87</v>
      </c>
      <c r="G16">
        <v>170603.57</v>
      </c>
      <c r="H16" s="291">
        <f t="shared" si="0"/>
        <v>1960.9605747126438</v>
      </c>
      <c r="J16" s="59">
        <v>151.95287769784173</v>
      </c>
      <c r="K16" s="60">
        <f t="shared" si="1"/>
        <v>139</v>
      </c>
    </row>
    <row r="17" spans="1:11" x14ac:dyDescent="0.2">
      <c r="A17" t="s">
        <v>441</v>
      </c>
      <c r="B17" t="s">
        <v>445</v>
      </c>
      <c r="C17" t="s">
        <v>443</v>
      </c>
      <c r="D17">
        <v>202512</v>
      </c>
      <c r="E17" t="s">
        <v>459</v>
      </c>
      <c r="F17">
        <v>0</v>
      </c>
      <c r="G17">
        <v>33.840000000000003</v>
      </c>
      <c r="H17" s="291" t="str">
        <f t="shared" si="0"/>
        <v/>
      </c>
      <c r="J17" s="59">
        <v>152.97999999999999</v>
      </c>
      <c r="K17" s="60">
        <f t="shared" si="1"/>
        <v>1</v>
      </c>
    </row>
    <row r="18" spans="1:11" x14ac:dyDescent="0.2">
      <c r="A18" t="s">
        <v>441</v>
      </c>
      <c r="B18" t="s">
        <v>445</v>
      </c>
      <c r="C18" t="s">
        <v>443</v>
      </c>
      <c r="D18">
        <v>202603</v>
      </c>
      <c r="E18" t="s">
        <v>460</v>
      </c>
      <c r="F18">
        <v>7</v>
      </c>
      <c r="G18">
        <v>4102.8599999999997</v>
      </c>
      <c r="H18" s="291">
        <f t="shared" si="0"/>
        <v>586.12285714285713</v>
      </c>
      <c r="J18" s="59">
        <v>154.47690721649485</v>
      </c>
      <c r="K18" s="60">
        <f t="shared" si="1"/>
        <v>97</v>
      </c>
    </row>
    <row r="19" spans="1:11" x14ac:dyDescent="0.2">
      <c r="A19" t="s">
        <v>441</v>
      </c>
      <c r="B19" t="s">
        <v>445</v>
      </c>
      <c r="C19" t="s">
        <v>443</v>
      </c>
      <c r="D19">
        <v>202603</v>
      </c>
      <c r="E19" t="s">
        <v>461</v>
      </c>
      <c r="F19">
        <v>2</v>
      </c>
      <c r="G19">
        <v>410.43</v>
      </c>
      <c r="H19" s="291">
        <f t="shared" si="0"/>
        <v>205.215</v>
      </c>
      <c r="J19" s="59">
        <v>158.42750000000001</v>
      </c>
      <c r="K19" s="60">
        <f t="shared" si="1"/>
        <v>12</v>
      </c>
    </row>
    <row r="20" spans="1:11" x14ac:dyDescent="0.2">
      <c r="A20" t="s">
        <v>441</v>
      </c>
      <c r="B20" t="s">
        <v>445</v>
      </c>
      <c r="C20" t="s">
        <v>443</v>
      </c>
      <c r="D20">
        <v>202603</v>
      </c>
      <c r="E20" t="s">
        <v>462</v>
      </c>
      <c r="F20">
        <v>0</v>
      </c>
      <c r="G20">
        <v>2926.13</v>
      </c>
      <c r="H20" s="291" t="str">
        <f t="shared" si="0"/>
        <v/>
      </c>
      <c r="J20" s="59">
        <v>168.255</v>
      </c>
      <c r="K20" s="60">
        <f t="shared" si="1"/>
        <v>2</v>
      </c>
    </row>
    <row r="21" spans="1:11" x14ac:dyDescent="0.2">
      <c r="A21" t="s">
        <v>441</v>
      </c>
      <c r="B21" t="s">
        <v>445</v>
      </c>
      <c r="C21" t="s">
        <v>443</v>
      </c>
      <c r="D21">
        <v>202512</v>
      </c>
      <c r="E21" t="s">
        <v>463</v>
      </c>
      <c r="F21">
        <v>14</v>
      </c>
      <c r="G21">
        <v>19502.04</v>
      </c>
      <c r="H21" s="291">
        <f t="shared" si="0"/>
        <v>1393.0028571428572</v>
      </c>
      <c r="J21" s="59">
        <v>184.40853658536585</v>
      </c>
      <c r="K21" s="60">
        <f t="shared" si="1"/>
        <v>41</v>
      </c>
    </row>
    <row r="22" spans="1:11" x14ac:dyDescent="0.2">
      <c r="A22" t="s">
        <v>441</v>
      </c>
      <c r="B22" t="s">
        <v>445</v>
      </c>
      <c r="C22" t="s">
        <v>443</v>
      </c>
      <c r="D22">
        <v>202512</v>
      </c>
      <c r="E22" t="s">
        <v>464</v>
      </c>
      <c r="F22">
        <v>0</v>
      </c>
      <c r="G22">
        <v>524780.93000000005</v>
      </c>
      <c r="H22" s="291" t="str">
        <f t="shared" si="0"/>
        <v/>
      </c>
      <c r="J22" s="59">
        <v>191.21250000000001</v>
      </c>
      <c r="K22" s="60">
        <f t="shared" si="1"/>
        <v>4</v>
      </c>
    </row>
    <row r="23" spans="1:11" x14ac:dyDescent="0.2">
      <c r="A23" t="s">
        <v>441</v>
      </c>
      <c r="B23" t="s">
        <v>445</v>
      </c>
      <c r="C23" t="s">
        <v>443</v>
      </c>
      <c r="D23">
        <v>202512</v>
      </c>
      <c r="E23" t="s">
        <v>465</v>
      </c>
      <c r="F23">
        <v>274</v>
      </c>
      <c r="G23">
        <v>673929.64</v>
      </c>
      <c r="H23" s="291">
        <f t="shared" si="0"/>
        <v>2459.5972262773721</v>
      </c>
      <c r="J23" s="59">
        <v>198.55515086206896</v>
      </c>
      <c r="K23" s="60">
        <f t="shared" si="1"/>
        <v>464</v>
      </c>
    </row>
    <row r="24" spans="1:11" x14ac:dyDescent="0.2">
      <c r="A24" t="s">
        <v>441</v>
      </c>
      <c r="B24" t="s">
        <v>445</v>
      </c>
      <c r="C24" t="s">
        <v>443</v>
      </c>
      <c r="D24">
        <v>202512</v>
      </c>
      <c r="E24" t="s">
        <v>466</v>
      </c>
      <c r="F24">
        <v>0</v>
      </c>
      <c r="G24">
        <v>345261.82</v>
      </c>
      <c r="H24" s="291" t="str">
        <f t="shared" si="0"/>
        <v/>
      </c>
      <c r="J24" s="59">
        <v>205.215</v>
      </c>
      <c r="K24" s="60">
        <f t="shared" si="1"/>
        <v>2</v>
      </c>
    </row>
    <row r="25" spans="1:11" x14ac:dyDescent="0.2">
      <c r="A25" t="s">
        <v>441</v>
      </c>
      <c r="B25" t="s">
        <v>445</v>
      </c>
      <c r="C25" t="s">
        <v>443</v>
      </c>
      <c r="D25">
        <v>202512</v>
      </c>
      <c r="E25" t="s">
        <v>467</v>
      </c>
      <c r="F25">
        <v>0</v>
      </c>
      <c r="G25">
        <v>143848.09</v>
      </c>
      <c r="H25" s="291" t="str">
        <f t="shared" si="0"/>
        <v/>
      </c>
      <c r="J25" s="59">
        <v>225.0801923076923</v>
      </c>
      <c r="K25" s="60">
        <f t="shared" si="1"/>
        <v>52</v>
      </c>
    </row>
    <row r="26" spans="1:11" x14ac:dyDescent="0.2">
      <c r="A26" t="s">
        <v>441</v>
      </c>
      <c r="B26" t="s">
        <v>445</v>
      </c>
      <c r="C26" t="s">
        <v>443</v>
      </c>
      <c r="D26">
        <v>202512</v>
      </c>
      <c r="E26" t="s">
        <v>468</v>
      </c>
      <c r="F26">
        <v>0</v>
      </c>
      <c r="G26">
        <v>71828.42</v>
      </c>
      <c r="H26" s="291" t="str">
        <f t="shared" si="0"/>
        <v/>
      </c>
      <c r="J26" s="59">
        <v>239.89000000000001</v>
      </c>
      <c r="K26" s="60">
        <f t="shared" si="1"/>
        <v>4</v>
      </c>
    </row>
    <row r="27" spans="1:11" x14ac:dyDescent="0.2">
      <c r="A27" t="s">
        <v>441</v>
      </c>
      <c r="B27" t="s">
        <v>445</v>
      </c>
      <c r="C27" t="s">
        <v>443</v>
      </c>
      <c r="D27">
        <v>202512</v>
      </c>
      <c r="E27" t="s">
        <v>469</v>
      </c>
      <c r="F27">
        <v>394</v>
      </c>
      <c r="G27">
        <v>14437.14</v>
      </c>
      <c r="H27" s="291">
        <f t="shared" si="0"/>
        <v>36.642487309644672</v>
      </c>
      <c r="J27" s="59">
        <v>248.48500000000001</v>
      </c>
      <c r="K27" s="60">
        <f t="shared" si="1"/>
        <v>6</v>
      </c>
    </row>
    <row r="28" spans="1:11" x14ac:dyDescent="0.2">
      <c r="A28" t="s">
        <v>441</v>
      </c>
      <c r="B28" t="s">
        <v>445</v>
      </c>
      <c r="C28" t="s">
        <v>443</v>
      </c>
      <c r="D28">
        <v>202512</v>
      </c>
      <c r="E28" t="s">
        <v>470</v>
      </c>
      <c r="F28">
        <v>0</v>
      </c>
      <c r="G28">
        <v>7798.57</v>
      </c>
      <c r="H28" s="291" t="str">
        <f t="shared" si="0"/>
        <v/>
      </c>
      <c r="J28" s="59">
        <v>292.65000000000003</v>
      </c>
      <c r="K28" s="60">
        <f t="shared" si="1"/>
        <v>3</v>
      </c>
    </row>
    <row r="29" spans="1:11" x14ac:dyDescent="0.2">
      <c r="A29" t="s">
        <v>441</v>
      </c>
      <c r="B29" t="s">
        <v>445</v>
      </c>
      <c r="C29" t="s">
        <v>443</v>
      </c>
      <c r="D29">
        <v>202512</v>
      </c>
      <c r="E29" t="s">
        <v>471</v>
      </c>
      <c r="F29">
        <v>27</v>
      </c>
      <c r="G29">
        <v>42202.020000000004</v>
      </c>
      <c r="H29" s="291">
        <f t="shared" si="0"/>
        <v>1563.0377777777778</v>
      </c>
      <c r="J29" s="59">
        <v>318.32303921568626</v>
      </c>
      <c r="K29" s="60">
        <f t="shared" si="1"/>
        <v>204</v>
      </c>
    </row>
    <row r="30" spans="1:11" x14ac:dyDescent="0.2">
      <c r="A30" t="s">
        <v>441</v>
      </c>
      <c r="B30" t="s">
        <v>445</v>
      </c>
      <c r="C30" t="s">
        <v>443</v>
      </c>
      <c r="D30">
        <v>202512</v>
      </c>
      <c r="E30" t="s">
        <v>472</v>
      </c>
      <c r="F30">
        <v>6</v>
      </c>
      <c r="G30">
        <v>15426.7</v>
      </c>
      <c r="H30" s="291">
        <f t="shared" si="0"/>
        <v>2571.1166666666668</v>
      </c>
      <c r="J30" s="59">
        <v>358.19200000000001</v>
      </c>
      <c r="K30" s="60">
        <f t="shared" si="1"/>
        <v>10</v>
      </c>
    </row>
    <row r="31" spans="1:11" x14ac:dyDescent="0.2">
      <c r="A31" t="s">
        <v>441</v>
      </c>
      <c r="B31" t="s">
        <v>445</v>
      </c>
      <c r="C31" t="s">
        <v>443</v>
      </c>
      <c r="D31">
        <v>202510</v>
      </c>
      <c r="E31" t="s">
        <v>473</v>
      </c>
      <c r="F31">
        <v>4</v>
      </c>
      <c r="G31">
        <v>14029.65</v>
      </c>
      <c r="H31" s="291">
        <f t="shared" si="0"/>
        <v>3507.4124999999999</v>
      </c>
      <c r="J31" s="59">
        <v>391.11</v>
      </c>
      <c r="K31" s="60">
        <f t="shared" si="1"/>
        <v>2</v>
      </c>
    </row>
    <row r="32" spans="1:11" x14ac:dyDescent="0.2">
      <c r="A32" t="s">
        <v>441</v>
      </c>
      <c r="B32" t="s">
        <v>474</v>
      </c>
      <c r="C32" t="s">
        <v>443</v>
      </c>
      <c r="D32">
        <v>202509</v>
      </c>
      <c r="E32" t="s">
        <v>475</v>
      </c>
      <c r="F32">
        <v>297</v>
      </c>
      <c r="G32">
        <v>176424.68</v>
      </c>
      <c r="H32" s="291">
        <f t="shared" si="0"/>
        <v>594.02249158249151</v>
      </c>
      <c r="J32" s="59">
        <v>401.84999999999997</v>
      </c>
      <c r="K32" s="60">
        <f t="shared" si="1"/>
        <v>3</v>
      </c>
    </row>
    <row r="33" spans="1:11" x14ac:dyDescent="0.2">
      <c r="A33" t="s">
        <v>441</v>
      </c>
      <c r="B33" t="s">
        <v>474</v>
      </c>
      <c r="C33" t="s">
        <v>443</v>
      </c>
      <c r="D33">
        <v>202512</v>
      </c>
      <c r="E33" t="s">
        <v>476</v>
      </c>
      <c r="F33">
        <v>3</v>
      </c>
      <c r="G33">
        <v>37989.370000000003</v>
      </c>
      <c r="H33" s="291">
        <f t="shared" si="0"/>
        <v>12663.123333333335</v>
      </c>
      <c r="J33" s="59">
        <v>408.38</v>
      </c>
      <c r="K33" s="60">
        <f t="shared" si="1"/>
        <v>1</v>
      </c>
    </row>
    <row r="34" spans="1:11" x14ac:dyDescent="0.2">
      <c r="A34" t="s">
        <v>441</v>
      </c>
      <c r="B34" t="s">
        <v>474</v>
      </c>
      <c r="C34" t="s">
        <v>443</v>
      </c>
      <c r="D34">
        <v>202512</v>
      </c>
      <c r="E34" t="s">
        <v>477</v>
      </c>
      <c r="F34">
        <v>0</v>
      </c>
      <c r="G34">
        <v>148256.14000000001</v>
      </c>
      <c r="H34" s="291" t="str">
        <f t="shared" si="0"/>
        <v/>
      </c>
      <c r="J34" s="59">
        <v>418.53851851851857</v>
      </c>
      <c r="K34" s="60">
        <f t="shared" si="1"/>
        <v>27</v>
      </c>
    </row>
    <row r="35" spans="1:11" x14ac:dyDescent="0.2">
      <c r="A35" t="s">
        <v>441</v>
      </c>
      <c r="B35" t="s">
        <v>478</v>
      </c>
      <c r="C35" t="s">
        <v>443</v>
      </c>
      <c r="D35">
        <v>202512</v>
      </c>
      <c r="E35" t="s">
        <v>479</v>
      </c>
      <c r="F35">
        <v>715</v>
      </c>
      <c r="G35">
        <v>1589386.1600000001</v>
      </c>
      <c r="H35" s="291">
        <f t="shared" si="0"/>
        <v>2222.9177062937065</v>
      </c>
      <c r="J35" s="59">
        <v>432.72483870967744</v>
      </c>
      <c r="K35" s="60">
        <f t="shared" si="1"/>
        <v>93</v>
      </c>
    </row>
    <row r="36" spans="1:11" x14ac:dyDescent="0.2">
      <c r="A36" t="s">
        <v>441</v>
      </c>
      <c r="B36" t="s">
        <v>445</v>
      </c>
      <c r="C36" t="s">
        <v>443</v>
      </c>
      <c r="D36">
        <v>202601</v>
      </c>
      <c r="E36" t="s">
        <v>480</v>
      </c>
      <c r="F36">
        <v>0</v>
      </c>
      <c r="G36">
        <v>1380.4</v>
      </c>
      <c r="H36" s="291" t="str">
        <f t="shared" si="0"/>
        <v/>
      </c>
      <c r="J36" s="59">
        <v>443.99930693069308</v>
      </c>
      <c r="K36" s="60">
        <f t="shared" si="1"/>
        <v>101</v>
      </c>
    </row>
    <row r="37" spans="1:11" x14ac:dyDescent="0.2">
      <c r="A37" t="s">
        <v>441</v>
      </c>
      <c r="B37" t="s">
        <v>445</v>
      </c>
      <c r="C37" t="s">
        <v>443</v>
      </c>
      <c r="D37">
        <v>202509</v>
      </c>
      <c r="E37" t="s">
        <v>481</v>
      </c>
      <c r="F37">
        <v>11</v>
      </c>
      <c r="G37">
        <v>5632.89</v>
      </c>
      <c r="H37" s="291">
        <f t="shared" si="0"/>
        <v>512.08090909090913</v>
      </c>
      <c r="J37" s="59">
        <v>452.58562499999999</v>
      </c>
      <c r="K37" s="60">
        <f t="shared" si="1"/>
        <v>16</v>
      </c>
    </row>
    <row r="38" spans="1:11" x14ac:dyDescent="0.2">
      <c r="A38" t="s">
        <v>441</v>
      </c>
      <c r="B38" t="s">
        <v>445</v>
      </c>
      <c r="C38" t="s">
        <v>443</v>
      </c>
      <c r="D38">
        <v>202512</v>
      </c>
      <c r="E38" t="s">
        <v>482</v>
      </c>
      <c r="F38">
        <v>1</v>
      </c>
      <c r="G38">
        <v>152.97999999999999</v>
      </c>
      <c r="H38" s="291">
        <f t="shared" si="0"/>
        <v>152.97999999999999</v>
      </c>
      <c r="J38" s="59">
        <v>454.80361111111114</v>
      </c>
      <c r="K38" s="60">
        <f t="shared" si="1"/>
        <v>36</v>
      </c>
    </row>
    <row r="39" spans="1:11" x14ac:dyDescent="0.2">
      <c r="A39" t="s">
        <v>441</v>
      </c>
      <c r="B39" t="s">
        <v>445</v>
      </c>
      <c r="C39" t="s">
        <v>443</v>
      </c>
      <c r="D39">
        <v>202512</v>
      </c>
      <c r="E39" t="s">
        <v>483</v>
      </c>
      <c r="F39">
        <v>0</v>
      </c>
      <c r="G39">
        <v>15528.83</v>
      </c>
      <c r="H39" s="291" t="str">
        <f t="shared" si="0"/>
        <v/>
      </c>
      <c r="J39" s="59">
        <v>457.65333333333336</v>
      </c>
      <c r="K39" s="60">
        <f t="shared" si="1"/>
        <v>12</v>
      </c>
    </row>
    <row r="40" spans="1:11" x14ac:dyDescent="0.2">
      <c r="A40" t="s">
        <v>441</v>
      </c>
      <c r="B40" t="s">
        <v>445</v>
      </c>
      <c r="C40" t="s">
        <v>443</v>
      </c>
      <c r="D40">
        <v>202512</v>
      </c>
      <c r="E40" t="s">
        <v>484</v>
      </c>
      <c r="F40">
        <v>11</v>
      </c>
      <c r="G40">
        <v>151183.16</v>
      </c>
      <c r="H40" s="291">
        <f t="shared" si="0"/>
        <v>13743.923636363637</v>
      </c>
      <c r="J40" s="59">
        <v>458.44749999999999</v>
      </c>
      <c r="K40" s="60">
        <f t="shared" si="1"/>
        <v>4</v>
      </c>
    </row>
    <row r="41" spans="1:11" x14ac:dyDescent="0.2">
      <c r="A41" t="s">
        <v>441</v>
      </c>
      <c r="B41" t="s">
        <v>445</v>
      </c>
      <c r="C41" t="s">
        <v>443</v>
      </c>
      <c r="D41">
        <v>202512</v>
      </c>
      <c r="E41" t="s">
        <v>485</v>
      </c>
      <c r="F41">
        <v>0</v>
      </c>
      <c r="G41">
        <v>56747.99</v>
      </c>
      <c r="H41" s="291" t="str">
        <f t="shared" si="0"/>
        <v/>
      </c>
      <c r="J41" s="59">
        <v>459.69287878787878</v>
      </c>
      <c r="K41" s="60">
        <f t="shared" si="1"/>
        <v>132</v>
      </c>
    </row>
    <row r="42" spans="1:11" x14ac:dyDescent="0.2">
      <c r="A42" t="s">
        <v>441</v>
      </c>
      <c r="B42" t="s">
        <v>445</v>
      </c>
      <c r="C42" t="s">
        <v>443</v>
      </c>
      <c r="D42">
        <v>202603</v>
      </c>
      <c r="E42" t="s">
        <v>486</v>
      </c>
      <c r="F42">
        <v>52</v>
      </c>
      <c r="G42">
        <v>11704.17</v>
      </c>
      <c r="H42" s="291">
        <f t="shared" si="0"/>
        <v>225.0801923076923</v>
      </c>
      <c r="J42" s="59">
        <v>461.50868965517236</v>
      </c>
      <c r="K42" s="60">
        <f t="shared" si="1"/>
        <v>145</v>
      </c>
    </row>
    <row r="43" spans="1:11" x14ac:dyDescent="0.2">
      <c r="A43" t="s">
        <v>441</v>
      </c>
      <c r="B43" t="s">
        <v>445</v>
      </c>
      <c r="C43" t="s">
        <v>443</v>
      </c>
      <c r="D43">
        <v>202512</v>
      </c>
      <c r="E43" t="s">
        <v>487</v>
      </c>
      <c r="F43">
        <v>0</v>
      </c>
      <c r="G43">
        <v>125353.38</v>
      </c>
      <c r="H43" s="291" t="str">
        <f t="shared" si="0"/>
        <v/>
      </c>
      <c r="J43" s="59">
        <v>468.5625</v>
      </c>
      <c r="K43" s="60">
        <f t="shared" si="1"/>
        <v>4</v>
      </c>
    </row>
    <row r="44" spans="1:11" x14ac:dyDescent="0.2">
      <c r="A44" t="s">
        <v>441</v>
      </c>
      <c r="B44" t="s">
        <v>445</v>
      </c>
      <c r="C44" t="s">
        <v>443</v>
      </c>
      <c r="D44">
        <v>202512</v>
      </c>
      <c r="E44" t="s">
        <v>488</v>
      </c>
      <c r="F44">
        <v>1177</v>
      </c>
      <c r="G44">
        <v>1007773.55</v>
      </c>
      <c r="H44" s="291">
        <f t="shared" si="0"/>
        <v>856.22221750212407</v>
      </c>
      <c r="J44" s="59">
        <v>498.86733333333336</v>
      </c>
      <c r="K44" s="60">
        <f t="shared" si="1"/>
        <v>30</v>
      </c>
    </row>
    <row r="45" spans="1:11" x14ac:dyDescent="0.2">
      <c r="A45" t="s">
        <v>441</v>
      </c>
      <c r="B45" t="s">
        <v>445</v>
      </c>
      <c r="C45" t="s">
        <v>443</v>
      </c>
      <c r="D45">
        <v>202512</v>
      </c>
      <c r="E45" t="s">
        <v>489</v>
      </c>
      <c r="F45">
        <v>6</v>
      </c>
      <c r="G45">
        <v>14937.69</v>
      </c>
      <c r="H45" s="291">
        <f t="shared" si="0"/>
        <v>2489.6150000000002</v>
      </c>
      <c r="J45" s="59">
        <v>503.46208333333334</v>
      </c>
      <c r="K45" s="60">
        <f t="shared" si="1"/>
        <v>24</v>
      </c>
    </row>
    <row r="46" spans="1:11" x14ac:dyDescent="0.2">
      <c r="A46" t="s">
        <v>441</v>
      </c>
      <c r="B46" t="s">
        <v>445</v>
      </c>
      <c r="C46" t="s">
        <v>443</v>
      </c>
      <c r="D46">
        <v>202512</v>
      </c>
      <c r="E46" t="s">
        <v>490</v>
      </c>
      <c r="F46">
        <v>0</v>
      </c>
      <c r="G46">
        <v>48679.26</v>
      </c>
      <c r="H46" s="291" t="str">
        <f t="shared" si="0"/>
        <v/>
      </c>
      <c r="J46" s="59">
        <v>512.08090909090913</v>
      </c>
      <c r="K46" s="60">
        <f t="shared" si="1"/>
        <v>11</v>
      </c>
    </row>
    <row r="47" spans="1:11" x14ac:dyDescent="0.2">
      <c r="A47" t="s">
        <v>441</v>
      </c>
      <c r="B47" t="s">
        <v>445</v>
      </c>
      <c r="C47" t="s">
        <v>443</v>
      </c>
      <c r="D47">
        <v>202512</v>
      </c>
      <c r="E47" t="s">
        <v>491</v>
      </c>
      <c r="F47">
        <v>12</v>
      </c>
      <c r="G47">
        <v>31257.4</v>
      </c>
      <c r="H47" s="291">
        <f t="shared" si="0"/>
        <v>2604.7833333333333</v>
      </c>
      <c r="J47" s="59">
        <v>514.81000000000006</v>
      </c>
      <c r="K47" s="60">
        <f t="shared" si="1"/>
        <v>1</v>
      </c>
    </row>
    <row r="48" spans="1:11" x14ac:dyDescent="0.2">
      <c r="A48" t="s">
        <v>441</v>
      </c>
      <c r="B48" t="s">
        <v>445</v>
      </c>
      <c r="C48" t="s">
        <v>443</v>
      </c>
      <c r="D48">
        <v>202510</v>
      </c>
      <c r="E48" t="s">
        <v>492</v>
      </c>
      <c r="F48">
        <v>0</v>
      </c>
      <c r="G48">
        <v>18489.670000000002</v>
      </c>
      <c r="H48" s="291" t="str">
        <f t="shared" si="0"/>
        <v/>
      </c>
      <c r="J48" s="59">
        <v>559.95299999999997</v>
      </c>
      <c r="K48" s="60">
        <f t="shared" si="1"/>
        <v>10</v>
      </c>
    </row>
    <row r="49" spans="1:15" x14ac:dyDescent="0.2">
      <c r="A49" t="s">
        <v>441</v>
      </c>
      <c r="B49" t="s">
        <v>445</v>
      </c>
      <c r="C49" t="s">
        <v>443</v>
      </c>
      <c r="D49">
        <v>202510</v>
      </c>
      <c r="E49" t="s">
        <v>493</v>
      </c>
      <c r="F49">
        <v>4</v>
      </c>
      <c r="G49">
        <v>19560.580000000002</v>
      </c>
      <c r="H49" s="291">
        <f t="shared" si="0"/>
        <v>4890.1450000000004</v>
      </c>
      <c r="J49" s="59">
        <v>560.8927941176471</v>
      </c>
      <c r="K49" s="60">
        <f t="shared" si="1"/>
        <v>68</v>
      </c>
    </row>
    <row r="50" spans="1:15" x14ac:dyDescent="0.2">
      <c r="A50" t="s">
        <v>441</v>
      </c>
      <c r="B50" t="s">
        <v>445</v>
      </c>
      <c r="C50" t="s">
        <v>443</v>
      </c>
      <c r="D50">
        <v>202510</v>
      </c>
      <c r="E50" t="s">
        <v>494</v>
      </c>
      <c r="F50">
        <v>204</v>
      </c>
      <c r="G50">
        <v>64937.9</v>
      </c>
      <c r="H50" s="291">
        <f t="shared" si="0"/>
        <v>318.32303921568626</v>
      </c>
      <c r="J50" s="59">
        <v>575.16499999999996</v>
      </c>
      <c r="K50" s="60">
        <f t="shared" si="1"/>
        <v>2</v>
      </c>
    </row>
    <row r="51" spans="1:15" x14ac:dyDescent="0.2">
      <c r="A51" t="s">
        <v>441</v>
      </c>
      <c r="B51" t="s">
        <v>445</v>
      </c>
      <c r="C51" t="s">
        <v>443</v>
      </c>
      <c r="D51">
        <v>202510</v>
      </c>
      <c r="E51" t="s">
        <v>495</v>
      </c>
      <c r="F51">
        <v>0</v>
      </c>
      <c r="G51">
        <v>11004.79</v>
      </c>
      <c r="H51" s="291" t="str">
        <f t="shared" si="0"/>
        <v/>
      </c>
      <c r="J51" s="59">
        <v>577.32128099173553</v>
      </c>
      <c r="K51" s="60">
        <f t="shared" si="1"/>
        <v>484</v>
      </c>
    </row>
    <row r="52" spans="1:15" x14ac:dyDescent="0.2">
      <c r="A52" t="s">
        <v>441</v>
      </c>
      <c r="B52" t="s">
        <v>445</v>
      </c>
      <c r="C52" t="s">
        <v>443</v>
      </c>
      <c r="D52">
        <v>202510</v>
      </c>
      <c r="E52" t="s">
        <v>496</v>
      </c>
      <c r="F52">
        <v>0</v>
      </c>
      <c r="G52">
        <v>468</v>
      </c>
      <c r="H52" s="291" t="str">
        <f t="shared" si="0"/>
        <v/>
      </c>
      <c r="J52" s="59">
        <v>582.94500000000005</v>
      </c>
      <c r="K52" s="60">
        <f t="shared" si="1"/>
        <v>2</v>
      </c>
    </row>
    <row r="53" spans="1:15" x14ac:dyDescent="0.2">
      <c r="A53" t="s">
        <v>441</v>
      </c>
      <c r="B53" t="s">
        <v>445</v>
      </c>
      <c r="C53" t="s">
        <v>443</v>
      </c>
      <c r="D53">
        <v>202509</v>
      </c>
      <c r="E53" t="s">
        <v>497</v>
      </c>
      <c r="F53">
        <v>18</v>
      </c>
      <c r="G53">
        <v>11092.66</v>
      </c>
      <c r="H53" s="291">
        <f t="shared" si="0"/>
        <v>616.25888888888892</v>
      </c>
      <c r="J53" s="59">
        <v>586.12285714285713</v>
      </c>
      <c r="K53" s="60">
        <f t="shared" si="1"/>
        <v>7</v>
      </c>
    </row>
    <row r="54" spans="1:15" x14ac:dyDescent="0.2">
      <c r="A54" t="s">
        <v>441</v>
      </c>
      <c r="B54" t="s">
        <v>478</v>
      </c>
      <c r="C54" t="s">
        <v>443</v>
      </c>
      <c r="D54">
        <v>202511</v>
      </c>
      <c r="E54" t="s">
        <v>498</v>
      </c>
      <c r="F54">
        <v>0</v>
      </c>
      <c r="G54">
        <v>739.80000000000007</v>
      </c>
      <c r="H54" s="291" t="str">
        <f t="shared" si="0"/>
        <v/>
      </c>
      <c r="J54" s="59">
        <v>587.5</v>
      </c>
      <c r="K54" s="60">
        <f t="shared" si="1"/>
        <v>1</v>
      </c>
    </row>
    <row r="55" spans="1:15" x14ac:dyDescent="0.2">
      <c r="A55" t="s">
        <v>441</v>
      </c>
      <c r="B55" t="s">
        <v>478</v>
      </c>
      <c r="C55" t="s">
        <v>443</v>
      </c>
      <c r="D55">
        <v>202512</v>
      </c>
      <c r="E55" t="s">
        <v>499</v>
      </c>
      <c r="F55">
        <v>0</v>
      </c>
      <c r="G55">
        <v>9195.51</v>
      </c>
      <c r="H55" s="291" t="str">
        <f t="shared" si="0"/>
        <v/>
      </c>
      <c r="J55" s="59">
        <v>588.04593406593403</v>
      </c>
      <c r="K55" s="60">
        <f t="shared" si="1"/>
        <v>91</v>
      </c>
    </row>
    <row r="56" spans="1:15" x14ac:dyDescent="0.2">
      <c r="A56" t="s">
        <v>441</v>
      </c>
      <c r="B56" t="s">
        <v>478</v>
      </c>
      <c r="C56" t="s">
        <v>443</v>
      </c>
      <c r="D56">
        <v>202512</v>
      </c>
      <c r="E56" t="s">
        <v>500</v>
      </c>
      <c r="F56">
        <v>94</v>
      </c>
      <c r="G56">
        <v>114670.73</v>
      </c>
      <c r="H56" s="291">
        <f t="shared" si="0"/>
        <v>1219.9013829787234</v>
      </c>
      <c r="J56" s="59">
        <v>593.59249999999997</v>
      </c>
      <c r="K56" s="60">
        <f t="shared" si="1"/>
        <v>8</v>
      </c>
    </row>
    <row r="57" spans="1:15" x14ac:dyDescent="0.2">
      <c r="A57" t="s">
        <v>441</v>
      </c>
      <c r="B57" t="s">
        <v>478</v>
      </c>
      <c r="C57" t="s">
        <v>443</v>
      </c>
      <c r="D57">
        <v>202512</v>
      </c>
      <c r="E57" t="s">
        <v>501</v>
      </c>
      <c r="F57">
        <v>0</v>
      </c>
      <c r="G57">
        <v>35.840000000000003</v>
      </c>
      <c r="H57" s="291" t="str">
        <f t="shared" si="0"/>
        <v/>
      </c>
      <c r="J57" s="59">
        <v>594.02249158249151</v>
      </c>
      <c r="K57" s="60">
        <f t="shared" si="1"/>
        <v>297</v>
      </c>
    </row>
    <row r="58" spans="1:15" x14ac:dyDescent="0.2">
      <c r="A58" t="s">
        <v>441</v>
      </c>
      <c r="B58" t="s">
        <v>478</v>
      </c>
      <c r="C58" t="s">
        <v>443</v>
      </c>
      <c r="D58">
        <v>202512</v>
      </c>
      <c r="E58" t="s">
        <v>502</v>
      </c>
      <c r="F58">
        <v>43</v>
      </c>
      <c r="G58">
        <v>40722.54</v>
      </c>
      <c r="H58" s="291">
        <f t="shared" si="0"/>
        <v>947.0358139534884</v>
      </c>
      <c r="J58" s="59">
        <v>616.25888888888892</v>
      </c>
      <c r="K58" s="60">
        <f t="shared" si="1"/>
        <v>18</v>
      </c>
    </row>
    <row r="59" spans="1:15" x14ac:dyDescent="0.2">
      <c r="A59" t="s">
        <v>441</v>
      </c>
      <c r="B59" t="s">
        <v>478</v>
      </c>
      <c r="C59" t="s">
        <v>443</v>
      </c>
      <c r="D59">
        <v>202512</v>
      </c>
      <c r="E59" t="s">
        <v>503</v>
      </c>
      <c r="F59">
        <v>4</v>
      </c>
      <c r="G59">
        <v>764.85</v>
      </c>
      <c r="H59" s="291">
        <f t="shared" si="0"/>
        <v>191.21250000000001</v>
      </c>
      <c r="J59" s="59">
        <v>619.59749999999997</v>
      </c>
      <c r="K59" s="60">
        <f t="shared" si="1"/>
        <v>4</v>
      </c>
    </row>
    <row r="60" spans="1:15" x14ac:dyDescent="0.2">
      <c r="A60" t="s">
        <v>441</v>
      </c>
      <c r="B60" t="s">
        <v>478</v>
      </c>
      <c r="C60" t="s">
        <v>443</v>
      </c>
      <c r="D60">
        <v>202512</v>
      </c>
      <c r="E60" t="s">
        <v>504</v>
      </c>
      <c r="F60">
        <v>0</v>
      </c>
      <c r="G60">
        <v>30.43</v>
      </c>
      <c r="H60" s="291" t="str">
        <f t="shared" si="0"/>
        <v/>
      </c>
      <c r="J60" s="59">
        <v>636.79700000000003</v>
      </c>
      <c r="K60" s="60">
        <f t="shared" si="1"/>
        <v>10</v>
      </c>
    </row>
    <row r="61" spans="1:15" x14ac:dyDescent="0.2">
      <c r="A61" t="s">
        <v>441</v>
      </c>
      <c r="B61" t="s">
        <v>478</v>
      </c>
      <c r="C61" t="s">
        <v>443</v>
      </c>
      <c r="D61">
        <v>202512</v>
      </c>
      <c r="E61" t="s">
        <v>505</v>
      </c>
      <c r="F61">
        <v>183</v>
      </c>
      <c r="G61">
        <v>156447.61000000002</v>
      </c>
      <c r="H61" s="291">
        <f t="shared" si="0"/>
        <v>854.90497267759577</v>
      </c>
      <c r="J61" s="59">
        <v>672.03894736842108</v>
      </c>
      <c r="K61" s="60">
        <f t="shared" si="1"/>
        <v>19</v>
      </c>
    </row>
    <row r="62" spans="1:15" x14ac:dyDescent="0.2">
      <c r="A62" t="s">
        <v>441</v>
      </c>
      <c r="B62" t="s">
        <v>445</v>
      </c>
      <c r="C62" t="s">
        <v>443</v>
      </c>
      <c r="D62">
        <v>202511</v>
      </c>
      <c r="E62" t="s">
        <v>506</v>
      </c>
      <c r="F62">
        <v>0</v>
      </c>
      <c r="G62">
        <v>1591.53</v>
      </c>
      <c r="H62" s="291" t="str">
        <f t="shared" si="0"/>
        <v/>
      </c>
      <c r="J62" s="292">
        <v>678.28493828558487</v>
      </c>
      <c r="K62" s="293">
        <f t="shared" si="1"/>
        <v>8831</v>
      </c>
      <c r="M62" s="61">
        <f>+J62*K62</f>
        <v>5989934.29</v>
      </c>
      <c r="N62" s="61"/>
      <c r="O62" s="61"/>
    </row>
    <row r="63" spans="1:15" x14ac:dyDescent="0.2">
      <c r="A63" t="s">
        <v>441</v>
      </c>
      <c r="B63" t="s">
        <v>445</v>
      </c>
      <c r="C63" t="s">
        <v>443</v>
      </c>
      <c r="D63">
        <v>202506</v>
      </c>
      <c r="E63" t="s">
        <v>507</v>
      </c>
      <c r="F63">
        <v>756</v>
      </c>
      <c r="G63">
        <v>14776.66</v>
      </c>
      <c r="H63" s="291">
        <f t="shared" si="0"/>
        <v>19.545846560846559</v>
      </c>
      <c r="J63" s="292">
        <v>692.23111111111109</v>
      </c>
      <c r="K63" s="293">
        <f t="shared" si="1"/>
        <v>9</v>
      </c>
      <c r="M63" s="61"/>
      <c r="N63" s="61"/>
      <c r="O63" s="61"/>
    </row>
    <row r="64" spans="1:15" x14ac:dyDescent="0.2">
      <c r="A64" t="s">
        <v>441</v>
      </c>
      <c r="B64" t="s">
        <v>445</v>
      </c>
      <c r="C64" t="s">
        <v>443</v>
      </c>
      <c r="D64">
        <v>202506</v>
      </c>
      <c r="E64" t="s">
        <v>508</v>
      </c>
      <c r="F64">
        <v>9</v>
      </c>
      <c r="G64">
        <v>1299.1000000000001</v>
      </c>
      <c r="H64" s="291">
        <f t="shared" si="0"/>
        <v>144.34444444444446</v>
      </c>
      <c r="J64" s="292">
        <v>699.65666666666675</v>
      </c>
      <c r="K64" s="293">
        <f t="shared" si="1"/>
        <v>6</v>
      </c>
      <c r="M64" s="61"/>
      <c r="N64" s="61"/>
      <c r="O64" s="61"/>
    </row>
    <row r="65" spans="1:15" x14ac:dyDescent="0.2">
      <c r="A65" t="s">
        <v>441</v>
      </c>
      <c r="B65" t="s">
        <v>445</v>
      </c>
      <c r="C65" t="s">
        <v>443</v>
      </c>
      <c r="D65">
        <v>202509</v>
      </c>
      <c r="E65" t="s">
        <v>509</v>
      </c>
      <c r="F65">
        <v>4</v>
      </c>
      <c r="G65">
        <v>1833.79</v>
      </c>
      <c r="H65" s="291">
        <f t="shared" si="0"/>
        <v>458.44749999999999</v>
      </c>
      <c r="J65" s="292">
        <v>720.13428571428574</v>
      </c>
      <c r="K65" s="293">
        <f t="shared" si="1"/>
        <v>14</v>
      </c>
      <c r="M65" s="61"/>
      <c r="N65" s="61"/>
      <c r="O65" s="61"/>
    </row>
    <row r="66" spans="1:15" x14ac:dyDescent="0.2">
      <c r="A66" t="s">
        <v>441</v>
      </c>
      <c r="B66" t="s">
        <v>445</v>
      </c>
      <c r="C66" t="s">
        <v>443</v>
      </c>
      <c r="D66">
        <v>202601</v>
      </c>
      <c r="E66" t="s">
        <v>510</v>
      </c>
      <c r="F66">
        <v>5</v>
      </c>
      <c r="G66">
        <v>4940.63</v>
      </c>
      <c r="H66" s="291">
        <f t="shared" si="0"/>
        <v>988.12599999999998</v>
      </c>
      <c r="J66" s="292">
        <v>735.22799999999995</v>
      </c>
      <c r="K66" s="293">
        <f t="shared" si="1"/>
        <v>15</v>
      </c>
      <c r="M66" s="61"/>
      <c r="N66" s="61"/>
      <c r="O66" s="61"/>
    </row>
    <row r="67" spans="1:15" x14ac:dyDescent="0.2">
      <c r="A67" t="s">
        <v>441</v>
      </c>
      <c r="B67" t="s">
        <v>445</v>
      </c>
      <c r="C67" t="s">
        <v>443</v>
      </c>
      <c r="D67">
        <v>202601</v>
      </c>
      <c r="E67" t="s">
        <v>511</v>
      </c>
      <c r="F67">
        <v>1</v>
      </c>
      <c r="G67">
        <v>514.81000000000006</v>
      </c>
      <c r="H67" s="291">
        <f t="shared" si="0"/>
        <v>514.81000000000006</v>
      </c>
      <c r="J67" s="292">
        <v>735.30988235294126</v>
      </c>
      <c r="K67" s="293">
        <f t="shared" si="1"/>
        <v>85</v>
      </c>
      <c r="M67" s="61"/>
      <c r="N67" s="61"/>
      <c r="O67" s="61"/>
    </row>
    <row r="68" spans="1:15" x14ac:dyDescent="0.2">
      <c r="A68" t="s">
        <v>441</v>
      </c>
      <c r="B68" t="s">
        <v>445</v>
      </c>
      <c r="C68" t="s">
        <v>443</v>
      </c>
      <c r="D68">
        <v>202603</v>
      </c>
      <c r="E68" t="s">
        <v>512</v>
      </c>
      <c r="F68">
        <v>12</v>
      </c>
      <c r="G68">
        <v>26817.920000000002</v>
      </c>
      <c r="H68" s="291">
        <f t="shared" ref="H68:H131" si="2">IF(F68=0,"",G68/F68)</f>
        <v>2234.8266666666668</v>
      </c>
      <c r="J68" s="292">
        <v>797.10252427184469</v>
      </c>
      <c r="K68" s="293">
        <f t="shared" si="1"/>
        <v>103</v>
      </c>
      <c r="M68" s="61"/>
      <c r="N68" s="61"/>
      <c r="O68" s="61"/>
    </row>
    <row r="69" spans="1:15" x14ac:dyDescent="0.2">
      <c r="A69" t="s">
        <v>441</v>
      </c>
      <c r="B69" t="s">
        <v>445</v>
      </c>
      <c r="C69" t="s">
        <v>443</v>
      </c>
      <c r="D69">
        <v>202512</v>
      </c>
      <c r="E69" t="s">
        <v>513</v>
      </c>
      <c r="F69">
        <v>0</v>
      </c>
      <c r="G69">
        <v>82.38</v>
      </c>
      <c r="H69" s="291" t="str">
        <f t="shared" si="2"/>
        <v/>
      </c>
      <c r="J69" s="292">
        <v>854.90497267759577</v>
      </c>
      <c r="K69" s="293">
        <f t="shared" ref="K69:K132" si="3">_xlfn.XLOOKUP(J69,$H$3:$H$242,$F$3:$F$242)</f>
        <v>183</v>
      </c>
      <c r="M69" s="61"/>
      <c r="N69" s="61"/>
      <c r="O69" s="61"/>
    </row>
    <row r="70" spans="1:15" x14ac:dyDescent="0.2">
      <c r="A70" t="s">
        <v>441</v>
      </c>
      <c r="B70" t="s">
        <v>445</v>
      </c>
      <c r="C70" t="s">
        <v>443</v>
      </c>
      <c r="D70">
        <v>202512</v>
      </c>
      <c r="E70" t="s">
        <v>514</v>
      </c>
      <c r="F70">
        <v>25</v>
      </c>
      <c r="G70">
        <v>40932.9</v>
      </c>
      <c r="H70" s="291">
        <f t="shared" si="2"/>
        <v>1637.316</v>
      </c>
      <c r="J70" s="292">
        <v>856.22221750212407</v>
      </c>
      <c r="K70" s="293">
        <f t="shared" si="3"/>
        <v>1177</v>
      </c>
      <c r="M70" s="61">
        <f>+J70*K70</f>
        <v>1007773.55</v>
      </c>
      <c r="N70" s="61"/>
      <c r="O70" s="61"/>
    </row>
    <row r="71" spans="1:15" x14ac:dyDescent="0.2">
      <c r="A71" t="s">
        <v>441</v>
      </c>
      <c r="B71" t="s">
        <v>445</v>
      </c>
      <c r="C71" t="s">
        <v>443</v>
      </c>
      <c r="D71">
        <v>202512</v>
      </c>
      <c r="E71" t="s">
        <v>515</v>
      </c>
      <c r="F71">
        <v>0</v>
      </c>
      <c r="G71">
        <v>182.92000000000002</v>
      </c>
      <c r="H71" s="291" t="str">
        <f t="shared" si="2"/>
        <v/>
      </c>
      <c r="J71" s="292">
        <v>869.21529411764709</v>
      </c>
      <c r="K71" s="293">
        <f t="shared" si="3"/>
        <v>17</v>
      </c>
      <c r="M71" s="61"/>
      <c r="N71" s="61"/>
      <c r="O71" s="61"/>
    </row>
    <row r="72" spans="1:15" x14ac:dyDescent="0.2">
      <c r="A72" t="s">
        <v>441</v>
      </c>
      <c r="B72" t="s">
        <v>445</v>
      </c>
      <c r="C72" t="s">
        <v>443</v>
      </c>
      <c r="D72">
        <v>202512</v>
      </c>
      <c r="E72" t="s">
        <v>516</v>
      </c>
      <c r="F72">
        <v>0</v>
      </c>
      <c r="G72">
        <v>200.03</v>
      </c>
      <c r="H72" s="291" t="str">
        <f t="shared" si="2"/>
        <v/>
      </c>
      <c r="J72" s="292">
        <v>947.0358139534884</v>
      </c>
      <c r="K72" s="293">
        <f t="shared" si="3"/>
        <v>43</v>
      </c>
      <c r="M72" s="61"/>
      <c r="N72" s="61"/>
      <c r="O72" s="61"/>
    </row>
    <row r="73" spans="1:15" x14ac:dyDescent="0.2">
      <c r="A73" t="s">
        <v>441</v>
      </c>
      <c r="B73" t="s">
        <v>445</v>
      </c>
      <c r="C73" t="s">
        <v>443</v>
      </c>
      <c r="D73">
        <v>202512</v>
      </c>
      <c r="E73" t="s">
        <v>517</v>
      </c>
      <c r="F73">
        <v>0</v>
      </c>
      <c r="G73">
        <v>22546.69</v>
      </c>
      <c r="H73" s="291" t="str">
        <f t="shared" si="2"/>
        <v/>
      </c>
      <c r="J73" s="292">
        <v>988.12599999999998</v>
      </c>
      <c r="K73" s="293">
        <f t="shared" si="3"/>
        <v>5</v>
      </c>
      <c r="M73" s="61"/>
      <c r="N73" s="61"/>
      <c r="O73" s="61"/>
    </row>
    <row r="74" spans="1:15" x14ac:dyDescent="0.2">
      <c r="A74" t="s">
        <v>441</v>
      </c>
      <c r="B74" t="s">
        <v>445</v>
      </c>
      <c r="C74" t="s">
        <v>443</v>
      </c>
      <c r="D74">
        <v>202512</v>
      </c>
      <c r="E74" t="s">
        <v>518</v>
      </c>
      <c r="F74">
        <v>0</v>
      </c>
      <c r="G74">
        <v>67248.47</v>
      </c>
      <c r="H74" s="291" t="str">
        <f t="shared" si="2"/>
        <v/>
      </c>
      <c r="J74" s="292">
        <v>1006.7800000000001</v>
      </c>
      <c r="K74" s="293">
        <f t="shared" si="3"/>
        <v>3</v>
      </c>
      <c r="M74" s="61"/>
      <c r="N74" s="61"/>
      <c r="O74" s="61"/>
    </row>
    <row r="75" spans="1:15" x14ac:dyDescent="0.2">
      <c r="A75" t="s">
        <v>441</v>
      </c>
      <c r="B75" t="s">
        <v>445</v>
      </c>
      <c r="C75" t="s">
        <v>443</v>
      </c>
      <c r="D75">
        <v>202512</v>
      </c>
      <c r="E75" t="s">
        <v>519</v>
      </c>
      <c r="F75">
        <v>0</v>
      </c>
      <c r="G75">
        <v>700.85</v>
      </c>
      <c r="H75" s="291" t="str">
        <f t="shared" si="2"/>
        <v/>
      </c>
      <c r="J75" s="292">
        <v>1072.3840173192773</v>
      </c>
      <c r="K75" s="293">
        <f t="shared" si="3"/>
        <v>2656</v>
      </c>
      <c r="M75" s="61">
        <f>+J75*K75</f>
        <v>2848251.9500000007</v>
      </c>
      <c r="N75" s="61"/>
      <c r="O75" s="61"/>
    </row>
    <row r="76" spans="1:15" x14ac:dyDescent="0.2">
      <c r="A76" t="s">
        <v>441</v>
      </c>
      <c r="B76" t="s">
        <v>445</v>
      </c>
      <c r="C76" t="s">
        <v>443</v>
      </c>
      <c r="D76">
        <v>202510</v>
      </c>
      <c r="E76" t="s">
        <v>520</v>
      </c>
      <c r="F76">
        <v>20</v>
      </c>
      <c r="G76">
        <v>27163.360000000001</v>
      </c>
      <c r="H76" s="291">
        <f t="shared" si="2"/>
        <v>1358.1680000000001</v>
      </c>
      <c r="J76" s="292">
        <v>1078.3427272727274</v>
      </c>
      <c r="K76" s="293">
        <f t="shared" si="3"/>
        <v>11</v>
      </c>
      <c r="M76" s="61"/>
      <c r="N76" s="61"/>
      <c r="O76" s="61"/>
    </row>
    <row r="77" spans="1:15" x14ac:dyDescent="0.2">
      <c r="A77" t="s">
        <v>441</v>
      </c>
      <c r="B77" t="s">
        <v>445</v>
      </c>
      <c r="C77" t="s">
        <v>443</v>
      </c>
      <c r="D77">
        <v>202512</v>
      </c>
      <c r="E77" t="s">
        <v>521</v>
      </c>
      <c r="F77">
        <v>0</v>
      </c>
      <c r="G77">
        <v>5472.36</v>
      </c>
      <c r="H77" s="291" t="str">
        <f t="shared" si="2"/>
        <v/>
      </c>
      <c r="J77" s="292">
        <v>1119.5537152553716</v>
      </c>
      <c r="K77" s="293">
        <f t="shared" si="3"/>
        <v>1255.23</v>
      </c>
      <c r="M77" s="61">
        <f>+J77*K77</f>
        <v>1405297.4100000001</v>
      </c>
      <c r="N77" s="61"/>
      <c r="O77" s="61"/>
    </row>
    <row r="78" spans="1:15" x14ac:dyDescent="0.2">
      <c r="A78" t="s">
        <v>441</v>
      </c>
      <c r="B78" t="s">
        <v>445</v>
      </c>
      <c r="C78" t="s">
        <v>443</v>
      </c>
      <c r="D78">
        <v>202512</v>
      </c>
      <c r="E78" t="s">
        <v>522</v>
      </c>
      <c r="F78">
        <v>14</v>
      </c>
      <c r="G78">
        <v>10081.880000000001</v>
      </c>
      <c r="H78" s="291">
        <f t="shared" si="2"/>
        <v>720.13428571428574</v>
      </c>
      <c r="J78" s="292">
        <v>1125.4083333333333</v>
      </c>
      <c r="K78" s="293">
        <f t="shared" si="3"/>
        <v>24</v>
      </c>
      <c r="M78" s="61"/>
      <c r="N78" s="61"/>
      <c r="O78" s="61"/>
    </row>
    <row r="79" spans="1:15" x14ac:dyDescent="0.2">
      <c r="A79" t="s">
        <v>441</v>
      </c>
      <c r="B79" t="s">
        <v>445</v>
      </c>
      <c r="C79" t="s">
        <v>443</v>
      </c>
      <c r="D79">
        <v>202512</v>
      </c>
      <c r="E79" t="s">
        <v>523</v>
      </c>
      <c r="F79">
        <v>0</v>
      </c>
      <c r="G79">
        <v>51816.65</v>
      </c>
      <c r="H79" s="291" t="str">
        <f t="shared" si="2"/>
        <v/>
      </c>
      <c r="J79" s="292">
        <v>1153.78</v>
      </c>
      <c r="K79" s="293">
        <f t="shared" si="3"/>
        <v>4</v>
      </c>
      <c r="M79" s="61"/>
      <c r="N79" s="61"/>
      <c r="O79" s="61"/>
    </row>
    <row r="80" spans="1:15" x14ac:dyDescent="0.2">
      <c r="A80" t="s">
        <v>441</v>
      </c>
      <c r="B80" t="s">
        <v>445</v>
      </c>
      <c r="C80" t="s">
        <v>443</v>
      </c>
      <c r="D80">
        <v>202603</v>
      </c>
      <c r="E80" t="s">
        <v>524</v>
      </c>
      <c r="F80">
        <v>0</v>
      </c>
      <c r="G80">
        <v>0</v>
      </c>
      <c r="H80" s="291" t="str">
        <f t="shared" si="2"/>
        <v/>
      </c>
      <c r="J80" s="292">
        <v>1200.6199999999999</v>
      </c>
      <c r="K80" s="293">
        <f t="shared" si="3"/>
        <v>13</v>
      </c>
      <c r="M80" s="61"/>
      <c r="N80" s="61"/>
      <c r="O80" s="61"/>
    </row>
    <row r="81" spans="1:15" x14ac:dyDescent="0.2">
      <c r="A81" t="s">
        <v>441</v>
      </c>
      <c r="B81" t="s">
        <v>445</v>
      </c>
      <c r="C81" t="s">
        <v>443</v>
      </c>
      <c r="D81">
        <v>202510</v>
      </c>
      <c r="E81" t="s">
        <v>525</v>
      </c>
      <c r="F81">
        <v>139</v>
      </c>
      <c r="G81">
        <v>21121.45</v>
      </c>
      <c r="H81" s="291">
        <f t="shared" si="2"/>
        <v>151.95287769784173</v>
      </c>
      <c r="J81" s="292">
        <v>1219.9013829787234</v>
      </c>
      <c r="K81" s="293">
        <f t="shared" si="3"/>
        <v>94</v>
      </c>
      <c r="M81" s="61"/>
      <c r="N81" s="61"/>
      <c r="O81" s="61"/>
    </row>
    <row r="82" spans="1:15" x14ac:dyDescent="0.2">
      <c r="A82" t="s">
        <v>441</v>
      </c>
      <c r="B82" t="s">
        <v>445</v>
      </c>
      <c r="C82" t="s">
        <v>443</v>
      </c>
      <c r="D82">
        <v>202510</v>
      </c>
      <c r="E82" t="s">
        <v>526</v>
      </c>
      <c r="F82">
        <v>2</v>
      </c>
      <c r="G82">
        <v>61.13</v>
      </c>
      <c r="H82" s="291">
        <f t="shared" si="2"/>
        <v>30.565000000000001</v>
      </c>
      <c r="J82" s="292">
        <v>1237.5982449567723</v>
      </c>
      <c r="K82" s="293">
        <f t="shared" si="3"/>
        <v>3470</v>
      </c>
      <c r="M82" s="61">
        <f>+J82*K82</f>
        <v>4294465.91</v>
      </c>
      <c r="N82" s="61"/>
      <c r="O82" s="61"/>
    </row>
    <row r="83" spans="1:15" x14ac:dyDescent="0.2">
      <c r="A83" t="s">
        <v>441</v>
      </c>
      <c r="B83" t="s">
        <v>445</v>
      </c>
      <c r="C83" t="s">
        <v>443</v>
      </c>
      <c r="D83">
        <v>202510</v>
      </c>
      <c r="E83" t="s">
        <v>527</v>
      </c>
      <c r="F83">
        <v>4</v>
      </c>
      <c r="G83">
        <v>1874.25</v>
      </c>
      <c r="H83" s="291">
        <f t="shared" si="2"/>
        <v>468.5625</v>
      </c>
      <c r="J83" s="292">
        <v>1242.7943</v>
      </c>
      <c r="K83" s="293">
        <f t="shared" si="3"/>
        <v>100</v>
      </c>
      <c r="M83" s="61"/>
      <c r="N83" s="61"/>
      <c r="O83" s="61"/>
    </row>
    <row r="84" spans="1:15" x14ac:dyDescent="0.2">
      <c r="A84" t="s">
        <v>441</v>
      </c>
      <c r="B84" t="s">
        <v>445</v>
      </c>
      <c r="C84" t="s">
        <v>443</v>
      </c>
      <c r="D84">
        <v>202510</v>
      </c>
      <c r="E84" t="s">
        <v>528</v>
      </c>
      <c r="F84">
        <v>0</v>
      </c>
      <c r="G84">
        <v>978.69</v>
      </c>
      <c r="H84" s="291" t="str">
        <f t="shared" si="2"/>
        <v/>
      </c>
      <c r="J84" s="292">
        <v>1304.99</v>
      </c>
      <c r="K84" s="293">
        <f t="shared" si="3"/>
        <v>1</v>
      </c>
      <c r="M84" s="61"/>
      <c r="N84" s="61"/>
      <c r="O84" s="61"/>
    </row>
    <row r="85" spans="1:15" x14ac:dyDescent="0.2">
      <c r="A85" t="s">
        <v>441</v>
      </c>
      <c r="B85" t="s">
        <v>474</v>
      </c>
      <c r="C85" t="s">
        <v>443</v>
      </c>
      <c r="D85">
        <v>202506</v>
      </c>
      <c r="E85" t="s">
        <v>529</v>
      </c>
      <c r="F85">
        <v>24</v>
      </c>
      <c r="G85">
        <v>12083.09</v>
      </c>
      <c r="H85" s="291">
        <f t="shared" si="2"/>
        <v>503.46208333333334</v>
      </c>
      <c r="J85" s="292">
        <v>1329.821547017189</v>
      </c>
      <c r="K85" s="293">
        <f t="shared" si="3"/>
        <v>1978</v>
      </c>
      <c r="M85" s="61">
        <f>+J85*K85</f>
        <v>2630387.02</v>
      </c>
      <c r="N85" s="61"/>
      <c r="O85" s="61"/>
    </row>
    <row r="86" spans="1:15" x14ac:dyDescent="0.2">
      <c r="A86" t="s">
        <v>441</v>
      </c>
      <c r="B86" t="s">
        <v>474</v>
      </c>
      <c r="C86" t="s">
        <v>443</v>
      </c>
      <c r="D86">
        <v>202603</v>
      </c>
      <c r="E86" t="s">
        <v>530</v>
      </c>
      <c r="F86">
        <v>147</v>
      </c>
      <c r="G86">
        <v>508688.35000000003</v>
      </c>
      <c r="H86" s="291">
        <f t="shared" si="2"/>
        <v>3460.4649659863949</v>
      </c>
      <c r="J86" s="292">
        <v>1358.1680000000001</v>
      </c>
      <c r="K86" s="293">
        <f t="shared" si="3"/>
        <v>20</v>
      </c>
      <c r="M86" s="61"/>
      <c r="N86" s="61"/>
      <c r="O86" s="61"/>
    </row>
    <row r="87" spans="1:15" x14ac:dyDescent="0.2">
      <c r="A87" t="s">
        <v>441</v>
      </c>
      <c r="B87" t="s">
        <v>478</v>
      </c>
      <c r="C87" t="s">
        <v>443</v>
      </c>
      <c r="D87">
        <v>202512</v>
      </c>
      <c r="E87" t="s">
        <v>531</v>
      </c>
      <c r="F87">
        <v>0</v>
      </c>
      <c r="G87">
        <v>2051.42</v>
      </c>
      <c r="H87" s="291" t="str">
        <f t="shared" si="2"/>
        <v/>
      </c>
      <c r="J87" s="292">
        <v>1384.0710526315791</v>
      </c>
      <c r="K87" s="293">
        <f t="shared" si="3"/>
        <v>19</v>
      </c>
      <c r="M87" s="61"/>
      <c r="N87" s="61"/>
      <c r="O87" s="61"/>
    </row>
    <row r="88" spans="1:15" x14ac:dyDescent="0.2">
      <c r="A88" t="s">
        <v>441</v>
      </c>
      <c r="B88" t="s">
        <v>478</v>
      </c>
      <c r="C88" t="s">
        <v>443</v>
      </c>
      <c r="D88">
        <v>202512</v>
      </c>
      <c r="E88" t="s">
        <v>532</v>
      </c>
      <c r="F88">
        <v>1</v>
      </c>
      <c r="G88">
        <v>15348.1</v>
      </c>
      <c r="H88" s="291">
        <f t="shared" si="2"/>
        <v>15348.1</v>
      </c>
      <c r="J88" s="292">
        <v>1393.0028571428572</v>
      </c>
      <c r="K88" s="293">
        <f t="shared" si="3"/>
        <v>14</v>
      </c>
      <c r="M88" s="61"/>
      <c r="N88" s="61"/>
      <c r="O88" s="61"/>
    </row>
    <row r="89" spans="1:15" x14ac:dyDescent="0.2">
      <c r="A89" t="s">
        <v>441</v>
      </c>
      <c r="B89" t="s">
        <v>478</v>
      </c>
      <c r="C89" t="s">
        <v>443</v>
      </c>
      <c r="D89">
        <v>202510</v>
      </c>
      <c r="E89" t="s">
        <v>533</v>
      </c>
      <c r="F89">
        <v>0</v>
      </c>
      <c r="G89">
        <v>42090.78</v>
      </c>
      <c r="H89" s="291" t="str">
        <f t="shared" si="2"/>
        <v/>
      </c>
      <c r="J89" s="292">
        <v>1434.6857142857145</v>
      </c>
      <c r="K89" s="293">
        <f t="shared" si="3"/>
        <v>7</v>
      </c>
      <c r="M89" s="61"/>
      <c r="N89" s="61"/>
      <c r="O89" s="61"/>
    </row>
    <row r="90" spans="1:15" x14ac:dyDescent="0.2">
      <c r="A90" t="s">
        <v>441</v>
      </c>
      <c r="B90" t="s">
        <v>445</v>
      </c>
      <c r="C90" t="s">
        <v>443</v>
      </c>
      <c r="D90">
        <v>202505</v>
      </c>
      <c r="E90" t="s">
        <v>534</v>
      </c>
      <c r="F90">
        <v>1</v>
      </c>
      <c r="G90">
        <v>408.38</v>
      </c>
      <c r="H90" s="291">
        <f t="shared" si="2"/>
        <v>408.38</v>
      </c>
      <c r="J90" s="292">
        <v>1460.6455172413794</v>
      </c>
      <c r="K90" s="293">
        <f t="shared" si="3"/>
        <v>58</v>
      </c>
      <c r="M90" s="61"/>
      <c r="N90" s="61"/>
      <c r="O90" s="61"/>
    </row>
    <row r="91" spans="1:15" x14ac:dyDescent="0.2">
      <c r="A91" t="s">
        <v>441</v>
      </c>
      <c r="B91" t="s">
        <v>445</v>
      </c>
      <c r="C91" t="s">
        <v>443</v>
      </c>
      <c r="D91">
        <v>202506</v>
      </c>
      <c r="E91" t="s">
        <v>535</v>
      </c>
      <c r="F91">
        <v>10</v>
      </c>
      <c r="G91">
        <v>3581.92</v>
      </c>
      <c r="H91" s="291">
        <f t="shared" si="2"/>
        <v>358.19200000000001</v>
      </c>
      <c r="J91" s="292">
        <v>1563.0377777777778</v>
      </c>
      <c r="K91" s="293">
        <f t="shared" si="3"/>
        <v>27</v>
      </c>
      <c r="M91" s="61"/>
      <c r="N91" s="61"/>
      <c r="O91" s="61"/>
    </row>
    <row r="92" spans="1:15" x14ac:dyDescent="0.2">
      <c r="A92" t="s">
        <v>441</v>
      </c>
      <c r="B92" t="s">
        <v>445</v>
      </c>
      <c r="C92" t="s">
        <v>443</v>
      </c>
      <c r="D92">
        <v>202506</v>
      </c>
      <c r="E92" t="s">
        <v>536</v>
      </c>
      <c r="F92">
        <v>2</v>
      </c>
      <c r="G92">
        <v>5923.25</v>
      </c>
      <c r="H92" s="291">
        <f t="shared" si="2"/>
        <v>2961.625</v>
      </c>
      <c r="J92" s="292">
        <v>1582.1820689655174</v>
      </c>
      <c r="K92" s="293">
        <f t="shared" si="3"/>
        <v>203</v>
      </c>
      <c r="M92" s="61">
        <f>+J92*K92</f>
        <v>321182.96000000002</v>
      </c>
      <c r="N92" s="61"/>
      <c r="O92" s="61"/>
    </row>
    <row r="93" spans="1:15" x14ac:dyDescent="0.2">
      <c r="A93" t="s">
        <v>441</v>
      </c>
      <c r="B93" t="s">
        <v>445</v>
      </c>
      <c r="C93" t="s">
        <v>443</v>
      </c>
      <c r="D93">
        <v>202508</v>
      </c>
      <c r="E93" t="s">
        <v>537</v>
      </c>
      <c r="F93">
        <v>12</v>
      </c>
      <c r="G93">
        <v>22758.71</v>
      </c>
      <c r="H93" s="291">
        <f t="shared" si="2"/>
        <v>1896.5591666666667</v>
      </c>
      <c r="J93" s="292">
        <v>1619.5958461538462</v>
      </c>
      <c r="K93" s="293">
        <f t="shared" si="3"/>
        <v>65</v>
      </c>
      <c r="M93" s="61"/>
      <c r="N93" s="61"/>
      <c r="O93" s="61"/>
    </row>
    <row r="94" spans="1:15" x14ac:dyDescent="0.2">
      <c r="A94" t="s">
        <v>441</v>
      </c>
      <c r="B94" t="s">
        <v>445</v>
      </c>
      <c r="C94" t="s">
        <v>443</v>
      </c>
      <c r="D94">
        <v>202601</v>
      </c>
      <c r="E94" t="s">
        <v>538</v>
      </c>
      <c r="F94">
        <v>1</v>
      </c>
      <c r="G94">
        <v>2072.77</v>
      </c>
      <c r="H94" s="291">
        <f t="shared" si="2"/>
        <v>2072.77</v>
      </c>
      <c r="J94" s="292">
        <v>1637.316</v>
      </c>
      <c r="K94" s="293">
        <f t="shared" si="3"/>
        <v>25</v>
      </c>
      <c r="M94" s="61"/>
      <c r="N94" s="61"/>
      <c r="O94" s="61"/>
    </row>
    <row r="95" spans="1:15" x14ac:dyDescent="0.2">
      <c r="A95" t="s">
        <v>441</v>
      </c>
      <c r="B95" t="s">
        <v>445</v>
      </c>
      <c r="C95" t="s">
        <v>443</v>
      </c>
      <c r="D95">
        <v>202512</v>
      </c>
      <c r="E95" t="s">
        <v>539</v>
      </c>
      <c r="F95">
        <v>8</v>
      </c>
      <c r="G95">
        <v>705.5</v>
      </c>
      <c r="H95" s="291">
        <f t="shared" si="2"/>
        <v>88.1875</v>
      </c>
      <c r="J95" s="292">
        <v>1682.6416666666667</v>
      </c>
      <c r="K95" s="293">
        <f t="shared" si="3"/>
        <v>18</v>
      </c>
      <c r="M95" s="61"/>
      <c r="N95" s="61"/>
      <c r="O95" s="61"/>
    </row>
    <row r="96" spans="1:15" x14ac:dyDescent="0.2">
      <c r="A96" t="s">
        <v>441</v>
      </c>
      <c r="B96" t="s">
        <v>445</v>
      </c>
      <c r="C96" t="s">
        <v>443</v>
      </c>
      <c r="D96">
        <v>202512</v>
      </c>
      <c r="E96" t="s">
        <v>540</v>
      </c>
      <c r="F96">
        <v>0</v>
      </c>
      <c r="G96">
        <v>74.23</v>
      </c>
      <c r="H96" s="291" t="str">
        <f t="shared" si="2"/>
        <v/>
      </c>
      <c r="J96" s="292">
        <v>1728.454505988024</v>
      </c>
      <c r="K96" s="293">
        <f t="shared" si="3"/>
        <v>668</v>
      </c>
      <c r="M96" s="61">
        <f>+J96*K96</f>
        <v>1154607.6100000001</v>
      </c>
      <c r="N96" s="61"/>
      <c r="O96" s="61"/>
    </row>
    <row r="97" spans="1:15" x14ac:dyDescent="0.2">
      <c r="A97" t="s">
        <v>441</v>
      </c>
      <c r="B97" t="s">
        <v>445</v>
      </c>
      <c r="C97" t="s">
        <v>443</v>
      </c>
      <c r="D97">
        <v>202512</v>
      </c>
      <c r="E97" t="s">
        <v>541</v>
      </c>
      <c r="F97">
        <v>30</v>
      </c>
      <c r="G97">
        <v>228283.80000000002</v>
      </c>
      <c r="H97" s="291">
        <f t="shared" si="2"/>
        <v>7609.4600000000009</v>
      </c>
      <c r="J97" s="292">
        <v>1729.22</v>
      </c>
      <c r="K97" s="293">
        <f t="shared" si="3"/>
        <v>7</v>
      </c>
      <c r="M97" s="61"/>
      <c r="N97" s="61"/>
      <c r="O97" s="61"/>
    </row>
    <row r="98" spans="1:15" x14ac:dyDescent="0.2">
      <c r="A98" t="s">
        <v>441</v>
      </c>
      <c r="B98" t="s">
        <v>445</v>
      </c>
      <c r="C98" t="s">
        <v>443</v>
      </c>
      <c r="D98">
        <v>202512</v>
      </c>
      <c r="E98" t="s">
        <v>542</v>
      </c>
      <c r="F98">
        <v>0</v>
      </c>
      <c r="G98">
        <v>82024.78</v>
      </c>
      <c r="H98" s="291" t="str">
        <f t="shared" si="2"/>
        <v/>
      </c>
      <c r="J98" s="292">
        <v>1774.0965000000001</v>
      </c>
      <c r="K98" s="293">
        <f t="shared" si="3"/>
        <v>20</v>
      </c>
      <c r="M98" s="61"/>
      <c r="N98" s="61"/>
      <c r="O98" s="61"/>
    </row>
    <row r="99" spans="1:15" x14ac:dyDescent="0.2">
      <c r="A99" t="s">
        <v>441</v>
      </c>
      <c r="B99" t="s">
        <v>445</v>
      </c>
      <c r="C99" t="s">
        <v>443</v>
      </c>
      <c r="D99">
        <v>202512</v>
      </c>
      <c r="E99" t="s">
        <v>543</v>
      </c>
      <c r="F99">
        <v>103</v>
      </c>
      <c r="G99">
        <v>344373.29</v>
      </c>
      <c r="H99" s="291">
        <f t="shared" si="2"/>
        <v>3343.43</v>
      </c>
      <c r="J99" s="292">
        <v>1785.1610000000001</v>
      </c>
      <c r="K99" s="293">
        <f t="shared" si="3"/>
        <v>10</v>
      </c>
      <c r="M99" s="61"/>
      <c r="N99" s="61"/>
      <c r="O99" s="61"/>
    </row>
    <row r="100" spans="1:15" x14ac:dyDescent="0.2">
      <c r="A100" t="s">
        <v>441</v>
      </c>
      <c r="B100" t="s">
        <v>445</v>
      </c>
      <c r="C100" t="s">
        <v>443</v>
      </c>
      <c r="D100">
        <v>202512</v>
      </c>
      <c r="E100" t="s">
        <v>544</v>
      </c>
      <c r="F100">
        <v>203</v>
      </c>
      <c r="G100">
        <v>321182.96000000002</v>
      </c>
      <c r="H100" s="291">
        <f t="shared" si="2"/>
        <v>1582.1820689655174</v>
      </c>
      <c r="J100" s="292">
        <v>1896.5591666666667</v>
      </c>
      <c r="K100" s="293">
        <f t="shared" si="3"/>
        <v>12</v>
      </c>
      <c r="M100" s="61"/>
      <c r="N100" s="61"/>
      <c r="O100" s="61"/>
    </row>
    <row r="101" spans="1:15" x14ac:dyDescent="0.2">
      <c r="A101" t="s">
        <v>441</v>
      </c>
      <c r="B101" t="s">
        <v>445</v>
      </c>
      <c r="C101" t="s">
        <v>443</v>
      </c>
      <c r="D101">
        <v>202509</v>
      </c>
      <c r="E101" t="s">
        <v>545</v>
      </c>
      <c r="F101">
        <v>36</v>
      </c>
      <c r="G101">
        <v>16372.93</v>
      </c>
      <c r="H101" s="291">
        <f t="shared" si="2"/>
        <v>454.80361111111114</v>
      </c>
      <c r="J101" s="292">
        <v>1898.1770000000001</v>
      </c>
      <c r="K101" s="293">
        <f t="shared" si="3"/>
        <v>10</v>
      </c>
      <c r="M101" s="61"/>
      <c r="N101" s="61"/>
      <c r="O101" s="61"/>
    </row>
    <row r="102" spans="1:15" x14ac:dyDescent="0.2">
      <c r="A102" t="s">
        <v>441</v>
      </c>
      <c r="B102" t="s">
        <v>445</v>
      </c>
      <c r="C102" t="s">
        <v>443</v>
      </c>
      <c r="D102">
        <v>202512</v>
      </c>
      <c r="E102" t="s">
        <v>546</v>
      </c>
      <c r="F102">
        <v>1978</v>
      </c>
      <c r="G102">
        <v>2630387.02</v>
      </c>
      <c r="H102" s="291">
        <f t="shared" si="2"/>
        <v>1329.821547017189</v>
      </c>
      <c r="J102" s="292">
        <v>1960.9605747126438</v>
      </c>
      <c r="K102" s="293">
        <f t="shared" si="3"/>
        <v>87</v>
      </c>
      <c r="M102" s="61"/>
      <c r="N102" s="61"/>
      <c r="O102" s="61"/>
    </row>
    <row r="103" spans="1:15" x14ac:dyDescent="0.2">
      <c r="A103" t="s">
        <v>441</v>
      </c>
      <c r="B103" t="s">
        <v>445</v>
      </c>
      <c r="C103" t="s">
        <v>443</v>
      </c>
      <c r="D103">
        <v>202512</v>
      </c>
      <c r="E103" t="s">
        <v>547</v>
      </c>
      <c r="F103">
        <v>668</v>
      </c>
      <c r="G103">
        <v>1154607.6100000001</v>
      </c>
      <c r="H103" s="291">
        <f t="shared" si="2"/>
        <v>1728.454505988024</v>
      </c>
      <c r="J103" s="292">
        <v>1973.8057894736842</v>
      </c>
      <c r="K103" s="293">
        <f t="shared" si="3"/>
        <v>38</v>
      </c>
      <c r="M103" s="61"/>
      <c r="N103" s="61"/>
      <c r="O103" s="61"/>
    </row>
    <row r="104" spans="1:15" x14ac:dyDescent="0.2">
      <c r="A104" t="s">
        <v>441</v>
      </c>
      <c r="B104" t="s">
        <v>445</v>
      </c>
      <c r="C104" t="s">
        <v>443</v>
      </c>
      <c r="D104">
        <v>202512</v>
      </c>
      <c r="E104" t="s">
        <v>548</v>
      </c>
      <c r="F104">
        <v>0</v>
      </c>
      <c r="G104">
        <v>8211.91</v>
      </c>
      <c r="H104" s="291" t="str">
        <f t="shared" si="2"/>
        <v/>
      </c>
      <c r="J104" s="292">
        <v>1982.4386666666667</v>
      </c>
      <c r="K104" s="293">
        <f t="shared" si="3"/>
        <v>45</v>
      </c>
      <c r="M104" s="61"/>
      <c r="N104" s="61"/>
      <c r="O104" s="61"/>
    </row>
    <row r="105" spans="1:15" x14ac:dyDescent="0.2">
      <c r="A105" t="s">
        <v>441</v>
      </c>
      <c r="B105" t="s">
        <v>445</v>
      </c>
      <c r="C105" t="s">
        <v>443</v>
      </c>
      <c r="D105">
        <v>202512</v>
      </c>
      <c r="E105" t="s">
        <v>549</v>
      </c>
      <c r="F105">
        <v>24</v>
      </c>
      <c r="G105">
        <v>27009.8</v>
      </c>
      <c r="H105" s="291">
        <f t="shared" si="2"/>
        <v>1125.4083333333333</v>
      </c>
      <c r="J105" s="292">
        <v>1993.202734082397</v>
      </c>
      <c r="K105" s="293">
        <f t="shared" si="3"/>
        <v>267</v>
      </c>
      <c r="M105" s="61">
        <f>+J105*K105</f>
        <v>532185.13</v>
      </c>
      <c r="N105" s="61"/>
      <c r="O105" s="61"/>
    </row>
    <row r="106" spans="1:15" x14ac:dyDescent="0.2">
      <c r="A106" t="s">
        <v>441</v>
      </c>
      <c r="B106" t="s">
        <v>445</v>
      </c>
      <c r="C106" t="s">
        <v>443</v>
      </c>
      <c r="D106">
        <v>202512</v>
      </c>
      <c r="E106" t="s">
        <v>550</v>
      </c>
      <c r="F106">
        <v>5</v>
      </c>
      <c r="G106">
        <v>34817.050000000003</v>
      </c>
      <c r="H106" s="291">
        <f t="shared" si="2"/>
        <v>6963.4100000000008</v>
      </c>
      <c r="J106" s="292">
        <v>2011.8630000000001</v>
      </c>
      <c r="K106" s="293">
        <f t="shared" si="3"/>
        <v>10</v>
      </c>
      <c r="M106" s="61"/>
      <c r="N106" s="61"/>
      <c r="O106" s="61"/>
    </row>
    <row r="107" spans="1:15" x14ac:dyDescent="0.2">
      <c r="A107" t="s">
        <v>441</v>
      </c>
      <c r="B107" t="s">
        <v>445</v>
      </c>
      <c r="C107" t="s">
        <v>443</v>
      </c>
      <c r="D107">
        <v>202512</v>
      </c>
      <c r="E107" t="s">
        <v>551</v>
      </c>
      <c r="F107">
        <v>5</v>
      </c>
      <c r="G107">
        <v>17325.36</v>
      </c>
      <c r="H107" s="291">
        <f t="shared" si="2"/>
        <v>3465.0720000000001</v>
      </c>
      <c r="J107" s="292">
        <v>2072.77</v>
      </c>
      <c r="K107" s="293">
        <f t="shared" si="3"/>
        <v>1</v>
      </c>
      <c r="M107" s="61"/>
      <c r="N107" s="61"/>
      <c r="O107" s="61"/>
    </row>
    <row r="108" spans="1:15" x14ac:dyDescent="0.2">
      <c r="A108" t="s">
        <v>441</v>
      </c>
      <c r="B108" t="s">
        <v>445</v>
      </c>
      <c r="C108" t="s">
        <v>443</v>
      </c>
      <c r="D108">
        <v>202510</v>
      </c>
      <c r="E108" t="s">
        <v>552</v>
      </c>
      <c r="F108">
        <v>91</v>
      </c>
      <c r="G108">
        <v>53512.18</v>
      </c>
      <c r="H108" s="291">
        <f t="shared" si="2"/>
        <v>588.04593406593403</v>
      </c>
      <c r="J108" s="67">
        <v>2120.0328813559322</v>
      </c>
      <c r="K108" s="68">
        <f t="shared" si="3"/>
        <v>59</v>
      </c>
      <c r="L108" s="64"/>
      <c r="M108" s="65"/>
      <c r="N108" s="65"/>
      <c r="O108" s="65"/>
    </row>
    <row r="109" spans="1:15" x14ac:dyDescent="0.2">
      <c r="A109" t="s">
        <v>441</v>
      </c>
      <c r="B109" t="s">
        <v>445</v>
      </c>
      <c r="C109" t="s">
        <v>443</v>
      </c>
      <c r="D109">
        <v>202510</v>
      </c>
      <c r="E109" t="s">
        <v>553</v>
      </c>
      <c r="F109">
        <v>0</v>
      </c>
      <c r="G109">
        <v>7889.81</v>
      </c>
      <c r="H109" s="291" t="str">
        <f t="shared" si="2"/>
        <v/>
      </c>
      <c r="J109" s="294">
        <v>2222.9177062937065</v>
      </c>
      <c r="K109" s="295">
        <f t="shared" si="3"/>
        <v>715</v>
      </c>
      <c r="M109" s="66"/>
      <c r="N109" s="61">
        <f>+J109*K109</f>
        <v>1589386.1600000001</v>
      </c>
      <c r="O109" s="61"/>
    </row>
    <row r="110" spans="1:15" x14ac:dyDescent="0.2">
      <c r="A110" t="s">
        <v>441</v>
      </c>
      <c r="B110" t="s">
        <v>445</v>
      </c>
      <c r="C110" t="s">
        <v>443</v>
      </c>
      <c r="D110">
        <v>202510</v>
      </c>
      <c r="E110" t="s">
        <v>554</v>
      </c>
      <c r="F110">
        <v>0</v>
      </c>
      <c r="G110">
        <v>1080.03</v>
      </c>
      <c r="H110" s="291" t="str">
        <f t="shared" si="2"/>
        <v/>
      </c>
      <c r="J110" s="292">
        <v>2234.8266666666668</v>
      </c>
      <c r="K110" s="293">
        <f t="shared" si="3"/>
        <v>12</v>
      </c>
      <c r="M110" s="61"/>
      <c r="N110" s="61"/>
      <c r="O110" s="61"/>
    </row>
    <row r="111" spans="1:15" x14ac:dyDescent="0.2">
      <c r="A111" t="s">
        <v>441</v>
      </c>
      <c r="B111" t="s">
        <v>445</v>
      </c>
      <c r="C111" t="s">
        <v>443</v>
      </c>
      <c r="D111">
        <v>202510</v>
      </c>
      <c r="E111" t="s">
        <v>555</v>
      </c>
      <c r="F111">
        <v>0</v>
      </c>
      <c r="G111">
        <v>34946.629999999997</v>
      </c>
      <c r="H111" s="291" t="str">
        <f t="shared" si="2"/>
        <v/>
      </c>
      <c r="J111" s="292">
        <v>2459.5972262773721</v>
      </c>
      <c r="K111" s="293">
        <f t="shared" si="3"/>
        <v>274</v>
      </c>
      <c r="M111" s="61"/>
      <c r="N111" s="61">
        <f>+J111*K111</f>
        <v>673929.6399999999</v>
      </c>
      <c r="O111" s="61"/>
    </row>
    <row r="112" spans="1:15" x14ac:dyDescent="0.2">
      <c r="A112" t="s">
        <v>441</v>
      </c>
      <c r="B112" t="s">
        <v>474</v>
      </c>
      <c r="C112" t="s">
        <v>443</v>
      </c>
      <c r="D112">
        <v>202510</v>
      </c>
      <c r="E112" t="s">
        <v>556</v>
      </c>
      <c r="F112">
        <v>0</v>
      </c>
      <c r="G112">
        <v>6176.2</v>
      </c>
      <c r="H112" s="291" t="str">
        <f t="shared" si="2"/>
        <v/>
      </c>
      <c r="J112" s="292">
        <v>2464.1136363636365</v>
      </c>
      <c r="K112" s="293">
        <f t="shared" si="3"/>
        <v>11</v>
      </c>
      <c r="M112" s="61"/>
      <c r="N112" s="61"/>
      <c r="O112" s="61"/>
    </row>
    <row r="113" spans="1:15" x14ac:dyDescent="0.2">
      <c r="A113" t="s">
        <v>441</v>
      </c>
      <c r="B113" t="s">
        <v>478</v>
      </c>
      <c r="C113" t="s">
        <v>443</v>
      </c>
      <c r="D113">
        <v>202509</v>
      </c>
      <c r="E113" t="s">
        <v>557</v>
      </c>
      <c r="F113">
        <v>30</v>
      </c>
      <c r="G113">
        <v>14966.02</v>
      </c>
      <c r="H113" s="291">
        <f t="shared" si="2"/>
        <v>498.86733333333336</v>
      </c>
      <c r="J113" s="292">
        <v>2485.3111111111111</v>
      </c>
      <c r="K113" s="293">
        <f t="shared" si="3"/>
        <v>9</v>
      </c>
      <c r="M113" s="61"/>
      <c r="N113" s="61"/>
      <c r="O113" s="61"/>
    </row>
    <row r="114" spans="1:15" x14ac:dyDescent="0.2">
      <c r="A114" t="s">
        <v>441</v>
      </c>
      <c r="B114" t="s">
        <v>478</v>
      </c>
      <c r="C114" t="s">
        <v>443</v>
      </c>
      <c r="D114">
        <v>202601</v>
      </c>
      <c r="E114" t="s">
        <v>558</v>
      </c>
      <c r="F114">
        <v>0</v>
      </c>
      <c r="G114">
        <v>963.04</v>
      </c>
      <c r="H114" s="291" t="str">
        <f t="shared" si="2"/>
        <v/>
      </c>
      <c r="J114" s="292">
        <v>2489.6150000000002</v>
      </c>
      <c r="K114" s="293">
        <f t="shared" si="3"/>
        <v>6</v>
      </c>
      <c r="M114" s="61"/>
      <c r="N114" s="61"/>
      <c r="O114" s="61"/>
    </row>
    <row r="115" spans="1:15" x14ac:dyDescent="0.2">
      <c r="A115" t="s">
        <v>441</v>
      </c>
      <c r="B115" t="s">
        <v>478</v>
      </c>
      <c r="C115" t="s">
        <v>443</v>
      </c>
      <c r="D115">
        <v>202512</v>
      </c>
      <c r="E115" t="s">
        <v>559</v>
      </c>
      <c r="F115">
        <v>45</v>
      </c>
      <c r="G115">
        <v>89209.74</v>
      </c>
      <c r="H115" s="291">
        <f t="shared" si="2"/>
        <v>1982.4386666666667</v>
      </c>
      <c r="J115" s="292">
        <v>2565.8038636363635</v>
      </c>
      <c r="K115" s="293">
        <f t="shared" si="3"/>
        <v>44</v>
      </c>
      <c r="M115" s="61"/>
      <c r="N115" s="61"/>
      <c r="O115" s="61"/>
    </row>
    <row r="116" spans="1:15" x14ac:dyDescent="0.2">
      <c r="A116" t="s">
        <v>441</v>
      </c>
      <c r="B116" t="s">
        <v>478</v>
      </c>
      <c r="C116" t="s">
        <v>443</v>
      </c>
      <c r="D116">
        <v>202512</v>
      </c>
      <c r="E116" t="s">
        <v>560</v>
      </c>
      <c r="F116">
        <v>103</v>
      </c>
      <c r="G116">
        <v>82101.56</v>
      </c>
      <c r="H116" s="291">
        <f t="shared" si="2"/>
        <v>797.10252427184469</v>
      </c>
      <c r="J116" s="292">
        <v>2571.1166666666668</v>
      </c>
      <c r="K116" s="293">
        <f t="shared" si="3"/>
        <v>6</v>
      </c>
      <c r="M116" s="61"/>
      <c r="N116" s="61"/>
      <c r="O116" s="61"/>
    </row>
    <row r="117" spans="1:15" x14ac:dyDescent="0.2">
      <c r="A117" t="s">
        <v>441</v>
      </c>
      <c r="B117" t="s">
        <v>478</v>
      </c>
      <c r="C117" t="s">
        <v>443</v>
      </c>
      <c r="D117">
        <v>202512</v>
      </c>
      <c r="E117" t="s">
        <v>561</v>
      </c>
      <c r="F117">
        <v>3470</v>
      </c>
      <c r="G117">
        <v>4294465.91</v>
      </c>
      <c r="H117" s="291">
        <f t="shared" si="2"/>
        <v>1237.5982449567723</v>
      </c>
      <c r="J117" s="292">
        <v>2604.7833333333333</v>
      </c>
      <c r="K117" s="293">
        <f t="shared" si="3"/>
        <v>12</v>
      </c>
      <c r="M117" s="61"/>
      <c r="N117" s="61"/>
      <c r="O117" s="61"/>
    </row>
    <row r="118" spans="1:15" x14ac:dyDescent="0.2">
      <c r="A118" t="s">
        <v>441</v>
      </c>
      <c r="B118" t="s">
        <v>445</v>
      </c>
      <c r="C118" t="s">
        <v>443</v>
      </c>
      <c r="D118">
        <v>202506</v>
      </c>
      <c r="E118" t="s">
        <v>562</v>
      </c>
      <c r="F118">
        <v>0</v>
      </c>
      <c r="G118">
        <v>585.84</v>
      </c>
      <c r="H118" s="291" t="str">
        <f t="shared" si="2"/>
        <v/>
      </c>
      <c r="J118" s="292">
        <v>2632.5633333333335</v>
      </c>
      <c r="K118" s="293">
        <f t="shared" si="3"/>
        <v>9</v>
      </c>
      <c r="M118" s="61"/>
      <c r="N118" s="61"/>
      <c r="O118" s="61"/>
    </row>
    <row r="119" spans="1:15" x14ac:dyDescent="0.2">
      <c r="A119" t="s">
        <v>441</v>
      </c>
      <c r="B119" t="s">
        <v>445</v>
      </c>
      <c r="C119" t="s">
        <v>443</v>
      </c>
      <c r="D119">
        <v>202512</v>
      </c>
      <c r="E119" t="s">
        <v>563</v>
      </c>
      <c r="F119">
        <v>0</v>
      </c>
      <c r="G119">
        <v>5558.26</v>
      </c>
      <c r="H119" s="291" t="str">
        <f t="shared" si="2"/>
        <v/>
      </c>
      <c r="J119" s="292">
        <v>2643.1944755244754</v>
      </c>
      <c r="K119" s="293">
        <f t="shared" si="3"/>
        <v>143</v>
      </c>
      <c r="M119" s="61"/>
      <c r="N119" s="61">
        <f>+J119*K119</f>
        <v>377976.81</v>
      </c>
      <c r="O119" s="61"/>
    </row>
    <row r="120" spans="1:15" x14ac:dyDescent="0.2">
      <c r="A120" t="s">
        <v>441</v>
      </c>
      <c r="B120" t="s">
        <v>445</v>
      </c>
      <c r="C120" t="s">
        <v>443</v>
      </c>
      <c r="D120">
        <v>202506</v>
      </c>
      <c r="E120" t="s">
        <v>564</v>
      </c>
      <c r="F120">
        <v>9</v>
      </c>
      <c r="G120">
        <v>23693.07</v>
      </c>
      <c r="H120" s="291">
        <f t="shared" si="2"/>
        <v>2632.5633333333335</v>
      </c>
      <c r="J120" s="292">
        <v>2775.9775</v>
      </c>
      <c r="K120" s="293">
        <f t="shared" si="3"/>
        <v>4</v>
      </c>
      <c r="M120" s="61"/>
      <c r="N120" s="61"/>
      <c r="O120" s="61"/>
    </row>
    <row r="121" spans="1:15" x14ac:dyDescent="0.2">
      <c r="A121" t="s">
        <v>441</v>
      </c>
      <c r="B121" t="s">
        <v>445</v>
      </c>
      <c r="C121" t="s">
        <v>443</v>
      </c>
      <c r="D121">
        <v>202603</v>
      </c>
      <c r="E121" t="s">
        <v>537</v>
      </c>
      <c r="F121">
        <v>0</v>
      </c>
      <c r="G121">
        <v>0</v>
      </c>
      <c r="H121" s="291" t="str">
        <f t="shared" si="2"/>
        <v/>
      </c>
      <c r="J121" s="292">
        <v>2797.41</v>
      </c>
      <c r="K121" s="293">
        <f t="shared" si="3"/>
        <v>1</v>
      </c>
      <c r="M121" s="61"/>
      <c r="N121" s="61"/>
      <c r="O121" s="61"/>
    </row>
    <row r="122" spans="1:15" x14ac:dyDescent="0.2">
      <c r="A122" t="s">
        <v>441</v>
      </c>
      <c r="B122" t="s">
        <v>445</v>
      </c>
      <c r="C122" t="s">
        <v>443</v>
      </c>
      <c r="D122">
        <v>202601</v>
      </c>
      <c r="E122" t="s">
        <v>565</v>
      </c>
      <c r="F122">
        <v>0</v>
      </c>
      <c r="G122">
        <v>178.55</v>
      </c>
      <c r="H122" s="291" t="str">
        <f t="shared" si="2"/>
        <v/>
      </c>
      <c r="J122" s="292">
        <v>2961.625</v>
      </c>
      <c r="K122" s="293">
        <f t="shared" si="3"/>
        <v>2</v>
      </c>
      <c r="M122" s="61"/>
      <c r="N122" s="61"/>
      <c r="O122" s="61"/>
    </row>
    <row r="123" spans="1:15" x14ac:dyDescent="0.2">
      <c r="A123" t="s">
        <v>441</v>
      </c>
      <c r="B123" t="s">
        <v>445</v>
      </c>
      <c r="C123" t="s">
        <v>443</v>
      </c>
      <c r="D123">
        <v>202512</v>
      </c>
      <c r="E123" t="s">
        <v>566</v>
      </c>
      <c r="F123">
        <v>100</v>
      </c>
      <c r="G123">
        <v>124279.43000000001</v>
      </c>
      <c r="H123" s="291">
        <f t="shared" si="2"/>
        <v>1242.7943</v>
      </c>
      <c r="J123" s="292">
        <v>3009.15</v>
      </c>
      <c r="K123" s="293">
        <f t="shared" si="3"/>
        <v>2</v>
      </c>
      <c r="M123" s="61"/>
      <c r="N123" s="61"/>
      <c r="O123" s="61"/>
    </row>
    <row r="124" spans="1:15" x14ac:dyDescent="0.2">
      <c r="A124" t="s">
        <v>441</v>
      </c>
      <c r="B124" t="s">
        <v>445</v>
      </c>
      <c r="C124" t="s">
        <v>443</v>
      </c>
      <c r="D124">
        <v>202512</v>
      </c>
      <c r="E124" t="s">
        <v>567</v>
      </c>
      <c r="F124">
        <v>59</v>
      </c>
      <c r="G124">
        <v>125081.94</v>
      </c>
      <c r="H124" s="291">
        <f t="shared" si="2"/>
        <v>2120.0328813559322</v>
      </c>
      <c r="J124" s="292">
        <v>3064.55</v>
      </c>
      <c r="K124" s="293">
        <f t="shared" si="3"/>
        <v>2</v>
      </c>
      <c r="M124" s="61"/>
      <c r="N124" s="61"/>
      <c r="O124" s="61"/>
    </row>
    <row r="125" spans="1:15" x14ac:dyDescent="0.2">
      <c r="A125" t="s">
        <v>441</v>
      </c>
      <c r="B125" t="s">
        <v>445</v>
      </c>
      <c r="C125" t="s">
        <v>443</v>
      </c>
      <c r="D125">
        <v>202512</v>
      </c>
      <c r="E125" t="s">
        <v>568</v>
      </c>
      <c r="F125">
        <v>11</v>
      </c>
      <c r="G125">
        <v>11861.77</v>
      </c>
      <c r="H125" s="291">
        <f t="shared" si="2"/>
        <v>1078.3427272727274</v>
      </c>
      <c r="J125" s="292">
        <v>3179.835</v>
      </c>
      <c r="K125" s="293">
        <f t="shared" si="3"/>
        <v>2</v>
      </c>
      <c r="M125" s="61"/>
      <c r="N125" s="61"/>
      <c r="O125" s="61"/>
    </row>
    <row r="126" spans="1:15" x14ac:dyDescent="0.2">
      <c r="A126" t="s">
        <v>441</v>
      </c>
      <c r="B126" t="s">
        <v>445</v>
      </c>
      <c r="C126" t="s">
        <v>443</v>
      </c>
      <c r="D126">
        <v>202512</v>
      </c>
      <c r="E126" t="s">
        <v>569</v>
      </c>
      <c r="F126">
        <v>0</v>
      </c>
      <c r="G126">
        <v>10.55</v>
      </c>
      <c r="H126" s="291" t="str">
        <f t="shared" si="2"/>
        <v/>
      </c>
      <c r="J126" s="292">
        <v>3219.17</v>
      </c>
      <c r="K126" s="293">
        <f t="shared" si="3"/>
        <v>1</v>
      </c>
      <c r="M126" s="61"/>
      <c r="N126" s="61"/>
      <c r="O126" s="61"/>
    </row>
    <row r="127" spans="1:15" x14ac:dyDescent="0.2">
      <c r="A127" t="s">
        <v>441</v>
      </c>
      <c r="B127" t="s">
        <v>445</v>
      </c>
      <c r="C127" t="s">
        <v>443</v>
      </c>
      <c r="D127">
        <v>202512</v>
      </c>
      <c r="E127" t="s">
        <v>570</v>
      </c>
      <c r="F127">
        <v>11</v>
      </c>
      <c r="G127">
        <v>128198.82</v>
      </c>
      <c r="H127" s="291">
        <f t="shared" si="2"/>
        <v>11654.438181818183</v>
      </c>
      <c r="J127" s="292">
        <v>3248.2549999999997</v>
      </c>
      <c r="K127" s="293">
        <f t="shared" si="3"/>
        <v>6</v>
      </c>
      <c r="M127" s="61"/>
      <c r="N127" s="61"/>
      <c r="O127" s="61"/>
    </row>
    <row r="128" spans="1:15" x14ac:dyDescent="0.2">
      <c r="A128" t="s">
        <v>441</v>
      </c>
      <c r="B128" t="s">
        <v>445</v>
      </c>
      <c r="C128" t="s">
        <v>443</v>
      </c>
      <c r="D128">
        <v>202512</v>
      </c>
      <c r="E128" t="s">
        <v>571</v>
      </c>
      <c r="F128">
        <v>130</v>
      </c>
      <c r="G128">
        <v>526506.47</v>
      </c>
      <c r="H128" s="291">
        <f t="shared" si="2"/>
        <v>4050.049769230769</v>
      </c>
      <c r="J128" s="292">
        <v>3343.43</v>
      </c>
      <c r="K128" s="293">
        <f t="shared" si="3"/>
        <v>103</v>
      </c>
      <c r="M128" s="61"/>
      <c r="N128" s="61"/>
      <c r="O128" s="61"/>
    </row>
    <row r="129" spans="1:15" x14ac:dyDescent="0.2">
      <c r="A129" t="s">
        <v>441</v>
      </c>
      <c r="B129" t="s">
        <v>445</v>
      </c>
      <c r="C129" t="s">
        <v>443</v>
      </c>
      <c r="D129">
        <v>202512</v>
      </c>
      <c r="E129" t="s">
        <v>572</v>
      </c>
      <c r="F129">
        <v>74</v>
      </c>
      <c r="G129">
        <v>362139.96</v>
      </c>
      <c r="H129" s="291">
        <f t="shared" si="2"/>
        <v>4893.7832432432433</v>
      </c>
      <c r="J129" s="292">
        <v>3429.8647807017546</v>
      </c>
      <c r="K129" s="293">
        <f t="shared" si="3"/>
        <v>228</v>
      </c>
      <c r="M129" s="61"/>
      <c r="N129" s="61">
        <f>+J129*K129</f>
        <v>782009.17</v>
      </c>
      <c r="O129" s="61"/>
    </row>
    <row r="130" spans="1:15" x14ac:dyDescent="0.2">
      <c r="A130" t="s">
        <v>441</v>
      </c>
      <c r="B130" t="s">
        <v>445</v>
      </c>
      <c r="C130" t="s">
        <v>443</v>
      </c>
      <c r="D130">
        <v>202603</v>
      </c>
      <c r="E130" t="s">
        <v>573</v>
      </c>
      <c r="F130">
        <v>0</v>
      </c>
      <c r="G130">
        <v>155461.93</v>
      </c>
      <c r="H130" s="291" t="str">
        <f t="shared" si="2"/>
        <v/>
      </c>
      <c r="J130" s="292">
        <v>3460.4649659863949</v>
      </c>
      <c r="K130" s="293">
        <f t="shared" si="3"/>
        <v>147</v>
      </c>
      <c r="M130" s="61"/>
      <c r="N130" s="61">
        <f>+J130*K130</f>
        <v>508688.35000000003</v>
      </c>
      <c r="O130" s="61"/>
    </row>
    <row r="131" spans="1:15" x14ac:dyDescent="0.2">
      <c r="A131" t="s">
        <v>441</v>
      </c>
      <c r="B131" t="s">
        <v>445</v>
      </c>
      <c r="C131" t="s">
        <v>443</v>
      </c>
      <c r="D131">
        <v>202512</v>
      </c>
      <c r="E131" t="s">
        <v>574</v>
      </c>
      <c r="F131">
        <v>267</v>
      </c>
      <c r="G131">
        <v>532185.13</v>
      </c>
      <c r="H131" s="291">
        <f t="shared" si="2"/>
        <v>1993.202734082397</v>
      </c>
      <c r="J131" s="292">
        <v>3465.0720000000001</v>
      </c>
      <c r="K131" s="293">
        <f t="shared" si="3"/>
        <v>5</v>
      </c>
      <c r="M131" s="61"/>
      <c r="N131" s="61"/>
      <c r="O131" s="61"/>
    </row>
    <row r="132" spans="1:15" x14ac:dyDescent="0.2">
      <c r="A132" t="s">
        <v>441</v>
      </c>
      <c r="B132" t="s">
        <v>445</v>
      </c>
      <c r="C132" t="s">
        <v>443</v>
      </c>
      <c r="D132">
        <v>202512</v>
      </c>
      <c r="E132" t="s">
        <v>575</v>
      </c>
      <c r="F132">
        <v>0</v>
      </c>
      <c r="G132">
        <v>182879.96</v>
      </c>
      <c r="H132" s="291" t="str">
        <f t="shared" ref="H132:H195" si="4">IF(F132=0,"",G132/F132)</f>
        <v/>
      </c>
      <c r="J132" s="292">
        <v>3477.352142857143</v>
      </c>
      <c r="K132" s="293">
        <f t="shared" si="3"/>
        <v>14</v>
      </c>
      <c r="M132" s="61"/>
      <c r="N132" s="61"/>
      <c r="O132" s="61"/>
    </row>
    <row r="133" spans="1:15" x14ac:dyDescent="0.2">
      <c r="A133" t="s">
        <v>441</v>
      </c>
      <c r="B133" t="s">
        <v>445</v>
      </c>
      <c r="C133" t="s">
        <v>443</v>
      </c>
      <c r="D133">
        <v>202509</v>
      </c>
      <c r="E133" t="s">
        <v>576</v>
      </c>
      <c r="F133">
        <v>85</v>
      </c>
      <c r="G133">
        <v>62501.340000000004</v>
      </c>
      <c r="H133" s="291">
        <f t="shared" si="4"/>
        <v>735.30988235294126</v>
      </c>
      <c r="J133" s="292">
        <v>3480.2961538461536</v>
      </c>
      <c r="K133" s="293">
        <f t="shared" ref="K133:K153" si="5">_xlfn.XLOOKUP(J133,$H$3:$H$242,$F$3:$F$242)</f>
        <v>13</v>
      </c>
      <c r="M133" s="61"/>
      <c r="N133" s="61"/>
      <c r="O133" s="61"/>
    </row>
    <row r="134" spans="1:15" x14ac:dyDescent="0.2">
      <c r="A134" t="s">
        <v>441</v>
      </c>
      <c r="B134" t="s">
        <v>445</v>
      </c>
      <c r="C134" t="s">
        <v>443</v>
      </c>
      <c r="D134">
        <v>202603</v>
      </c>
      <c r="E134" t="s">
        <v>576</v>
      </c>
      <c r="F134">
        <v>0</v>
      </c>
      <c r="G134">
        <v>0</v>
      </c>
      <c r="H134" s="291" t="str">
        <f t="shared" si="4"/>
        <v/>
      </c>
      <c r="J134" s="292">
        <v>3507.4124999999999</v>
      </c>
      <c r="K134" s="293">
        <f t="shared" si="5"/>
        <v>4</v>
      </c>
      <c r="M134" s="61"/>
      <c r="N134" s="61"/>
      <c r="O134" s="61"/>
    </row>
    <row r="135" spans="1:15" x14ac:dyDescent="0.2">
      <c r="A135" t="s">
        <v>441</v>
      </c>
      <c r="B135" t="s">
        <v>445</v>
      </c>
      <c r="C135" t="s">
        <v>443</v>
      </c>
      <c r="D135">
        <v>202512</v>
      </c>
      <c r="E135" t="s">
        <v>577</v>
      </c>
      <c r="F135">
        <v>3</v>
      </c>
      <c r="G135">
        <v>3020.34</v>
      </c>
      <c r="H135" s="291">
        <f t="shared" si="4"/>
        <v>1006.7800000000001</v>
      </c>
      <c r="J135" s="292">
        <v>3645.9143975903617</v>
      </c>
      <c r="K135" s="293">
        <f t="shared" si="5"/>
        <v>166</v>
      </c>
      <c r="M135" s="61"/>
      <c r="N135" s="61">
        <f>+J135*K135</f>
        <v>605221.79</v>
      </c>
      <c r="O135" s="61"/>
    </row>
    <row r="136" spans="1:15" x14ac:dyDescent="0.2">
      <c r="A136" t="s">
        <v>441</v>
      </c>
      <c r="B136" t="s">
        <v>445</v>
      </c>
      <c r="C136" t="s">
        <v>443</v>
      </c>
      <c r="D136">
        <v>202510</v>
      </c>
      <c r="E136" t="s">
        <v>578</v>
      </c>
      <c r="F136">
        <v>6</v>
      </c>
      <c r="G136">
        <v>19489.53</v>
      </c>
      <c r="H136" s="291">
        <f t="shared" si="4"/>
        <v>3248.2549999999997</v>
      </c>
      <c r="J136" s="292">
        <v>3890.3920000000003</v>
      </c>
      <c r="K136" s="293">
        <f t="shared" si="5"/>
        <v>15</v>
      </c>
      <c r="M136" s="61"/>
      <c r="N136" s="61"/>
      <c r="O136" s="61"/>
    </row>
    <row r="137" spans="1:15" x14ac:dyDescent="0.2">
      <c r="A137" t="s">
        <v>441</v>
      </c>
      <c r="B137" t="s">
        <v>445</v>
      </c>
      <c r="C137" t="s">
        <v>443</v>
      </c>
      <c r="D137">
        <v>202603</v>
      </c>
      <c r="E137" t="s">
        <v>579</v>
      </c>
      <c r="F137">
        <v>0</v>
      </c>
      <c r="G137">
        <v>0</v>
      </c>
      <c r="H137" s="291" t="str">
        <f t="shared" si="4"/>
        <v/>
      </c>
      <c r="J137" s="292">
        <v>4050.049769230769</v>
      </c>
      <c r="K137" s="293">
        <f t="shared" si="5"/>
        <v>130</v>
      </c>
      <c r="M137" s="61"/>
      <c r="N137" s="61">
        <f>+J137*K137</f>
        <v>526506.47</v>
      </c>
      <c r="O137" s="61"/>
    </row>
    <row r="138" spans="1:15" x14ac:dyDescent="0.2">
      <c r="A138" t="s">
        <v>441</v>
      </c>
      <c r="B138" t="s">
        <v>445</v>
      </c>
      <c r="C138" t="s">
        <v>443</v>
      </c>
      <c r="D138">
        <v>202509</v>
      </c>
      <c r="E138" t="s">
        <v>580</v>
      </c>
      <c r="F138">
        <v>10</v>
      </c>
      <c r="G138">
        <v>5599.53</v>
      </c>
      <c r="H138" s="291">
        <f t="shared" si="4"/>
        <v>559.95299999999997</v>
      </c>
      <c r="J138" s="292">
        <v>4890.1450000000004</v>
      </c>
      <c r="K138" s="293">
        <f t="shared" si="5"/>
        <v>4</v>
      </c>
      <c r="M138" s="61"/>
      <c r="N138" s="61"/>
      <c r="O138" s="61"/>
    </row>
    <row r="139" spans="1:15" x14ac:dyDescent="0.2">
      <c r="A139" t="s">
        <v>441</v>
      </c>
      <c r="B139" t="s">
        <v>474</v>
      </c>
      <c r="C139" t="s">
        <v>443</v>
      </c>
      <c r="D139">
        <v>202505</v>
      </c>
      <c r="E139" t="s">
        <v>581</v>
      </c>
      <c r="F139">
        <v>2</v>
      </c>
      <c r="G139">
        <v>6018.3</v>
      </c>
      <c r="H139" s="291">
        <f t="shared" si="4"/>
        <v>3009.15</v>
      </c>
      <c r="J139" s="292">
        <v>4893.7832432432433</v>
      </c>
      <c r="K139" s="293">
        <f t="shared" si="5"/>
        <v>74</v>
      </c>
      <c r="M139" s="61"/>
      <c r="N139" s="61"/>
      <c r="O139" s="61"/>
    </row>
    <row r="140" spans="1:15" x14ac:dyDescent="0.2">
      <c r="A140" t="s">
        <v>441</v>
      </c>
      <c r="B140" t="s">
        <v>474</v>
      </c>
      <c r="C140" t="s">
        <v>443</v>
      </c>
      <c r="D140">
        <v>202603</v>
      </c>
      <c r="E140" t="s">
        <v>582</v>
      </c>
      <c r="F140">
        <v>228</v>
      </c>
      <c r="G140">
        <v>782009.17</v>
      </c>
      <c r="H140" s="291">
        <f t="shared" si="4"/>
        <v>3429.8647807017546</v>
      </c>
      <c r="J140" s="292">
        <v>5162.5946666666669</v>
      </c>
      <c r="K140" s="293">
        <f t="shared" si="5"/>
        <v>15</v>
      </c>
      <c r="M140" s="61"/>
      <c r="N140" s="61"/>
      <c r="O140" s="61"/>
    </row>
    <row r="141" spans="1:15" x14ac:dyDescent="0.2">
      <c r="A141" t="s">
        <v>441</v>
      </c>
      <c r="B141" t="s">
        <v>478</v>
      </c>
      <c r="C141" t="s">
        <v>443</v>
      </c>
      <c r="D141">
        <v>202506</v>
      </c>
      <c r="E141" t="s">
        <v>583</v>
      </c>
      <c r="F141">
        <v>0</v>
      </c>
      <c r="G141">
        <v>0</v>
      </c>
      <c r="H141" s="291" t="str">
        <f t="shared" si="4"/>
        <v/>
      </c>
      <c r="J141" s="292">
        <v>6109.3660294117653</v>
      </c>
      <c r="K141" s="293">
        <f t="shared" si="5"/>
        <v>68</v>
      </c>
      <c r="M141" s="61"/>
      <c r="N141" s="61"/>
      <c r="O141" s="61"/>
    </row>
    <row r="142" spans="1:15" x14ac:dyDescent="0.2">
      <c r="A142" t="s">
        <v>441</v>
      </c>
      <c r="B142" t="s">
        <v>478</v>
      </c>
      <c r="C142" t="s">
        <v>443</v>
      </c>
      <c r="D142">
        <v>202509</v>
      </c>
      <c r="E142" t="s">
        <v>584</v>
      </c>
      <c r="F142">
        <v>97</v>
      </c>
      <c r="G142">
        <v>14984.26</v>
      </c>
      <c r="H142" s="291">
        <f t="shared" si="4"/>
        <v>154.47690721649485</v>
      </c>
      <c r="J142" s="292">
        <v>6732.6329107981219</v>
      </c>
      <c r="K142" s="293">
        <f t="shared" si="5"/>
        <v>213</v>
      </c>
      <c r="M142" s="61"/>
      <c r="N142" s="61">
        <f>+J142*K142</f>
        <v>1434050.81</v>
      </c>
      <c r="O142" s="61"/>
    </row>
    <row r="143" spans="1:15" x14ac:dyDescent="0.2">
      <c r="A143" t="s">
        <v>441</v>
      </c>
      <c r="B143" t="s">
        <v>478</v>
      </c>
      <c r="C143" t="s">
        <v>443</v>
      </c>
      <c r="D143">
        <v>202512</v>
      </c>
      <c r="E143" t="s">
        <v>585</v>
      </c>
      <c r="F143">
        <v>0</v>
      </c>
      <c r="G143">
        <v>264321.34999999998</v>
      </c>
      <c r="H143" s="291" t="str">
        <f t="shared" si="4"/>
        <v/>
      </c>
      <c r="J143" s="292">
        <v>6963.4100000000008</v>
      </c>
      <c r="K143" s="293">
        <f t="shared" si="5"/>
        <v>5</v>
      </c>
      <c r="M143" s="61"/>
      <c r="N143" s="61"/>
      <c r="O143" s="61"/>
    </row>
    <row r="144" spans="1:15" x14ac:dyDescent="0.2">
      <c r="A144" t="s">
        <v>441</v>
      </c>
      <c r="B144" t="s">
        <v>478</v>
      </c>
      <c r="C144" t="s">
        <v>443</v>
      </c>
      <c r="D144">
        <v>202512</v>
      </c>
      <c r="E144" t="s">
        <v>586</v>
      </c>
      <c r="F144">
        <v>0</v>
      </c>
      <c r="G144">
        <v>805.19</v>
      </c>
      <c r="H144" s="291" t="str">
        <f t="shared" si="4"/>
        <v/>
      </c>
      <c r="J144" s="67">
        <v>7609.4600000000009</v>
      </c>
      <c r="K144" s="68">
        <f t="shared" si="5"/>
        <v>30</v>
      </c>
      <c r="L144" s="64"/>
      <c r="M144" s="65"/>
      <c r="N144" s="65"/>
      <c r="O144" s="65"/>
    </row>
    <row r="145" spans="1:16" x14ac:dyDescent="0.2">
      <c r="A145" t="s">
        <v>441</v>
      </c>
      <c r="B145" t="s">
        <v>478</v>
      </c>
      <c r="C145" t="s">
        <v>443</v>
      </c>
      <c r="D145">
        <v>202512</v>
      </c>
      <c r="E145" t="s">
        <v>587</v>
      </c>
      <c r="F145">
        <v>18</v>
      </c>
      <c r="G145">
        <v>30287.55</v>
      </c>
      <c r="H145" s="291">
        <f t="shared" si="4"/>
        <v>1682.6416666666667</v>
      </c>
      <c r="J145" s="292">
        <v>9569.8150000000005</v>
      </c>
      <c r="K145" s="293">
        <f t="shared" si="5"/>
        <v>2</v>
      </c>
      <c r="M145" s="61"/>
      <c r="N145" s="61"/>
      <c r="O145" s="61"/>
    </row>
    <row r="146" spans="1:16" x14ac:dyDescent="0.2">
      <c r="A146" t="s">
        <v>441</v>
      </c>
      <c r="B146" t="s">
        <v>478</v>
      </c>
      <c r="C146" t="s">
        <v>443</v>
      </c>
      <c r="D146">
        <v>202512</v>
      </c>
      <c r="E146" t="s">
        <v>588</v>
      </c>
      <c r="F146">
        <v>9</v>
      </c>
      <c r="G146">
        <v>6230.08</v>
      </c>
      <c r="H146" s="291">
        <f t="shared" si="4"/>
        <v>692.23111111111109</v>
      </c>
      <c r="J146" s="292">
        <v>11654.438181818183</v>
      </c>
      <c r="K146" s="293">
        <f t="shared" si="5"/>
        <v>11</v>
      </c>
      <c r="M146" s="61"/>
      <c r="N146" s="61"/>
      <c r="O146" s="61">
        <f>+J146*K146</f>
        <v>128198.82</v>
      </c>
    </row>
    <row r="147" spans="1:16" x14ac:dyDescent="0.2">
      <c r="A147" t="s">
        <v>441</v>
      </c>
      <c r="B147" t="s">
        <v>442</v>
      </c>
      <c r="C147" t="s">
        <v>443</v>
      </c>
      <c r="D147">
        <v>202512</v>
      </c>
      <c r="E147" t="s">
        <v>589</v>
      </c>
      <c r="F147">
        <v>2</v>
      </c>
      <c r="G147">
        <v>6359.67</v>
      </c>
      <c r="H147" s="291">
        <f t="shared" si="4"/>
        <v>3179.835</v>
      </c>
      <c r="J147" s="292">
        <v>12663.123333333335</v>
      </c>
      <c r="K147" s="293">
        <f t="shared" si="5"/>
        <v>3</v>
      </c>
      <c r="M147" s="61"/>
      <c r="N147" s="61"/>
      <c r="O147" s="61"/>
    </row>
    <row r="148" spans="1:16" x14ac:dyDescent="0.2">
      <c r="A148" t="s">
        <v>441</v>
      </c>
      <c r="B148" t="s">
        <v>445</v>
      </c>
      <c r="C148" t="s">
        <v>443</v>
      </c>
      <c r="D148">
        <v>202512</v>
      </c>
      <c r="E148" t="s">
        <v>590</v>
      </c>
      <c r="F148">
        <v>8831</v>
      </c>
      <c r="G148">
        <v>5989934.29</v>
      </c>
      <c r="H148" s="291">
        <f t="shared" si="4"/>
        <v>678.28493828558487</v>
      </c>
      <c r="J148" s="292">
        <v>13743.923636363637</v>
      </c>
      <c r="K148" s="293">
        <f t="shared" si="5"/>
        <v>11</v>
      </c>
      <c r="M148" s="61"/>
      <c r="N148" s="61"/>
      <c r="O148" s="61">
        <f>+J148*K148</f>
        <v>151183.16</v>
      </c>
    </row>
    <row r="149" spans="1:16" x14ac:dyDescent="0.2">
      <c r="A149" t="s">
        <v>441</v>
      </c>
      <c r="B149" t="s">
        <v>445</v>
      </c>
      <c r="C149" t="s">
        <v>443</v>
      </c>
      <c r="D149">
        <v>202506</v>
      </c>
      <c r="E149" t="s">
        <v>591</v>
      </c>
      <c r="F149">
        <v>1</v>
      </c>
      <c r="G149">
        <v>14681.95</v>
      </c>
      <c r="H149" s="291">
        <f t="shared" si="4"/>
        <v>14681.95</v>
      </c>
      <c r="J149" s="292">
        <v>14681.95</v>
      </c>
      <c r="K149" s="293">
        <f t="shared" si="5"/>
        <v>1</v>
      </c>
      <c r="M149" s="61"/>
      <c r="N149" s="61"/>
      <c r="O149" s="61"/>
    </row>
    <row r="150" spans="1:16" x14ac:dyDescent="0.2">
      <c r="A150" t="s">
        <v>441</v>
      </c>
      <c r="B150" t="s">
        <v>445</v>
      </c>
      <c r="C150" t="s">
        <v>443</v>
      </c>
      <c r="D150">
        <v>202506</v>
      </c>
      <c r="E150" t="s">
        <v>592</v>
      </c>
      <c r="F150">
        <v>3</v>
      </c>
      <c r="G150">
        <v>877.95</v>
      </c>
      <c r="H150" s="291">
        <f t="shared" si="4"/>
        <v>292.65000000000003</v>
      </c>
      <c r="J150" s="292">
        <v>15348.1</v>
      </c>
      <c r="K150" s="293">
        <f t="shared" si="5"/>
        <v>1</v>
      </c>
      <c r="M150" s="61"/>
      <c r="N150" s="61"/>
      <c r="O150" s="61"/>
    </row>
    <row r="151" spans="1:16" x14ac:dyDescent="0.2">
      <c r="A151" t="s">
        <v>441</v>
      </c>
      <c r="B151" t="s">
        <v>445</v>
      </c>
      <c r="C151" t="s">
        <v>443</v>
      </c>
      <c r="D151">
        <v>202603</v>
      </c>
      <c r="E151" t="s">
        <v>593</v>
      </c>
      <c r="F151">
        <v>0</v>
      </c>
      <c r="G151">
        <v>0</v>
      </c>
      <c r="H151" s="291" t="str">
        <f t="shared" si="4"/>
        <v/>
      </c>
      <c r="J151" s="292">
        <v>17159.189999999999</v>
      </c>
      <c r="K151" s="293">
        <f t="shared" si="5"/>
        <v>1</v>
      </c>
      <c r="M151" s="61"/>
      <c r="N151" s="61"/>
      <c r="O151" s="61"/>
    </row>
    <row r="152" spans="1:16" x14ac:dyDescent="0.2">
      <c r="A152" t="s">
        <v>441</v>
      </c>
      <c r="B152" t="s">
        <v>445</v>
      </c>
      <c r="C152" t="s">
        <v>443</v>
      </c>
      <c r="D152">
        <v>202508</v>
      </c>
      <c r="E152" t="s">
        <v>594</v>
      </c>
      <c r="F152">
        <v>15</v>
      </c>
      <c r="G152">
        <v>11028.42</v>
      </c>
      <c r="H152" s="291">
        <f t="shared" si="4"/>
        <v>735.22799999999995</v>
      </c>
      <c r="J152" s="292">
        <v>22339.09</v>
      </c>
      <c r="K152" s="293">
        <f t="shared" si="5"/>
        <v>1</v>
      </c>
      <c r="M152" s="61"/>
      <c r="N152" s="61"/>
      <c r="O152" s="61"/>
    </row>
    <row r="153" spans="1:16" ht="13.5" thickBot="1" x14ac:dyDescent="0.25">
      <c r="A153" t="s">
        <v>441</v>
      </c>
      <c r="B153" t="s">
        <v>445</v>
      </c>
      <c r="C153" t="s">
        <v>443</v>
      </c>
      <c r="D153">
        <v>202601</v>
      </c>
      <c r="E153" t="s">
        <v>595</v>
      </c>
      <c r="F153">
        <v>0</v>
      </c>
      <c r="G153">
        <v>1470.65</v>
      </c>
      <c r="H153" s="291" t="str">
        <f t="shared" si="4"/>
        <v/>
      </c>
      <c r="J153" s="62">
        <v>63705.18</v>
      </c>
      <c r="K153" s="58">
        <f t="shared" si="5"/>
        <v>1</v>
      </c>
      <c r="M153" s="61"/>
      <c r="N153" s="61"/>
      <c r="O153" s="61"/>
    </row>
    <row r="154" spans="1:16" ht="15" x14ac:dyDescent="0.35">
      <c r="A154" t="s">
        <v>441</v>
      </c>
      <c r="B154" t="s">
        <v>445</v>
      </c>
      <c r="C154" t="s">
        <v>443</v>
      </c>
      <c r="D154">
        <v>202512</v>
      </c>
      <c r="E154" t="s">
        <v>596</v>
      </c>
      <c r="F154">
        <v>2</v>
      </c>
      <c r="G154">
        <v>19139.63</v>
      </c>
      <c r="H154" s="291">
        <f t="shared" si="4"/>
        <v>9569.8150000000005</v>
      </c>
      <c r="J154" s="296" t="s">
        <v>597</v>
      </c>
      <c r="K154" s="297"/>
      <c r="L154" s="297"/>
      <c r="M154" s="298" t="s">
        <v>353</v>
      </c>
      <c r="N154" s="298" t="s">
        <v>354</v>
      </c>
      <c r="O154" s="299" t="s">
        <v>355</v>
      </c>
      <c r="P154" s="1"/>
    </row>
    <row r="155" spans="1:16" x14ac:dyDescent="0.2">
      <c r="A155" t="s">
        <v>441</v>
      </c>
      <c r="B155" t="s">
        <v>445</v>
      </c>
      <c r="C155" t="s">
        <v>443</v>
      </c>
      <c r="D155">
        <v>202512</v>
      </c>
      <c r="E155" t="s">
        <v>598</v>
      </c>
      <c r="F155">
        <v>44</v>
      </c>
      <c r="G155">
        <v>112895.37</v>
      </c>
      <c r="H155" s="291">
        <f t="shared" si="4"/>
        <v>2565.8038636363635</v>
      </c>
      <c r="J155" s="300" t="s">
        <v>599</v>
      </c>
      <c r="M155" s="301">
        <f t="shared" ref="M155:N155" si="6">SUM(M4:M153)</f>
        <v>20184085.830000002</v>
      </c>
      <c r="N155" s="301">
        <f t="shared" si="6"/>
        <v>6497769.1999999993</v>
      </c>
      <c r="O155" s="302">
        <f>SUM(O4:O153)</f>
        <v>279381.98</v>
      </c>
    </row>
    <row r="156" spans="1:16" x14ac:dyDescent="0.2">
      <c r="A156" t="s">
        <v>441</v>
      </c>
      <c r="B156" t="s">
        <v>445</v>
      </c>
      <c r="C156" t="s">
        <v>443</v>
      </c>
      <c r="D156">
        <v>202512</v>
      </c>
      <c r="E156" t="s">
        <v>600</v>
      </c>
      <c r="F156">
        <v>15</v>
      </c>
      <c r="G156">
        <v>58355.880000000005</v>
      </c>
      <c r="H156" s="291">
        <f t="shared" si="4"/>
        <v>3890.3920000000003</v>
      </c>
      <c r="J156" s="300" t="s">
        <v>601</v>
      </c>
      <c r="M156" s="68">
        <f>SUMIF(M4:M153,"&gt;0",$K$4:$K$153)</f>
        <v>20505.23</v>
      </c>
      <c r="N156" s="68">
        <f t="shared" ref="N156:O156" si="7">SUMIF(N4:N153,"&gt;0",$K$4:$K$153)</f>
        <v>2016</v>
      </c>
      <c r="O156" s="303">
        <f t="shared" si="7"/>
        <v>22</v>
      </c>
    </row>
    <row r="157" spans="1:16" x14ac:dyDescent="0.2">
      <c r="A157" t="s">
        <v>441</v>
      </c>
      <c r="B157" t="s">
        <v>445</v>
      </c>
      <c r="C157" t="s">
        <v>443</v>
      </c>
      <c r="D157">
        <v>202512</v>
      </c>
      <c r="E157" t="s">
        <v>602</v>
      </c>
      <c r="F157">
        <v>1</v>
      </c>
      <c r="G157">
        <v>22339.09</v>
      </c>
      <c r="H157" s="291">
        <f t="shared" si="4"/>
        <v>22339.09</v>
      </c>
      <c r="J157" s="300" t="s">
        <v>603</v>
      </c>
      <c r="M157" s="294">
        <f>+M155/M156</f>
        <v>984.33842634293796</v>
      </c>
      <c r="N157" s="294">
        <f t="shared" ref="N157:O157" si="8">+N155/N156</f>
        <v>3223.099801587301</v>
      </c>
      <c r="O157" s="304">
        <f t="shared" si="8"/>
        <v>12699.180909090908</v>
      </c>
    </row>
    <row r="158" spans="1:16" x14ac:dyDescent="0.2">
      <c r="A158" t="s">
        <v>441</v>
      </c>
      <c r="B158" t="s">
        <v>445</v>
      </c>
      <c r="C158" t="s">
        <v>443</v>
      </c>
      <c r="D158">
        <v>202512</v>
      </c>
      <c r="E158" t="s">
        <v>604</v>
      </c>
      <c r="F158">
        <v>0</v>
      </c>
      <c r="G158">
        <v>73940.160000000003</v>
      </c>
      <c r="H158" s="291" t="str">
        <f t="shared" si="4"/>
        <v/>
      </c>
      <c r="J158" s="300" t="s">
        <v>605</v>
      </c>
      <c r="M158" s="305">
        <v>1</v>
      </c>
      <c r="N158" s="306">
        <f>+N157/M157</f>
        <v>3.2743817729049938</v>
      </c>
      <c r="O158" s="307">
        <f>+O157/M157</f>
        <v>12.901234544171484</v>
      </c>
      <c r="P158" s="69"/>
    </row>
    <row r="159" spans="1:16" ht="13.5" thickBot="1" x14ac:dyDescent="0.25">
      <c r="A159" t="s">
        <v>441</v>
      </c>
      <c r="B159" t="s">
        <v>445</v>
      </c>
      <c r="C159" t="s">
        <v>443</v>
      </c>
      <c r="D159">
        <v>202603</v>
      </c>
      <c r="E159" t="s">
        <v>606</v>
      </c>
      <c r="F159">
        <v>38</v>
      </c>
      <c r="G159">
        <v>75004.62</v>
      </c>
      <c r="H159" s="291">
        <f t="shared" si="4"/>
        <v>1973.8057894736842</v>
      </c>
      <c r="J159" s="308" t="s">
        <v>607</v>
      </c>
      <c r="K159" s="309"/>
      <c r="L159" s="309"/>
      <c r="M159" s="310">
        <f>+M158</f>
        <v>1</v>
      </c>
      <c r="N159" s="311">
        <f>ROUND(N158,1)</f>
        <v>3.3</v>
      </c>
      <c r="O159" s="312">
        <f>ROUND(O158,1)</f>
        <v>12.9</v>
      </c>
      <c r="P159" s="70"/>
    </row>
    <row r="160" spans="1:16" x14ac:dyDescent="0.2">
      <c r="A160" t="s">
        <v>441</v>
      </c>
      <c r="B160" t="s">
        <v>445</v>
      </c>
      <c r="C160" t="s">
        <v>443</v>
      </c>
      <c r="D160">
        <v>202512</v>
      </c>
      <c r="E160" t="s">
        <v>608</v>
      </c>
      <c r="F160">
        <v>1255.23</v>
      </c>
      <c r="G160">
        <v>1405297.4100000001</v>
      </c>
      <c r="H160" s="291">
        <f t="shared" si="4"/>
        <v>1119.5537152553716</v>
      </c>
      <c r="J160" s="62" t="s">
        <v>597</v>
      </c>
    </row>
    <row r="161" spans="1:10" x14ac:dyDescent="0.2">
      <c r="A161" t="s">
        <v>441</v>
      </c>
      <c r="B161" t="s">
        <v>445</v>
      </c>
      <c r="C161" t="s">
        <v>443</v>
      </c>
      <c r="D161">
        <v>202512</v>
      </c>
      <c r="E161" t="s">
        <v>609</v>
      </c>
      <c r="F161">
        <v>0</v>
      </c>
      <c r="G161">
        <v>174546.52</v>
      </c>
      <c r="H161" s="291" t="str">
        <f t="shared" si="4"/>
        <v/>
      </c>
      <c r="J161" s="62" t="s">
        <v>597</v>
      </c>
    </row>
    <row r="162" spans="1:10" x14ac:dyDescent="0.2">
      <c r="A162" t="s">
        <v>441</v>
      </c>
      <c r="B162" t="s">
        <v>445</v>
      </c>
      <c r="C162" t="s">
        <v>443</v>
      </c>
      <c r="D162">
        <v>202512</v>
      </c>
      <c r="E162" t="s">
        <v>610</v>
      </c>
      <c r="F162">
        <v>11</v>
      </c>
      <c r="G162">
        <v>27105.25</v>
      </c>
      <c r="H162" s="291">
        <f t="shared" si="4"/>
        <v>2464.1136363636365</v>
      </c>
      <c r="J162" s="62" t="s">
        <v>597</v>
      </c>
    </row>
    <row r="163" spans="1:10" x14ac:dyDescent="0.2">
      <c r="A163" t="s">
        <v>441</v>
      </c>
      <c r="B163" t="s">
        <v>445</v>
      </c>
      <c r="C163" t="s">
        <v>443</v>
      </c>
      <c r="D163">
        <v>202512</v>
      </c>
      <c r="E163" t="s">
        <v>611</v>
      </c>
      <c r="F163">
        <v>0</v>
      </c>
      <c r="G163">
        <v>9936.73</v>
      </c>
      <c r="H163" s="291" t="str">
        <f t="shared" si="4"/>
        <v/>
      </c>
      <c r="J163" s="62" t="s">
        <v>597</v>
      </c>
    </row>
    <row r="164" spans="1:10" x14ac:dyDescent="0.2">
      <c r="A164" t="s">
        <v>441</v>
      </c>
      <c r="B164" t="s">
        <v>445</v>
      </c>
      <c r="C164" t="s">
        <v>443</v>
      </c>
      <c r="D164">
        <v>202512</v>
      </c>
      <c r="E164" t="s">
        <v>612</v>
      </c>
      <c r="F164">
        <v>0</v>
      </c>
      <c r="G164">
        <v>1982.3</v>
      </c>
      <c r="H164" s="291" t="str">
        <f t="shared" si="4"/>
        <v/>
      </c>
      <c r="J164" s="62" t="s">
        <v>597</v>
      </c>
    </row>
    <row r="165" spans="1:10" x14ac:dyDescent="0.2">
      <c r="A165" t="s">
        <v>441</v>
      </c>
      <c r="B165" t="s">
        <v>445</v>
      </c>
      <c r="C165" t="s">
        <v>443</v>
      </c>
      <c r="D165">
        <v>202512</v>
      </c>
      <c r="E165" t="s">
        <v>613</v>
      </c>
      <c r="F165">
        <v>0</v>
      </c>
      <c r="G165">
        <v>9970.51</v>
      </c>
      <c r="H165" s="291" t="str">
        <f t="shared" si="4"/>
        <v/>
      </c>
      <c r="J165" s="62" t="s">
        <v>597</v>
      </c>
    </row>
    <row r="166" spans="1:10" x14ac:dyDescent="0.2">
      <c r="A166" t="s">
        <v>441</v>
      </c>
      <c r="B166" t="s">
        <v>445</v>
      </c>
      <c r="C166" t="s">
        <v>443</v>
      </c>
      <c r="D166">
        <v>202512</v>
      </c>
      <c r="E166" t="s">
        <v>614</v>
      </c>
      <c r="F166">
        <v>0</v>
      </c>
      <c r="G166">
        <v>3584.2400000000002</v>
      </c>
      <c r="H166" s="291" t="str">
        <f t="shared" si="4"/>
        <v/>
      </c>
      <c r="J166" s="62" t="s">
        <v>597</v>
      </c>
    </row>
    <row r="167" spans="1:10" x14ac:dyDescent="0.2">
      <c r="A167" t="s">
        <v>441</v>
      </c>
      <c r="B167" t="s">
        <v>445</v>
      </c>
      <c r="C167" t="s">
        <v>443</v>
      </c>
      <c r="D167">
        <v>202512</v>
      </c>
      <c r="E167" t="s">
        <v>615</v>
      </c>
      <c r="F167">
        <v>0</v>
      </c>
      <c r="G167">
        <v>197.28</v>
      </c>
      <c r="H167" s="291" t="str">
        <f t="shared" si="4"/>
        <v/>
      </c>
      <c r="J167" s="62" t="s">
        <v>597</v>
      </c>
    </row>
    <row r="168" spans="1:10" x14ac:dyDescent="0.2">
      <c r="A168" t="s">
        <v>441</v>
      </c>
      <c r="B168" t="s">
        <v>445</v>
      </c>
      <c r="C168" t="s">
        <v>443</v>
      </c>
      <c r="D168">
        <v>202512</v>
      </c>
      <c r="E168" t="s">
        <v>616</v>
      </c>
      <c r="F168">
        <v>10</v>
      </c>
      <c r="G168">
        <v>18981.77</v>
      </c>
      <c r="H168" s="291">
        <f t="shared" si="4"/>
        <v>1898.1770000000001</v>
      </c>
      <c r="J168" s="62" t="s">
        <v>597</v>
      </c>
    </row>
    <row r="169" spans="1:10" x14ac:dyDescent="0.2">
      <c r="A169" t="s">
        <v>441</v>
      </c>
      <c r="B169" t="s">
        <v>445</v>
      </c>
      <c r="C169" t="s">
        <v>443</v>
      </c>
      <c r="D169">
        <v>202512</v>
      </c>
      <c r="E169" t="s">
        <v>617</v>
      </c>
      <c r="F169">
        <v>7</v>
      </c>
      <c r="G169">
        <v>10042.800000000001</v>
      </c>
      <c r="H169" s="291">
        <f t="shared" si="4"/>
        <v>1434.6857142857145</v>
      </c>
      <c r="J169" s="62" t="s">
        <v>597</v>
      </c>
    </row>
    <row r="170" spans="1:10" x14ac:dyDescent="0.2">
      <c r="A170" t="s">
        <v>441</v>
      </c>
      <c r="B170" t="s">
        <v>445</v>
      </c>
      <c r="C170" t="s">
        <v>443</v>
      </c>
      <c r="D170">
        <v>202512</v>
      </c>
      <c r="E170" t="s">
        <v>618</v>
      </c>
      <c r="F170">
        <v>9</v>
      </c>
      <c r="G170">
        <v>22367.8</v>
      </c>
      <c r="H170" s="291">
        <f t="shared" si="4"/>
        <v>2485.3111111111111</v>
      </c>
      <c r="J170" s="62" t="s">
        <v>597</v>
      </c>
    </row>
    <row r="171" spans="1:10" x14ac:dyDescent="0.2">
      <c r="A171" t="s">
        <v>441</v>
      </c>
      <c r="B171" t="s">
        <v>445</v>
      </c>
      <c r="C171" t="s">
        <v>443</v>
      </c>
      <c r="D171">
        <v>202512</v>
      </c>
      <c r="E171" t="s">
        <v>619</v>
      </c>
      <c r="F171">
        <v>0</v>
      </c>
      <c r="G171">
        <v>6184.13</v>
      </c>
      <c r="H171" s="291" t="str">
        <f t="shared" si="4"/>
        <v/>
      </c>
      <c r="J171" s="62" t="s">
        <v>597</v>
      </c>
    </row>
    <row r="172" spans="1:10" x14ac:dyDescent="0.2">
      <c r="A172" t="s">
        <v>441</v>
      </c>
      <c r="B172" t="s">
        <v>445</v>
      </c>
      <c r="C172" t="s">
        <v>443</v>
      </c>
      <c r="D172">
        <v>202512</v>
      </c>
      <c r="E172" t="s">
        <v>620</v>
      </c>
      <c r="F172">
        <v>0</v>
      </c>
      <c r="G172">
        <v>14608.2</v>
      </c>
      <c r="H172" s="291" t="str">
        <f t="shared" si="4"/>
        <v/>
      </c>
      <c r="J172" s="62" t="s">
        <v>597</v>
      </c>
    </row>
    <row r="173" spans="1:10" x14ac:dyDescent="0.2">
      <c r="A173" t="s">
        <v>441</v>
      </c>
      <c r="B173" t="s">
        <v>445</v>
      </c>
      <c r="C173" t="s">
        <v>443</v>
      </c>
      <c r="D173">
        <v>202512</v>
      </c>
      <c r="E173" t="s">
        <v>621</v>
      </c>
      <c r="F173">
        <v>10</v>
      </c>
      <c r="G173">
        <v>20118.63</v>
      </c>
      <c r="H173" s="291">
        <f t="shared" si="4"/>
        <v>2011.8630000000001</v>
      </c>
      <c r="J173" s="62" t="s">
        <v>597</v>
      </c>
    </row>
    <row r="174" spans="1:10" x14ac:dyDescent="0.2">
      <c r="A174" t="s">
        <v>441</v>
      </c>
      <c r="B174" t="s">
        <v>445</v>
      </c>
      <c r="C174" t="s">
        <v>443</v>
      </c>
      <c r="D174">
        <v>202510</v>
      </c>
      <c r="E174" t="s">
        <v>463</v>
      </c>
      <c r="F174">
        <v>145</v>
      </c>
      <c r="G174">
        <v>66918.759999999995</v>
      </c>
      <c r="H174" s="291">
        <f t="shared" si="4"/>
        <v>461.50868965517236</v>
      </c>
      <c r="J174" s="62" t="s">
        <v>597</v>
      </c>
    </row>
    <row r="175" spans="1:10" ht="15" x14ac:dyDescent="0.2">
      <c r="A175" t="s">
        <v>441</v>
      </c>
      <c r="B175" t="s">
        <v>445</v>
      </c>
      <c r="C175" t="s">
        <v>443</v>
      </c>
      <c r="D175">
        <v>202510</v>
      </c>
      <c r="E175" t="s">
        <v>622</v>
      </c>
      <c r="F175">
        <v>0</v>
      </c>
      <c r="G175">
        <v>935.48</v>
      </c>
      <c r="H175" s="291" t="str">
        <f t="shared" si="4"/>
        <v/>
      </c>
      <c r="J175" s="71"/>
    </row>
    <row r="176" spans="1:10" ht="15" x14ac:dyDescent="0.2">
      <c r="A176" t="s">
        <v>441</v>
      </c>
      <c r="B176" t="s">
        <v>445</v>
      </c>
      <c r="C176" t="s">
        <v>443</v>
      </c>
      <c r="D176">
        <v>202510</v>
      </c>
      <c r="E176" t="s">
        <v>623</v>
      </c>
      <c r="F176">
        <v>68</v>
      </c>
      <c r="G176">
        <v>415436.89</v>
      </c>
      <c r="H176" s="291">
        <f t="shared" si="4"/>
        <v>6109.3660294117653</v>
      </c>
      <c r="J176" s="72" t="s">
        <v>624</v>
      </c>
    </row>
    <row r="177" spans="1:10" ht="15" x14ac:dyDescent="0.2">
      <c r="A177" t="s">
        <v>441</v>
      </c>
      <c r="B177" t="s">
        <v>474</v>
      </c>
      <c r="C177" t="s">
        <v>443</v>
      </c>
      <c r="D177">
        <v>202510</v>
      </c>
      <c r="E177" t="s">
        <v>625</v>
      </c>
      <c r="F177">
        <v>15</v>
      </c>
      <c r="G177">
        <v>77438.92</v>
      </c>
      <c r="H177" s="291">
        <f t="shared" si="4"/>
        <v>5162.5946666666669</v>
      </c>
      <c r="J177" s="72" t="s">
        <v>626</v>
      </c>
    </row>
    <row r="178" spans="1:10" ht="15" x14ac:dyDescent="0.2">
      <c r="A178" t="s">
        <v>441</v>
      </c>
      <c r="B178" t="s">
        <v>474</v>
      </c>
      <c r="C178" t="s">
        <v>443</v>
      </c>
      <c r="D178">
        <v>202512</v>
      </c>
      <c r="E178" t="s">
        <v>627</v>
      </c>
      <c r="F178">
        <v>143</v>
      </c>
      <c r="G178">
        <v>377976.81</v>
      </c>
      <c r="H178" s="291">
        <f t="shared" si="4"/>
        <v>2643.1944755244754</v>
      </c>
      <c r="J178" s="72" t="s">
        <v>628</v>
      </c>
    </row>
    <row r="179" spans="1:10" ht="15" x14ac:dyDescent="0.2">
      <c r="A179" t="s">
        <v>441</v>
      </c>
      <c r="B179" t="s">
        <v>474</v>
      </c>
      <c r="C179" t="s">
        <v>443</v>
      </c>
      <c r="D179">
        <v>202603</v>
      </c>
      <c r="E179" t="s">
        <v>629</v>
      </c>
      <c r="F179">
        <v>2</v>
      </c>
      <c r="G179">
        <v>6129.1</v>
      </c>
      <c r="H179" s="291">
        <f t="shared" si="4"/>
        <v>3064.55</v>
      </c>
      <c r="J179" s="72" t="s">
        <v>630</v>
      </c>
    </row>
    <row r="180" spans="1:10" ht="15.75" x14ac:dyDescent="0.2">
      <c r="A180" t="s">
        <v>441</v>
      </c>
      <c r="B180" t="s">
        <v>478</v>
      </c>
      <c r="C180" t="s">
        <v>443</v>
      </c>
      <c r="D180">
        <v>202505</v>
      </c>
      <c r="E180" t="s">
        <v>631</v>
      </c>
      <c r="F180">
        <v>1</v>
      </c>
      <c r="G180">
        <v>63705.18</v>
      </c>
      <c r="H180" s="291">
        <f t="shared" si="4"/>
        <v>63705.18</v>
      </c>
      <c r="J180" s="73"/>
    </row>
    <row r="181" spans="1:10" ht="15.75" x14ac:dyDescent="0.2">
      <c r="A181" t="s">
        <v>441</v>
      </c>
      <c r="B181" t="s">
        <v>478</v>
      </c>
      <c r="C181" t="s">
        <v>443</v>
      </c>
      <c r="D181">
        <v>202601</v>
      </c>
      <c r="E181" t="s">
        <v>632</v>
      </c>
      <c r="F181">
        <v>8</v>
      </c>
      <c r="G181">
        <v>82.67</v>
      </c>
      <c r="H181" s="291">
        <f t="shared" si="4"/>
        <v>10.33375</v>
      </c>
      <c r="J181" s="73" t="s">
        <v>633</v>
      </c>
    </row>
    <row r="182" spans="1:10" ht="15.75" x14ac:dyDescent="0.2">
      <c r="A182" t="s">
        <v>441</v>
      </c>
      <c r="B182" t="s">
        <v>478</v>
      </c>
      <c r="C182" t="s">
        <v>443</v>
      </c>
      <c r="D182">
        <v>202601</v>
      </c>
      <c r="E182" t="s">
        <v>634</v>
      </c>
      <c r="F182">
        <v>156</v>
      </c>
      <c r="G182">
        <v>1776.77</v>
      </c>
      <c r="H182" s="291">
        <f t="shared" si="4"/>
        <v>11.389551282051283</v>
      </c>
      <c r="J182" s="73"/>
    </row>
    <row r="183" spans="1:10" ht="15.75" x14ac:dyDescent="0.2">
      <c r="A183" t="s">
        <v>441</v>
      </c>
      <c r="B183" t="s">
        <v>478</v>
      </c>
      <c r="C183" t="s">
        <v>443</v>
      </c>
      <c r="D183">
        <v>202512</v>
      </c>
      <c r="E183" t="s">
        <v>635</v>
      </c>
      <c r="F183">
        <v>0</v>
      </c>
      <c r="G183">
        <v>7883.46</v>
      </c>
      <c r="H183" s="291" t="str">
        <f t="shared" si="4"/>
        <v/>
      </c>
      <c r="J183" s="73" t="s">
        <v>636</v>
      </c>
    </row>
    <row r="184" spans="1:10" ht="15.75" x14ac:dyDescent="0.2">
      <c r="A184" t="s">
        <v>441</v>
      </c>
      <c r="B184" t="s">
        <v>478</v>
      </c>
      <c r="C184" t="s">
        <v>443</v>
      </c>
      <c r="D184">
        <v>202512</v>
      </c>
      <c r="E184" t="s">
        <v>637</v>
      </c>
      <c r="F184">
        <v>5</v>
      </c>
      <c r="G184">
        <v>674.01</v>
      </c>
      <c r="H184" s="291">
        <f t="shared" si="4"/>
        <v>134.80199999999999</v>
      </c>
      <c r="J184" s="73"/>
    </row>
    <row r="185" spans="1:10" ht="15.75" x14ac:dyDescent="0.2">
      <c r="A185" t="s">
        <v>441</v>
      </c>
      <c r="B185" t="s">
        <v>478</v>
      </c>
      <c r="C185" t="s">
        <v>443</v>
      </c>
      <c r="D185">
        <v>202512</v>
      </c>
      <c r="E185" t="s">
        <v>638</v>
      </c>
      <c r="F185">
        <v>0</v>
      </c>
      <c r="G185">
        <v>90.56</v>
      </c>
      <c r="H185" s="291" t="str">
        <f t="shared" si="4"/>
        <v/>
      </c>
      <c r="J185" s="73" t="s">
        <v>639</v>
      </c>
    </row>
    <row r="186" spans="1:10" ht="15.75" x14ac:dyDescent="0.2">
      <c r="A186" t="s">
        <v>441</v>
      </c>
      <c r="B186" t="s">
        <v>478</v>
      </c>
      <c r="C186" t="s">
        <v>443</v>
      </c>
      <c r="D186">
        <v>202512</v>
      </c>
      <c r="E186" t="s">
        <v>640</v>
      </c>
      <c r="F186">
        <v>0</v>
      </c>
      <c r="G186">
        <v>94949.92</v>
      </c>
      <c r="H186" s="291" t="str">
        <f t="shared" si="4"/>
        <v/>
      </c>
      <c r="J186" s="73"/>
    </row>
    <row r="187" spans="1:10" ht="15.75" x14ac:dyDescent="0.2">
      <c r="A187" t="s">
        <v>441</v>
      </c>
      <c r="B187" t="s">
        <v>478</v>
      </c>
      <c r="C187" t="s">
        <v>443</v>
      </c>
      <c r="D187">
        <v>202512</v>
      </c>
      <c r="E187" t="s">
        <v>641</v>
      </c>
      <c r="F187">
        <v>1</v>
      </c>
      <c r="G187">
        <v>17159.189999999999</v>
      </c>
      <c r="H187" s="291">
        <f t="shared" si="4"/>
        <v>17159.189999999999</v>
      </c>
      <c r="J187" s="73" t="s">
        <v>642</v>
      </c>
    </row>
    <row r="188" spans="1:10" ht="15.75" x14ac:dyDescent="0.2">
      <c r="A188" t="s">
        <v>441</v>
      </c>
      <c r="B188" t="s">
        <v>478</v>
      </c>
      <c r="C188" t="s">
        <v>443</v>
      </c>
      <c r="D188">
        <v>202512</v>
      </c>
      <c r="E188" t="s">
        <v>643</v>
      </c>
      <c r="F188">
        <v>27</v>
      </c>
      <c r="G188">
        <v>11300.54</v>
      </c>
      <c r="H188" s="291">
        <f t="shared" si="4"/>
        <v>418.53851851851857</v>
      </c>
      <c r="J188" s="73"/>
    </row>
    <row r="189" spans="1:10" ht="15.75" x14ac:dyDescent="0.2">
      <c r="A189" t="s">
        <v>441</v>
      </c>
      <c r="B189" t="s">
        <v>478</v>
      </c>
      <c r="C189" t="s">
        <v>443</v>
      </c>
      <c r="D189">
        <v>202512</v>
      </c>
      <c r="E189" t="s">
        <v>644</v>
      </c>
      <c r="F189">
        <v>0</v>
      </c>
      <c r="G189">
        <v>743.44</v>
      </c>
      <c r="H189" s="291" t="str">
        <f t="shared" si="4"/>
        <v/>
      </c>
      <c r="J189" s="74" t="s">
        <v>645</v>
      </c>
    </row>
    <row r="190" spans="1:10" ht="15.75" x14ac:dyDescent="0.2">
      <c r="A190" t="s">
        <v>441</v>
      </c>
      <c r="B190" t="s">
        <v>442</v>
      </c>
      <c r="C190" t="s">
        <v>443</v>
      </c>
      <c r="D190">
        <v>202601</v>
      </c>
      <c r="E190" t="s">
        <v>646</v>
      </c>
      <c r="F190">
        <v>0</v>
      </c>
      <c r="G190">
        <v>120.17</v>
      </c>
      <c r="H190" s="291" t="str">
        <f t="shared" si="4"/>
        <v/>
      </c>
      <c r="J190" s="74" t="s">
        <v>647</v>
      </c>
    </row>
    <row r="191" spans="1:10" ht="15.75" x14ac:dyDescent="0.2">
      <c r="A191" t="s">
        <v>441</v>
      </c>
      <c r="B191" t="s">
        <v>442</v>
      </c>
      <c r="C191" t="s">
        <v>443</v>
      </c>
      <c r="D191">
        <v>202512</v>
      </c>
      <c r="E191" t="s">
        <v>648</v>
      </c>
      <c r="F191">
        <v>0</v>
      </c>
      <c r="G191">
        <v>6689.04</v>
      </c>
      <c r="H191" s="291" t="str">
        <f t="shared" si="4"/>
        <v/>
      </c>
      <c r="J191" s="74" t="s">
        <v>649</v>
      </c>
    </row>
    <row r="192" spans="1:10" ht="15.75" x14ac:dyDescent="0.2">
      <c r="A192" t="s">
        <v>441</v>
      </c>
      <c r="B192" t="s">
        <v>445</v>
      </c>
      <c r="C192" t="s">
        <v>443</v>
      </c>
      <c r="D192">
        <v>202506</v>
      </c>
      <c r="E192" t="s">
        <v>563</v>
      </c>
      <c r="F192">
        <v>484</v>
      </c>
      <c r="G192">
        <v>279423.5</v>
      </c>
      <c r="H192" s="291">
        <f t="shared" si="4"/>
        <v>577.32128099173553</v>
      </c>
      <c r="J192" s="73"/>
    </row>
    <row r="193" spans="1:10" x14ac:dyDescent="0.2">
      <c r="A193" t="s">
        <v>441</v>
      </c>
      <c r="B193" t="s">
        <v>445</v>
      </c>
      <c r="C193" t="s">
        <v>443</v>
      </c>
      <c r="D193">
        <v>202603</v>
      </c>
      <c r="E193" t="s">
        <v>591</v>
      </c>
      <c r="F193">
        <v>0</v>
      </c>
      <c r="G193">
        <v>0</v>
      </c>
      <c r="H193" s="291" t="str">
        <f t="shared" si="4"/>
        <v/>
      </c>
      <c r="J193" s="75" t="s">
        <v>650</v>
      </c>
    </row>
    <row r="194" spans="1:10" ht="15" x14ac:dyDescent="0.2">
      <c r="A194" t="s">
        <v>441</v>
      </c>
      <c r="B194" t="s">
        <v>445</v>
      </c>
      <c r="C194" t="s">
        <v>443</v>
      </c>
      <c r="D194">
        <v>202506</v>
      </c>
      <c r="E194" t="s">
        <v>593</v>
      </c>
      <c r="F194">
        <v>10</v>
      </c>
      <c r="G194">
        <v>17851.61</v>
      </c>
      <c r="H194" s="291">
        <f t="shared" si="4"/>
        <v>1785.1610000000001</v>
      </c>
      <c r="J194" s="72" t="s">
        <v>651</v>
      </c>
    </row>
    <row r="195" spans="1:10" x14ac:dyDescent="0.2">
      <c r="A195" t="s">
        <v>441</v>
      </c>
      <c r="B195" t="s">
        <v>445</v>
      </c>
      <c r="C195" t="s">
        <v>443</v>
      </c>
      <c r="D195">
        <v>202506</v>
      </c>
      <c r="E195" t="s">
        <v>652</v>
      </c>
      <c r="F195">
        <v>17</v>
      </c>
      <c r="G195">
        <v>14776.66</v>
      </c>
      <c r="H195" s="291">
        <f t="shared" si="4"/>
        <v>869.21529411764709</v>
      </c>
      <c r="J195" s="75" t="s">
        <v>653</v>
      </c>
    </row>
    <row r="196" spans="1:10" ht="15" x14ac:dyDescent="0.2">
      <c r="A196" t="s">
        <v>441</v>
      </c>
      <c r="B196" t="s">
        <v>445</v>
      </c>
      <c r="C196" t="s">
        <v>443</v>
      </c>
      <c r="D196">
        <v>202602</v>
      </c>
      <c r="E196" t="s">
        <v>654</v>
      </c>
      <c r="F196">
        <v>101</v>
      </c>
      <c r="G196">
        <v>44843.93</v>
      </c>
      <c r="H196" s="291">
        <f t="shared" ref="H196:H242" si="9">IF(F196=0,"",G196/F196)</f>
        <v>443.99930693069308</v>
      </c>
      <c r="J196" s="72" t="s">
        <v>655</v>
      </c>
    </row>
    <row r="197" spans="1:10" ht="15.75" x14ac:dyDescent="0.2">
      <c r="A197" t="s">
        <v>441</v>
      </c>
      <c r="B197" t="s">
        <v>445</v>
      </c>
      <c r="C197" t="s">
        <v>443</v>
      </c>
      <c r="D197">
        <v>202601</v>
      </c>
      <c r="E197" t="s">
        <v>656</v>
      </c>
      <c r="F197">
        <v>4</v>
      </c>
      <c r="G197">
        <v>959.56000000000006</v>
      </c>
      <c r="H197" s="291">
        <f t="shared" si="9"/>
        <v>239.89000000000001</v>
      </c>
      <c r="J197" s="73"/>
    </row>
    <row r="198" spans="1:10" ht="15" x14ac:dyDescent="0.2">
      <c r="A198" t="s">
        <v>441</v>
      </c>
      <c r="B198" t="s">
        <v>445</v>
      </c>
      <c r="C198" t="s">
        <v>443</v>
      </c>
      <c r="D198">
        <v>202601</v>
      </c>
      <c r="E198" t="s">
        <v>657</v>
      </c>
      <c r="F198">
        <v>1</v>
      </c>
      <c r="G198">
        <v>1304.99</v>
      </c>
      <c r="H198" s="291">
        <f t="shared" si="9"/>
        <v>1304.99</v>
      </c>
      <c r="J198" s="71" t="s">
        <v>658</v>
      </c>
    </row>
    <row r="199" spans="1:10" ht="15" x14ac:dyDescent="0.2">
      <c r="A199" t="s">
        <v>441</v>
      </c>
      <c r="B199" t="s">
        <v>445</v>
      </c>
      <c r="C199" t="s">
        <v>443</v>
      </c>
      <c r="D199">
        <v>202512</v>
      </c>
      <c r="E199" t="s">
        <v>659</v>
      </c>
      <c r="F199">
        <v>65</v>
      </c>
      <c r="G199">
        <v>105273.73</v>
      </c>
      <c r="H199" s="291">
        <f t="shared" si="9"/>
        <v>1619.5958461538462</v>
      </c>
      <c r="J199" s="71"/>
    </row>
    <row r="200" spans="1:10" ht="15" x14ac:dyDescent="0.2">
      <c r="A200" t="s">
        <v>441</v>
      </c>
      <c r="B200" t="s">
        <v>445</v>
      </c>
      <c r="C200" t="s">
        <v>443</v>
      </c>
      <c r="D200">
        <v>202512</v>
      </c>
      <c r="E200" t="s">
        <v>660</v>
      </c>
      <c r="F200">
        <v>2</v>
      </c>
      <c r="G200">
        <v>1150.33</v>
      </c>
      <c r="H200" s="291">
        <f t="shared" si="9"/>
        <v>575.16499999999996</v>
      </c>
      <c r="J200" s="71" t="s">
        <v>661</v>
      </c>
    </row>
    <row r="201" spans="1:10" x14ac:dyDescent="0.2">
      <c r="A201" t="s">
        <v>441</v>
      </c>
      <c r="B201" t="s">
        <v>445</v>
      </c>
      <c r="C201" t="s">
        <v>443</v>
      </c>
      <c r="D201">
        <v>202511</v>
      </c>
      <c r="E201" t="s">
        <v>662</v>
      </c>
      <c r="F201">
        <v>6</v>
      </c>
      <c r="G201">
        <v>1490.91</v>
      </c>
      <c r="H201" s="291">
        <f t="shared" si="9"/>
        <v>248.48500000000001</v>
      </c>
      <c r="J201" s="62" t="s">
        <v>597</v>
      </c>
    </row>
    <row r="202" spans="1:10" x14ac:dyDescent="0.2">
      <c r="A202" t="s">
        <v>441</v>
      </c>
      <c r="B202" t="s">
        <v>445</v>
      </c>
      <c r="C202" t="s">
        <v>443</v>
      </c>
      <c r="D202">
        <v>202512</v>
      </c>
      <c r="E202" t="s">
        <v>663</v>
      </c>
      <c r="F202">
        <v>0</v>
      </c>
      <c r="G202">
        <v>61838.07</v>
      </c>
      <c r="H202" s="291" t="str">
        <f t="shared" si="9"/>
        <v/>
      </c>
      <c r="J202" s="62" t="s">
        <v>597</v>
      </c>
    </row>
    <row r="203" spans="1:10" x14ac:dyDescent="0.2">
      <c r="A203" t="s">
        <v>441</v>
      </c>
      <c r="B203" t="s">
        <v>445</v>
      </c>
      <c r="C203" t="s">
        <v>443</v>
      </c>
      <c r="D203">
        <v>202512</v>
      </c>
      <c r="E203" t="s">
        <v>664</v>
      </c>
      <c r="F203">
        <v>0</v>
      </c>
      <c r="G203">
        <v>6635.78</v>
      </c>
      <c r="H203" s="291" t="str">
        <f t="shared" si="9"/>
        <v/>
      </c>
      <c r="J203" s="62" t="s">
        <v>597</v>
      </c>
    </row>
    <row r="204" spans="1:10" x14ac:dyDescent="0.2">
      <c r="A204" t="s">
        <v>441</v>
      </c>
      <c r="B204" t="s">
        <v>445</v>
      </c>
      <c r="C204" t="s">
        <v>443</v>
      </c>
      <c r="D204">
        <v>202512</v>
      </c>
      <c r="E204" t="s">
        <v>665</v>
      </c>
      <c r="F204">
        <v>0</v>
      </c>
      <c r="G204">
        <v>223826.28</v>
      </c>
      <c r="H204" s="291" t="str">
        <f t="shared" si="9"/>
        <v/>
      </c>
      <c r="J204" s="62" t="s">
        <v>597</v>
      </c>
    </row>
    <row r="205" spans="1:10" x14ac:dyDescent="0.2">
      <c r="A205" t="s">
        <v>441</v>
      </c>
      <c r="B205" t="s">
        <v>445</v>
      </c>
      <c r="C205" t="s">
        <v>443</v>
      </c>
      <c r="D205">
        <v>202512</v>
      </c>
      <c r="E205" t="s">
        <v>666</v>
      </c>
      <c r="F205">
        <v>166</v>
      </c>
      <c r="G205">
        <v>605221.79</v>
      </c>
      <c r="H205" s="291">
        <f t="shared" si="9"/>
        <v>3645.9143975903617</v>
      </c>
      <c r="J205" s="62" t="s">
        <v>597</v>
      </c>
    </row>
    <row r="206" spans="1:10" x14ac:dyDescent="0.2">
      <c r="A206" t="s">
        <v>441</v>
      </c>
      <c r="B206" t="s">
        <v>445</v>
      </c>
      <c r="C206" t="s">
        <v>443</v>
      </c>
      <c r="D206">
        <v>202512</v>
      </c>
      <c r="E206" t="s">
        <v>667</v>
      </c>
      <c r="F206">
        <v>2656</v>
      </c>
      <c r="G206">
        <v>2848251.95</v>
      </c>
      <c r="H206" s="291">
        <f t="shared" si="9"/>
        <v>1072.3840173192773</v>
      </c>
      <c r="J206" s="62" t="s">
        <v>597</v>
      </c>
    </row>
    <row r="207" spans="1:10" x14ac:dyDescent="0.2">
      <c r="A207" t="s">
        <v>441</v>
      </c>
      <c r="B207" t="s">
        <v>445</v>
      </c>
      <c r="C207" t="s">
        <v>443</v>
      </c>
      <c r="D207">
        <v>202512</v>
      </c>
      <c r="E207" t="s">
        <v>668</v>
      </c>
      <c r="F207">
        <v>14</v>
      </c>
      <c r="G207">
        <v>48682.93</v>
      </c>
      <c r="H207" s="291">
        <f t="shared" si="9"/>
        <v>3477.352142857143</v>
      </c>
      <c r="J207" s="62" t="s">
        <v>597</v>
      </c>
    </row>
    <row r="208" spans="1:10" x14ac:dyDescent="0.2">
      <c r="A208" t="s">
        <v>441</v>
      </c>
      <c r="B208" t="s">
        <v>445</v>
      </c>
      <c r="C208" t="s">
        <v>443</v>
      </c>
      <c r="D208">
        <v>202512</v>
      </c>
      <c r="E208" t="s">
        <v>669</v>
      </c>
      <c r="F208">
        <v>20</v>
      </c>
      <c r="G208">
        <v>35481.93</v>
      </c>
      <c r="H208" s="291">
        <f t="shared" si="9"/>
        <v>1774.0965000000001</v>
      </c>
      <c r="J208" s="62" t="s">
        <v>597</v>
      </c>
    </row>
    <row r="209" spans="1:10" x14ac:dyDescent="0.2">
      <c r="A209" t="s">
        <v>441</v>
      </c>
      <c r="B209" t="s">
        <v>445</v>
      </c>
      <c r="C209" t="s">
        <v>443</v>
      </c>
      <c r="D209">
        <v>202512</v>
      </c>
      <c r="E209" t="s">
        <v>670</v>
      </c>
      <c r="F209">
        <v>13</v>
      </c>
      <c r="G209">
        <v>45243.85</v>
      </c>
      <c r="H209" s="291">
        <f t="shared" si="9"/>
        <v>3480.2961538461536</v>
      </c>
      <c r="J209" s="62" t="s">
        <v>597</v>
      </c>
    </row>
    <row r="210" spans="1:10" x14ac:dyDescent="0.2">
      <c r="A210" t="s">
        <v>441</v>
      </c>
      <c r="B210" t="s">
        <v>445</v>
      </c>
      <c r="C210" t="s">
        <v>443</v>
      </c>
      <c r="D210">
        <v>202603</v>
      </c>
      <c r="E210" t="s">
        <v>520</v>
      </c>
      <c r="F210">
        <v>0</v>
      </c>
      <c r="G210">
        <v>0</v>
      </c>
      <c r="H210" s="291" t="str">
        <f t="shared" si="9"/>
        <v/>
      </c>
      <c r="J210" s="62" t="s">
        <v>597</v>
      </c>
    </row>
    <row r="211" spans="1:10" x14ac:dyDescent="0.2">
      <c r="A211" t="s">
        <v>441</v>
      </c>
      <c r="B211" t="s">
        <v>445</v>
      </c>
      <c r="C211" t="s">
        <v>443</v>
      </c>
      <c r="D211">
        <v>202512</v>
      </c>
      <c r="E211" t="s">
        <v>671</v>
      </c>
      <c r="F211">
        <v>19</v>
      </c>
      <c r="G211">
        <v>26297.350000000002</v>
      </c>
      <c r="H211" s="291">
        <f t="shared" si="9"/>
        <v>1384.0710526315791</v>
      </c>
      <c r="J211" s="62" t="s">
        <v>597</v>
      </c>
    </row>
    <row r="212" spans="1:10" x14ac:dyDescent="0.2">
      <c r="A212" t="s">
        <v>441</v>
      </c>
      <c r="B212" t="s">
        <v>445</v>
      </c>
      <c r="C212" t="s">
        <v>443</v>
      </c>
      <c r="D212">
        <v>202512</v>
      </c>
      <c r="E212" t="s">
        <v>672</v>
      </c>
      <c r="F212">
        <v>19</v>
      </c>
      <c r="G212">
        <v>12768.74</v>
      </c>
      <c r="H212" s="291">
        <f t="shared" si="9"/>
        <v>672.03894736842108</v>
      </c>
      <c r="J212" s="62" t="s">
        <v>597</v>
      </c>
    </row>
    <row r="213" spans="1:10" x14ac:dyDescent="0.2">
      <c r="A213" t="s">
        <v>441</v>
      </c>
      <c r="B213" t="s">
        <v>445</v>
      </c>
      <c r="C213" t="s">
        <v>443</v>
      </c>
      <c r="D213">
        <v>202512</v>
      </c>
      <c r="E213" t="s">
        <v>673</v>
      </c>
      <c r="F213">
        <v>0</v>
      </c>
      <c r="G213">
        <v>7375.43</v>
      </c>
      <c r="H213" s="291" t="str">
        <f t="shared" si="9"/>
        <v/>
      </c>
      <c r="J213" s="62" t="s">
        <v>597</v>
      </c>
    </row>
    <row r="214" spans="1:10" x14ac:dyDescent="0.2">
      <c r="A214" t="s">
        <v>441</v>
      </c>
      <c r="B214" t="s">
        <v>445</v>
      </c>
      <c r="C214" t="s">
        <v>443</v>
      </c>
      <c r="D214">
        <v>202512</v>
      </c>
      <c r="E214" t="s">
        <v>674</v>
      </c>
      <c r="F214">
        <v>2</v>
      </c>
      <c r="G214">
        <v>782.22</v>
      </c>
      <c r="H214" s="291">
        <f t="shared" si="9"/>
        <v>391.11</v>
      </c>
      <c r="J214" s="62" t="s">
        <v>597</v>
      </c>
    </row>
    <row r="215" spans="1:10" x14ac:dyDescent="0.2">
      <c r="A215" t="s">
        <v>441</v>
      </c>
      <c r="B215" t="s">
        <v>445</v>
      </c>
      <c r="C215" t="s">
        <v>443</v>
      </c>
      <c r="D215">
        <v>202510</v>
      </c>
      <c r="E215" t="s">
        <v>675</v>
      </c>
      <c r="F215">
        <v>1</v>
      </c>
      <c r="G215">
        <v>2797.41</v>
      </c>
      <c r="H215" s="291">
        <f t="shared" si="9"/>
        <v>2797.41</v>
      </c>
      <c r="J215" s="62" t="s">
        <v>597</v>
      </c>
    </row>
    <row r="216" spans="1:10" x14ac:dyDescent="0.2">
      <c r="A216" t="s">
        <v>441</v>
      </c>
      <c r="B216" t="s">
        <v>445</v>
      </c>
      <c r="C216" t="s">
        <v>443</v>
      </c>
      <c r="D216">
        <v>202510</v>
      </c>
      <c r="E216" t="s">
        <v>676</v>
      </c>
      <c r="F216">
        <v>0</v>
      </c>
      <c r="G216">
        <v>5.88</v>
      </c>
      <c r="H216" s="291" t="str">
        <f t="shared" si="9"/>
        <v/>
      </c>
      <c r="J216" s="62" t="s">
        <v>597</v>
      </c>
    </row>
    <row r="217" spans="1:10" x14ac:dyDescent="0.2">
      <c r="A217" t="s">
        <v>441</v>
      </c>
      <c r="B217" t="s">
        <v>445</v>
      </c>
      <c r="C217" t="s">
        <v>443</v>
      </c>
      <c r="D217">
        <v>202510</v>
      </c>
      <c r="E217" t="s">
        <v>451</v>
      </c>
      <c r="F217">
        <v>132</v>
      </c>
      <c r="G217">
        <v>60679.46</v>
      </c>
      <c r="H217" s="291">
        <f t="shared" si="9"/>
        <v>459.69287878787878</v>
      </c>
      <c r="J217" s="62" t="s">
        <v>597</v>
      </c>
    </row>
    <row r="218" spans="1:10" x14ac:dyDescent="0.2">
      <c r="A218" t="s">
        <v>441</v>
      </c>
      <c r="B218" t="s">
        <v>445</v>
      </c>
      <c r="C218" t="s">
        <v>443</v>
      </c>
      <c r="D218">
        <v>202510</v>
      </c>
      <c r="E218" t="s">
        <v>677</v>
      </c>
      <c r="F218">
        <v>0</v>
      </c>
      <c r="G218">
        <v>12140.04</v>
      </c>
      <c r="H218" s="291" t="str">
        <f t="shared" si="9"/>
        <v/>
      </c>
      <c r="J218" s="62" t="s">
        <v>597</v>
      </c>
    </row>
    <row r="219" spans="1:10" x14ac:dyDescent="0.2">
      <c r="A219" t="s">
        <v>441</v>
      </c>
      <c r="B219" t="s">
        <v>445</v>
      </c>
      <c r="C219" t="s">
        <v>443</v>
      </c>
      <c r="D219">
        <v>202603</v>
      </c>
      <c r="E219" t="s">
        <v>678</v>
      </c>
      <c r="F219">
        <v>12</v>
      </c>
      <c r="G219">
        <v>5491.84</v>
      </c>
      <c r="H219" s="291">
        <f t="shared" si="9"/>
        <v>457.65333333333336</v>
      </c>
      <c r="J219" s="62" t="s">
        <v>597</v>
      </c>
    </row>
    <row r="220" spans="1:10" x14ac:dyDescent="0.2">
      <c r="A220" t="s">
        <v>441</v>
      </c>
      <c r="B220" t="s">
        <v>474</v>
      </c>
      <c r="C220" t="s">
        <v>443</v>
      </c>
      <c r="D220">
        <v>202509</v>
      </c>
      <c r="E220" t="s">
        <v>679</v>
      </c>
      <c r="F220">
        <v>68</v>
      </c>
      <c r="G220">
        <v>38140.71</v>
      </c>
      <c r="H220" s="291">
        <f t="shared" si="9"/>
        <v>560.8927941176471</v>
      </c>
      <c r="J220" s="62" t="s">
        <v>597</v>
      </c>
    </row>
    <row r="221" spans="1:10" x14ac:dyDescent="0.2">
      <c r="A221" t="s">
        <v>441</v>
      </c>
      <c r="B221" t="s">
        <v>474</v>
      </c>
      <c r="C221" t="s">
        <v>443</v>
      </c>
      <c r="D221">
        <v>202512</v>
      </c>
      <c r="E221" t="s">
        <v>680</v>
      </c>
      <c r="F221">
        <v>0</v>
      </c>
      <c r="G221">
        <v>1100.68</v>
      </c>
      <c r="H221" s="291" t="str">
        <f t="shared" si="9"/>
        <v/>
      </c>
      <c r="J221" s="62" t="s">
        <v>597</v>
      </c>
    </row>
    <row r="222" spans="1:10" x14ac:dyDescent="0.2">
      <c r="A222" t="s">
        <v>441</v>
      </c>
      <c r="B222" t="s">
        <v>478</v>
      </c>
      <c r="C222" t="s">
        <v>443</v>
      </c>
      <c r="D222">
        <v>202512</v>
      </c>
      <c r="E222" t="s">
        <v>681</v>
      </c>
      <c r="F222">
        <v>58</v>
      </c>
      <c r="G222">
        <v>84717.440000000002</v>
      </c>
      <c r="H222" s="291">
        <f t="shared" si="9"/>
        <v>1460.6455172413794</v>
      </c>
      <c r="J222" s="62" t="s">
        <v>597</v>
      </c>
    </row>
    <row r="223" spans="1:10" x14ac:dyDescent="0.2">
      <c r="A223" t="s">
        <v>441</v>
      </c>
      <c r="B223" t="s">
        <v>478</v>
      </c>
      <c r="C223" t="s">
        <v>443</v>
      </c>
      <c r="D223">
        <v>202512</v>
      </c>
      <c r="E223" t="s">
        <v>682</v>
      </c>
      <c r="F223">
        <v>0</v>
      </c>
      <c r="G223">
        <v>295.12</v>
      </c>
      <c r="H223" s="291" t="str">
        <f t="shared" si="9"/>
        <v/>
      </c>
      <c r="J223" s="62" t="s">
        <v>597</v>
      </c>
    </row>
    <row r="224" spans="1:10" x14ac:dyDescent="0.2">
      <c r="A224" t="s">
        <v>441</v>
      </c>
      <c r="B224" t="s">
        <v>478</v>
      </c>
      <c r="C224" t="s">
        <v>443</v>
      </c>
      <c r="D224">
        <v>202603</v>
      </c>
      <c r="E224" t="s">
        <v>505</v>
      </c>
      <c r="F224">
        <v>0</v>
      </c>
      <c r="G224">
        <v>0</v>
      </c>
      <c r="H224" s="291" t="str">
        <f t="shared" si="9"/>
        <v/>
      </c>
      <c r="J224" s="62" t="s">
        <v>597</v>
      </c>
    </row>
    <row r="225" spans="1:10" x14ac:dyDescent="0.2">
      <c r="A225" t="s">
        <v>441</v>
      </c>
      <c r="B225" t="s">
        <v>445</v>
      </c>
      <c r="C225" t="s">
        <v>443</v>
      </c>
      <c r="D225">
        <v>202506</v>
      </c>
      <c r="E225" t="s">
        <v>683</v>
      </c>
      <c r="F225">
        <v>13</v>
      </c>
      <c r="G225">
        <v>15608.06</v>
      </c>
      <c r="H225" s="291">
        <f t="shared" si="9"/>
        <v>1200.6199999999999</v>
      </c>
      <c r="J225" s="62" t="s">
        <v>597</v>
      </c>
    </row>
    <row r="226" spans="1:10" x14ac:dyDescent="0.2">
      <c r="A226" t="s">
        <v>441</v>
      </c>
      <c r="B226" t="s">
        <v>445</v>
      </c>
      <c r="C226" t="s">
        <v>443</v>
      </c>
      <c r="D226">
        <v>202506</v>
      </c>
      <c r="E226" t="s">
        <v>684</v>
      </c>
      <c r="F226">
        <v>4</v>
      </c>
      <c r="G226">
        <v>4615.12</v>
      </c>
      <c r="H226" s="291">
        <f t="shared" si="9"/>
        <v>1153.78</v>
      </c>
      <c r="J226" s="62" t="s">
        <v>597</v>
      </c>
    </row>
    <row r="227" spans="1:10" x14ac:dyDescent="0.2">
      <c r="A227" t="s">
        <v>441</v>
      </c>
      <c r="B227" t="s">
        <v>445</v>
      </c>
      <c r="C227" t="s">
        <v>443</v>
      </c>
      <c r="D227">
        <v>202507</v>
      </c>
      <c r="E227" t="s">
        <v>685</v>
      </c>
      <c r="F227">
        <v>464</v>
      </c>
      <c r="G227">
        <v>92129.59</v>
      </c>
      <c r="H227" s="291">
        <f t="shared" si="9"/>
        <v>198.55515086206896</v>
      </c>
      <c r="J227" s="62" t="s">
        <v>597</v>
      </c>
    </row>
    <row r="228" spans="1:10" x14ac:dyDescent="0.2">
      <c r="A228" t="s">
        <v>441</v>
      </c>
      <c r="B228" t="s">
        <v>445</v>
      </c>
      <c r="C228" t="s">
        <v>443</v>
      </c>
      <c r="D228">
        <v>202601</v>
      </c>
      <c r="E228" t="s">
        <v>686</v>
      </c>
      <c r="F228">
        <v>243</v>
      </c>
      <c r="G228">
        <v>822.09</v>
      </c>
      <c r="H228" s="291">
        <f t="shared" si="9"/>
        <v>3.3830864197530865</v>
      </c>
      <c r="J228" s="62" t="s">
        <v>597</v>
      </c>
    </row>
    <row r="229" spans="1:10" x14ac:dyDescent="0.2">
      <c r="A229" t="s">
        <v>441</v>
      </c>
      <c r="B229" t="s">
        <v>445</v>
      </c>
      <c r="C229" t="s">
        <v>443</v>
      </c>
      <c r="D229">
        <v>202512</v>
      </c>
      <c r="E229" t="s">
        <v>687</v>
      </c>
      <c r="F229">
        <v>0</v>
      </c>
      <c r="G229">
        <v>21030.41</v>
      </c>
      <c r="H229" s="291" t="str">
        <f t="shared" si="9"/>
        <v/>
      </c>
      <c r="J229" s="62" t="s">
        <v>597</v>
      </c>
    </row>
    <row r="230" spans="1:10" x14ac:dyDescent="0.2">
      <c r="A230" t="s">
        <v>441</v>
      </c>
      <c r="B230" t="s">
        <v>445</v>
      </c>
      <c r="C230" t="s">
        <v>443</v>
      </c>
      <c r="D230">
        <v>202511</v>
      </c>
      <c r="E230" t="s">
        <v>688</v>
      </c>
      <c r="F230">
        <v>6</v>
      </c>
      <c r="G230">
        <v>4197.9400000000005</v>
      </c>
      <c r="H230" s="291">
        <f t="shared" si="9"/>
        <v>699.65666666666675</v>
      </c>
      <c r="J230" s="62" t="s">
        <v>597</v>
      </c>
    </row>
    <row r="231" spans="1:10" x14ac:dyDescent="0.2">
      <c r="A231" t="s">
        <v>441</v>
      </c>
      <c r="B231" t="s">
        <v>445</v>
      </c>
      <c r="C231" t="s">
        <v>443</v>
      </c>
      <c r="D231">
        <v>202512</v>
      </c>
      <c r="E231" t="s">
        <v>689</v>
      </c>
      <c r="F231">
        <v>3</v>
      </c>
      <c r="G231">
        <v>1205.55</v>
      </c>
      <c r="H231" s="291">
        <f t="shared" si="9"/>
        <v>401.84999999999997</v>
      </c>
      <c r="J231" s="62" t="s">
        <v>597</v>
      </c>
    </row>
    <row r="232" spans="1:10" x14ac:dyDescent="0.2">
      <c r="A232" t="s">
        <v>441</v>
      </c>
      <c r="B232" t="s">
        <v>445</v>
      </c>
      <c r="C232" t="s">
        <v>443</v>
      </c>
      <c r="D232">
        <v>202512</v>
      </c>
      <c r="E232" t="s">
        <v>494</v>
      </c>
      <c r="F232">
        <v>21</v>
      </c>
      <c r="G232">
        <v>2755.43</v>
      </c>
      <c r="H232" s="291">
        <f t="shared" si="9"/>
        <v>131.21095238095236</v>
      </c>
      <c r="J232" s="62" t="s">
        <v>597</v>
      </c>
    </row>
    <row r="233" spans="1:10" x14ac:dyDescent="0.2">
      <c r="A233" t="s">
        <v>441</v>
      </c>
      <c r="B233" t="s">
        <v>445</v>
      </c>
      <c r="C233" t="s">
        <v>443</v>
      </c>
      <c r="D233">
        <v>202603</v>
      </c>
      <c r="E233" t="s">
        <v>690</v>
      </c>
      <c r="F233">
        <v>41</v>
      </c>
      <c r="G233">
        <v>7560.75</v>
      </c>
      <c r="H233" s="291">
        <f t="shared" si="9"/>
        <v>184.40853658536585</v>
      </c>
      <c r="J233" s="62" t="s">
        <v>597</v>
      </c>
    </row>
    <row r="234" spans="1:10" x14ac:dyDescent="0.2">
      <c r="A234" t="s">
        <v>441</v>
      </c>
      <c r="B234" t="s">
        <v>445</v>
      </c>
      <c r="C234" t="s">
        <v>443</v>
      </c>
      <c r="D234">
        <v>202512</v>
      </c>
      <c r="E234" t="s">
        <v>691</v>
      </c>
      <c r="F234">
        <v>213</v>
      </c>
      <c r="G234">
        <v>1434050.81</v>
      </c>
      <c r="H234" s="291">
        <f t="shared" si="9"/>
        <v>6732.6329107981219</v>
      </c>
      <c r="J234" s="62" t="s">
        <v>597</v>
      </c>
    </row>
    <row r="235" spans="1:10" x14ac:dyDescent="0.2">
      <c r="A235" t="s">
        <v>441</v>
      </c>
      <c r="B235" t="s">
        <v>445</v>
      </c>
      <c r="C235" t="s">
        <v>443</v>
      </c>
      <c r="D235">
        <v>202512</v>
      </c>
      <c r="E235" t="s">
        <v>692</v>
      </c>
      <c r="F235">
        <v>7</v>
      </c>
      <c r="G235">
        <v>12104.54</v>
      </c>
      <c r="H235" s="291">
        <f t="shared" si="9"/>
        <v>1729.22</v>
      </c>
      <c r="J235" s="62" t="s">
        <v>597</v>
      </c>
    </row>
    <row r="236" spans="1:10" x14ac:dyDescent="0.2">
      <c r="A236" t="s">
        <v>441</v>
      </c>
      <c r="B236" t="s">
        <v>445</v>
      </c>
      <c r="C236" t="s">
        <v>443</v>
      </c>
      <c r="D236">
        <v>202512</v>
      </c>
      <c r="E236" t="s">
        <v>693</v>
      </c>
      <c r="F236">
        <v>0</v>
      </c>
      <c r="G236">
        <v>475.91</v>
      </c>
      <c r="H236" s="291" t="str">
        <f t="shared" si="9"/>
        <v/>
      </c>
      <c r="J236" s="62" t="s">
        <v>597</v>
      </c>
    </row>
    <row r="237" spans="1:10" x14ac:dyDescent="0.2">
      <c r="A237" t="s">
        <v>441</v>
      </c>
      <c r="B237" t="s">
        <v>445</v>
      </c>
      <c r="C237" t="s">
        <v>443</v>
      </c>
      <c r="D237">
        <v>202512</v>
      </c>
      <c r="E237" t="s">
        <v>694</v>
      </c>
      <c r="F237">
        <v>4</v>
      </c>
      <c r="G237">
        <v>11103.91</v>
      </c>
      <c r="H237" s="291">
        <f t="shared" si="9"/>
        <v>2775.9775</v>
      </c>
      <c r="J237" s="62" t="s">
        <v>597</v>
      </c>
    </row>
    <row r="238" spans="1:10" x14ac:dyDescent="0.2">
      <c r="A238" t="s">
        <v>441</v>
      </c>
      <c r="B238" t="s">
        <v>445</v>
      </c>
      <c r="C238" t="s">
        <v>443</v>
      </c>
      <c r="D238">
        <v>202511</v>
      </c>
      <c r="E238" t="s">
        <v>524</v>
      </c>
      <c r="F238">
        <v>4</v>
      </c>
      <c r="G238">
        <v>2478.39</v>
      </c>
      <c r="H238" s="291">
        <f t="shared" si="9"/>
        <v>619.59749999999997</v>
      </c>
      <c r="J238" s="62" t="s">
        <v>597</v>
      </c>
    </row>
    <row r="239" spans="1:10" x14ac:dyDescent="0.2">
      <c r="A239" t="s">
        <v>441</v>
      </c>
      <c r="B239" t="s">
        <v>445</v>
      </c>
      <c r="C239" t="s">
        <v>443</v>
      </c>
      <c r="D239">
        <v>202510</v>
      </c>
      <c r="E239" t="s">
        <v>579</v>
      </c>
      <c r="F239">
        <v>10</v>
      </c>
      <c r="G239">
        <v>6367.97</v>
      </c>
      <c r="H239" s="291">
        <f t="shared" si="9"/>
        <v>636.79700000000003</v>
      </c>
      <c r="J239" s="62" t="s">
        <v>597</v>
      </c>
    </row>
    <row r="240" spans="1:10" x14ac:dyDescent="0.2">
      <c r="A240" t="s">
        <v>441</v>
      </c>
      <c r="B240" t="s">
        <v>445</v>
      </c>
      <c r="C240" t="s">
        <v>443</v>
      </c>
      <c r="D240">
        <v>202510</v>
      </c>
      <c r="E240" t="s">
        <v>695</v>
      </c>
      <c r="F240">
        <v>0</v>
      </c>
      <c r="G240">
        <v>129697.71</v>
      </c>
      <c r="H240" s="291" t="str">
        <f t="shared" si="9"/>
        <v/>
      </c>
      <c r="J240" s="62" t="s">
        <v>597</v>
      </c>
    </row>
    <row r="241" spans="1:10" x14ac:dyDescent="0.2">
      <c r="A241" t="s">
        <v>441</v>
      </c>
      <c r="B241" t="s">
        <v>445</v>
      </c>
      <c r="C241" t="s">
        <v>443</v>
      </c>
      <c r="D241">
        <v>202510</v>
      </c>
      <c r="E241" t="s">
        <v>696</v>
      </c>
      <c r="F241">
        <v>0</v>
      </c>
      <c r="G241">
        <v>3845.19</v>
      </c>
      <c r="H241" s="291" t="str">
        <f t="shared" si="9"/>
        <v/>
      </c>
      <c r="J241" s="62" t="s">
        <v>597</v>
      </c>
    </row>
    <row r="242" spans="1:10" x14ac:dyDescent="0.2">
      <c r="A242" t="s">
        <v>441</v>
      </c>
      <c r="B242" t="s">
        <v>478</v>
      </c>
      <c r="C242" t="s">
        <v>443</v>
      </c>
      <c r="D242">
        <v>202601</v>
      </c>
      <c r="E242" t="s">
        <v>697</v>
      </c>
      <c r="F242">
        <v>12</v>
      </c>
      <c r="G242">
        <v>1901.13</v>
      </c>
      <c r="H242" s="291">
        <f t="shared" si="9"/>
        <v>158.42750000000001</v>
      </c>
      <c r="J242" s="62" t="s">
        <v>597</v>
      </c>
    </row>
    <row r="244" spans="1:10" x14ac:dyDescent="0.2">
      <c r="A244" s="76" t="s">
        <v>698</v>
      </c>
      <c r="B244" s="76"/>
      <c r="C244" s="76"/>
      <c r="D244" s="76"/>
      <c r="E244" s="76"/>
      <c r="F244" s="77">
        <f>SUM(F3:F242)</f>
        <v>28634.23</v>
      </c>
      <c r="G244" s="78">
        <f>SUM(G3:G242)</f>
        <v>35356646.100000001</v>
      </c>
      <c r="H244" s="78">
        <f>G244/F244</f>
        <v>1234.7685305314653</v>
      </c>
    </row>
  </sheetData>
  <hyperlinks>
    <hyperlink ref="J193" r:id="rId1" display="mailto:Stephen.Stratton@midamerican.com" xr:uid="{E01CDC96-42C4-4AD9-8B8E-4598A775F7FE}"/>
    <hyperlink ref="J195" r:id="rId2" display="mailto:Brian.Meyers@midamerican.com" xr:uid="{E0A70BAD-500D-4798-9A22-FEFC01F8F00C}"/>
  </hyperlinks>
  <pageMargins left="0.7" right="0.7" top="1.4270833333333299" bottom="0.75" header="0.3" footer="0.3"/>
  <pageSetup orientation="portrait" horizontalDpi="1200" verticalDpi="1200" r:id="rId3"/>
  <headerFooter>
    <oddHeader>&amp;CMIDAMERICAN ENERGY COMPANY
2026 SOUTH DAKOTA GAS RATE CASE
Docket No. NG26-___
Statement O-Workpapers Support
FOR THE YEAR ENDING DECEMBER 31, 2025&amp;RStratton Direct Exhibit 1.2, WP1
Page &amp;P of &amp;N</oddHead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7E73B-FFEF-4A9F-AF58-C2175791427A}">
  <dimension ref="A3:I36"/>
  <sheetViews>
    <sheetView view="pageLayout" zoomScaleNormal="100" workbookViewId="0">
      <selection activeCell="A19" sqref="A19"/>
    </sheetView>
  </sheetViews>
  <sheetFormatPr defaultRowHeight="12.75" x14ac:dyDescent="0.2"/>
  <cols>
    <col min="3" max="3" width="30.7109375" customWidth="1"/>
    <col min="4" max="4" width="12" customWidth="1"/>
    <col min="5" max="5" width="16" bestFit="1" customWidth="1"/>
    <col min="6" max="7" width="12.28515625" customWidth="1"/>
    <col min="8" max="8" width="17.140625" customWidth="1"/>
    <col min="9" max="9" width="15.42578125" customWidth="1"/>
    <col min="259" max="259" width="30.7109375" customWidth="1"/>
    <col min="260" max="260" width="12" customWidth="1"/>
    <col min="261" max="261" width="16" bestFit="1" customWidth="1"/>
    <col min="262" max="264" width="12.28515625" customWidth="1"/>
    <col min="265" max="265" width="15.42578125" customWidth="1"/>
    <col min="515" max="515" width="30.7109375" customWidth="1"/>
    <col min="516" max="516" width="12" customWidth="1"/>
    <col min="517" max="517" width="16" bestFit="1" customWidth="1"/>
    <col min="518" max="520" width="12.28515625" customWidth="1"/>
    <col min="521" max="521" width="15.42578125" customWidth="1"/>
    <col min="771" max="771" width="30.7109375" customWidth="1"/>
    <col min="772" max="772" width="12" customWidth="1"/>
    <col min="773" max="773" width="16" bestFit="1" customWidth="1"/>
    <col min="774" max="776" width="12.28515625" customWidth="1"/>
    <col min="777" max="777" width="15.42578125" customWidth="1"/>
    <col min="1027" max="1027" width="30.7109375" customWidth="1"/>
    <col min="1028" max="1028" width="12" customWidth="1"/>
    <col min="1029" max="1029" width="16" bestFit="1" customWidth="1"/>
    <col min="1030" max="1032" width="12.28515625" customWidth="1"/>
    <col min="1033" max="1033" width="15.42578125" customWidth="1"/>
    <col min="1283" max="1283" width="30.7109375" customWidth="1"/>
    <col min="1284" max="1284" width="12" customWidth="1"/>
    <col min="1285" max="1285" width="16" bestFit="1" customWidth="1"/>
    <col min="1286" max="1288" width="12.28515625" customWidth="1"/>
    <col min="1289" max="1289" width="15.42578125" customWidth="1"/>
    <col min="1539" max="1539" width="30.7109375" customWidth="1"/>
    <col min="1540" max="1540" width="12" customWidth="1"/>
    <col min="1541" max="1541" width="16" bestFit="1" customWidth="1"/>
    <col min="1542" max="1544" width="12.28515625" customWidth="1"/>
    <col min="1545" max="1545" width="15.42578125" customWidth="1"/>
    <col min="1795" max="1795" width="30.7109375" customWidth="1"/>
    <col min="1796" max="1796" width="12" customWidth="1"/>
    <col min="1797" max="1797" width="16" bestFit="1" customWidth="1"/>
    <col min="1798" max="1800" width="12.28515625" customWidth="1"/>
    <col min="1801" max="1801" width="15.42578125" customWidth="1"/>
    <col min="2051" max="2051" width="30.7109375" customWidth="1"/>
    <col min="2052" max="2052" width="12" customWidth="1"/>
    <col min="2053" max="2053" width="16" bestFit="1" customWidth="1"/>
    <col min="2054" max="2056" width="12.28515625" customWidth="1"/>
    <col min="2057" max="2057" width="15.42578125" customWidth="1"/>
    <col min="2307" max="2307" width="30.7109375" customWidth="1"/>
    <col min="2308" max="2308" width="12" customWidth="1"/>
    <col min="2309" max="2309" width="16" bestFit="1" customWidth="1"/>
    <col min="2310" max="2312" width="12.28515625" customWidth="1"/>
    <col min="2313" max="2313" width="15.42578125" customWidth="1"/>
    <col min="2563" max="2563" width="30.7109375" customWidth="1"/>
    <col min="2564" max="2564" width="12" customWidth="1"/>
    <col min="2565" max="2565" width="16" bestFit="1" customWidth="1"/>
    <col min="2566" max="2568" width="12.28515625" customWidth="1"/>
    <col min="2569" max="2569" width="15.42578125" customWidth="1"/>
    <col min="2819" max="2819" width="30.7109375" customWidth="1"/>
    <col min="2820" max="2820" width="12" customWidth="1"/>
    <col min="2821" max="2821" width="16" bestFit="1" customWidth="1"/>
    <col min="2822" max="2824" width="12.28515625" customWidth="1"/>
    <col min="2825" max="2825" width="15.42578125" customWidth="1"/>
    <col min="3075" max="3075" width="30.7109375" customWidth="1"/>
    <col min="3076" max="3076" width="12" customWidth="1"/>
    <col min="3077" max="3077" width="16" bestFit="1" customWidth="1"/>
    <col min="3078" max="3080" width="12.28515625" customWidth="1"/>
    <col min="3081" max="3081" width="15.42578125" customWidth="1"/>
    <col min="3331" max="3331" width="30.7109375" customWidth="1"/>
    <col min="3332" max="3332" width="12" customWidth="1"/>
    <col min="3333" max="3333" width="16" bestFit="1" customWidth="1"/>
    <col min="3334" max="3336" width="12.28515625" customWidth="1"/>
    <col min="3337" max="3337" width="15.42578125" customWidth="1"/>
    <col min="3587" max="3587" width="30.7109375" customWidth="1"/>
    <col min="3588" max="3588" width="12" customWidth="1"/>
    <col min="3589" max="3589" width="16" bestFit="1" customWidth="1"/>
    <col min="3590" max="3592" width="12.28515625" customWidth="1"/>
    <col min="3593" max="3593" width="15.42578125" customWidth="1"/>
    <col min="3843" max="3843" width="30.7109375" customWidth="1"/>
    <col min="3844" max="3844" width="12" customWidth="1"/>
    <col min="3845" max="3845" width="16" bestFit="1" customWidth="1"/>
    <col min="3846" max="3848" width="12.28515625" customWidth="1"/>
    <col min="3849" max="3849" width="15.42578125" customWidth="1"/>
    <col min="4099" max="4099" width="30.7109375" customWidth="1"/>
    <col min="4100" max="4100" width="12" customWidth="1"/>
    <col min="4101" max="4101" width="16" bestFit="1" customWidth="1"/>
    <col min="4102" max="4104" width="12.28515625" customWidth="1"/>
    <col min="4105" max="4105" width="15.42578125" customWidth="1"/>
    <col min="4355" max="4355" width="30.7109375" customWidth="1"/>
    <col min="4356" max="4356" width="12" customWidth="1"/>
    <col min="4357" max="4357" width="16" bestFit="1" customWidth="1"/>
    <col min="4358" max="4360" width="12.28515625" customWidth="1"/>
    <col min="4361" max="4361" width="15.42578125" customWidth="1"/>
    <col min="4611" max="4611" width="30.7109375" customWidth="1"/>
    <col min="4612" max="4612" width="12" customWidth="1"/>
    <col min="4613" max="4613" width="16" bestFit="1" customWidth="1"/>
    <col min="4614" max="4616" width="12.28515625" customWidth="1"/>
    <col min="4617" max="4617" width="15.42578125" customWidth="1"/>
    <col min="4867" max="4867" width="30.7109375" customWidth="1"/>
    <col min="4868" max="4868" width="12" customWidth="1"/>
    <col min="4869" max="4869" width="16" bestFit="1" customWidth="1"/>
    <col min="4870" max="4872" width="12.28515625" customWidth="1"/>
    <col min="4873" max="4873" width="15.42578125" customWidth="1"/>
    <col min="5123" max="5123" width="30.7109375" customWidth="1"/>
    <col min="5124" max="5124" width="12" customWidth="1"/>
    <col min="5125" max="5125" width="16" bestFit="1" customWidth="1"/>
    <col min="5126" max="5128" width="12.28515625" customWidth="1"/>
    <col min="5129" max="5129" width="15.42578125" customWidth="1"/>
    <col min="5379" max="5379" width="30.7109375" customWidth="1"/>
    <col min="5380" max="5380" width="12" customWidth="1"/>
    <col min="5381" max="5381" width="16" bestFit="1" customWidth="1"/>
    <col min="5382" max="5384" width="12.28515625" customWidth="1"/>
    <col min="5385" max="5385" width="15.42578125" customWidth="1"/>
    <col min="5635" max="5635" width="30.7109375" customWidth="1"/>
    <col min="5636" max="5636" width="12" customWidth="1"/>
    <col min="5637" max="5637" width="16" bestFit="1" customWidth="1"/>
    <col min="5638" max="5640" width="12.28515625" customWidth="1"/>
    <col min="5641" max="5641" width="15.42578125" customWidth="1"/>
    <col min="5891" max="5891" width="30.7109375" customWidth="1"/>
    <col min="5892" max="5892" width="12" customWidth="1"/>
    <col min="5893" max="5893" width="16" bestFit="1" customWidth="1"/>
    <col min="5894" max="5896" width="12.28515625" customWidth="1"/>
    <col min="5897" max="5897" width="15.42578125" customWidth="1"/>
    <col min="6147" max="6147" width="30.7109375" customWidth="1"/>
    <col min="6148" max="6148" width="12" customWidth="1"/>
    <col min="6149" max="6149" width="16" bestFit="1" customWidth="1"/>
    <col min="6150" max="6152" width="12.28515625" customWidth="1"/>
    <col min="6153" max="6153" width="15.42578125" customWidth="1"/>
    <col min="6403" max="6403" width="30.7109375" customWidth="1"/>
    <col min="6404" max="6404" width="12" customWidth="1"/>
    <col min="6405" max="6405" width="16" bestFit="1" customWidth="1"/>
    <col min="6406" max="6408" width="12.28515625" customWidth="1"/>
    <col min="6409" max="6409" width="15.42578125" customWidth="1"/>
    <col min="6659" max="6659" width="30.7109375" customWidth="1"/>
    <col min="6660" max="6660" width="12" customWidth="1"/>
    <col min="6661" max="6661" width="16" bestFit="1" customWidth="1"/>
    <col min="6662" max="6664" width="12.28515625" customWidth="1"/>
    <col min="6665" max="6665" width="15.42578125" customWidth="1"/>
    <col min="6915" max="6915" width="30.7109375" customWidth="1"/>
    <col min="6916" max="6916" width="12" customWidth="1"/>
    <col min="6917" max="6917" width="16" bestFit="1" customWidth="1"/>
    <col min="6918" max="6920" width="12.28515625" customWidth="1"/>
    <col min="6921" max="6921" width="15.42578125" customWidth="1"/>
    <col min="7171" max="7171" width="30.7109375" customWidth="1"/>
    <col min="7172" max="7172" width="12" customWidth="1"/>
    <col min="7173" max="7173" width="16" bestFit="1" customWidth="1"/>
    <col min="7174" max="7176" width="12.28515625" customWidth="1"/>
    <col min="7177" max="7177" width="15.42578125" customWidth="1"/>
    <col min="7427" max="7427" width="30.7109375" customWidth="1"/>
    <col min="7428" max="7428" width="12" customWidth="1"/>
    <col min="7429" max="7429" width="16" bestFit="1" customWidth="1"/>
    <col min="7430" max="7432" width="12.28515625" customWidth="1"/>
    <col min="7433" max="7433" width="15.42578125" customWidth="1"/>
    <col min="7683" max="7683" width="30.7109375" customWidth="1"/>
    <col min="7684" max="7684" width="12" customWidth="1"/>
    <col min="7685" max="7685" width="16" bestFit="1" customWidth="1"/>
    <col min="7686" max="7688" width="12.28515625" customWidth="1"/>
    <col min="7689" max="7689" width="15.42578125" customWidth="1"/>
    <col min="7939" max="7939" width="30.7109375" customWidth="1"/>
    <col min="7940" max="7940" width="12" customWidth="1"/>
    <col min="7941" max="7941" width="16" bestFit="1" customWidth="1"/>
    <col min="7942" max="7944" width="12.28515625" customWidth="1"/>
    <col min="7945" max="7945" width="15.42578125" customWidth="1"/>
    <col min="8195" max="8195" width="30.7109375" customWidth="1"/>
    <col min="8196" max="8196" width="12" customWidth="1"/>
    <col min="8197" max="8197" width="16" bestFit="1" customWidth="1"/>
    <col min="8198" max="8200" width="12.28515625" customWidth="1"/>
    <col min="8201" max="8201" width="15.42578125" customWidth="1"/>
    <col min="8451" max="8451" width="30.7109375" customWidth="1"/>
    <col min="8452" max="8452" width="12" customWidth="1"/>
    <col min="8453" max="8453" width="16" bestFit="1" customWidth="1"/>
    <col min="8454" max="8456" width="12.28515625" customWidth="1"/>
    <col min="8457" max="8457" width="15.42578125" customWidth="1"/>
    <col min="8707" max="8707" width="30.7109375" customWidth="1"/>
    <col min="8708" max="8708" width="12" customWidth="1"/>
    <col min="8709" max="8709" width="16" bestFit="1" customWidth="1"/>
    <col min="8710" max="8712" width="12.28515625" customWidth="1"/>
    <col min="8713" max="8713" width="15.42578125" customWidth="1"/>
    <col min="8963" max="8963" width="30.7109375" customWidth="1"/>
    <col min="8964" max="8964" width="12" customWidth="1"/>
    <col min="8965" max="8965" width="16" bestFit="1" customWidth="1"/>
    <col min="8966" max="8968" width="12.28515625" customWidth="1"/>
    <col min="8969" max="8969" width="15.42578125" customWidth="1"/>
    <col min="9219" max="9219" width="30.7109375" customWidth="1"/>
    <col min="9220" max="9220" width="12" customWidth="1"/>
    <col min="9221" max="9221" width="16" bestFit="1" customWidth="1"/>
    <col min="9222" max="9224" width="12.28515625" customWidth="1"/>
    <col min="9225" max="9225" width="15.42578125" customWidth="1"/>
    <col min="9475" max="9475" width="30.7109375" customWidth="1"/>
    <col min="9476" max="9476" width="12" customWidth="1"/>
    <col min="9477" max="9477" width="16" bestFit="1" customWidth="1"/>
    <col min="9478" max="9480" width="12.28515625" customWidth="1"/>
    <col min="9481" max="9481" width="15.42578125" customWidth="1"/>
    <col min="9731" max="9731" width="30.7109375" customWidth="1"/>
    <col min="9732" max="9732" width="12" customWidth="1"/>
    <col min="9733" max="9733" width="16" bestFit="1" customWidth="1"/>
    <col min="9734" max="9736" width="12.28515625" customWidth="1"/>
    <col min="9737" max="9737" width="15.42578125" customWidth="1"/>
    <col min="9987" max="9987" width="30.7109375" customWidth="1"/>
    <col min="9988" max="9988" width="12" customWidth="1"/>
    <col min="9989" max="9989" width="16" bestFit="1" customWidth="1"/>
    <col min="9990" max="9992" width="12.28515625" customWidth="1"/>
    <col min="9993" max="9993" width="15.42578125" customWidth="1"/>
    <col min="10243" max="10243" width="30.7109375" customWidth="1"/>
    <col min="10244" max="10244" width="12" customWidth="1"/>
    <col min="10245" max="10245" width="16" bestFit="1" customWidth="1"/>
    <col min="10246" max="10248" width="12.28515625" customWidth="1"/>
    <col min="10249" max="10249" width="15.42578125" customWidth="1"/>
    <col min="10499" max="10499" width="30.7109375" customWidth="1"/>
    <col min="10500" max="10500" width="12" customWidth="1"/>
    <col min="10501" max="10501" width="16" bestFit="1" customWidth="1"/>
    <col min="10502" max="10504" width="12.28515625" customWidth="1"/>
    <col min="10505" max="10505" width="15.42578125" customWidth="1"/>
    <col min="10755" max="10755" width="30.7109375" customWidth="1"/>
    <col min="10756" max="10756" width="12" customWidth="1"/>
    <col min="10757" max="10757" width="16" bestFit="1" customWidth="1"/>
    <col min="10758" max="10760" width="12.28515625" customWidth="1"/>
    <col min="10761" max="10761" width="15.42578125" customWidth="1"/>
    <col min="11011" max="11011" width="30.7109375" customWidth="1"/>
    <col min="11012" max="11012" width="12" customWidth="1"/>
    <col min="11013" max="11013" width="16" bestFit="1" customWidth="1"/>
    <col min="11014" max="11016" width="12.28515625" customWidth="1"/>
    <col min="11017" max="11017" width="15.42578125" customWidth="1"/>
    <col min="11267" max="11267" width="30.7109375" customWidth="1"/>
    <col min="11268" max="11268" width="12" customWidth="1"/>
    <col min="11269" max="11269" width="16" bestFit="1" customWidth="1"/>
    <col min="11270" max="11272" width="12.28515625" customWidth="1"/>
    <col min="11273" max="11273" width="15.42578125" customWidth="1"/>
    <col min="11523" max="11523" width="30.7109375" customWidth="1"/>
    <col min="11524" max="11524" width="12" customWidth="1"/>
    <col min="11525" max="11525" width="16" bestFit="1" customWidth="1"/>
    <col min="11526" max="11528" width="12.28515625" customWidth="1"/>
    <col min="11529" max="11529" width="15.42578125" customWidth="1"/>
    <col min="11779" max="11779" width="30.7109375" customWidth="1"/>
    <col min="11780" max="11780" width="12" customWidth="1"/>
    <col min="11781" max="11781" width="16" bestFit="1" customWidth="1"/>
    <col min="11782" max="11784" width="12.28515625" customWidth="1"/>
    <col min="11785" max="11785" width="15.42578125" customWidth="1"/>
    <col min="12035" max="12035" width="30.7109375" customWidth="1"/>
    <col min="12036" max="12036" width="12" customWidth="1"/>
    <col min="12037" max="12037" width="16" bestFit="1" customWidth="1"/>
    <col min="12038" max="12040" width="12.28515625" customWidth="1"/>
    <col min="12041" max="12041" width="15.42578125" customWidth="1"/>
    <col min="12291" max="12291" width="30.7109375" customWidth="1"/>
    <col min="12292" max="12292" width="12" customWidth="1"/>
    <col min="12293" max="12293" width="16" bestFit="1" customWidth="1"/>
    <col min="12294" max="12296" width="12.28515625" customWidth="1"/>
    <col min="12297" max="12297" width="15.42578125" customWidth="1"/>
    <col min="12547" max="12547" width="30.7109375" customWidth="1"/>
    <col min="12548" max="12548" width="12" customWidth="1"/>
    <col min="12549" max="12549" width="16" bestFit="1" customWidth="1"/>
    <col min="12550" max="12552" width="12.28515625" customWidth="1"/>
    <col min="12553" max="12553" width="15.42578125" customWidth="1"/>
    <col min="12803" max="12803" width="30.7109375" customWidth="1"/>
    <col min="12804" max="12804" width="12" customWidth="1"/>
    <col min="12805" max="12805" width="16" bestFit="1" customWidth="1"/>
    <col min="12806" max="12808" width="12.28515625" customWidth="1"/>
    <col min="12809" max="12809" width="15.42578125" customWidth="1"/>
    <col min="13059" max="13059" width="30.7109375" customWidth="1"/>
    <col min="13060" max="13060" width="12" customWidth="1"/>
    <col min="13061" max="13061" width="16" bestFit="1" customWidth="1"/>
    <col min="13062" max="13064" width="12.28515625" customWidth="1"/>
    <col min="13065" max="13065" width="15.42578125" customWidth="1"/>
    <col min="13315" max="13315" width="30.7109375" customWidth="1"/>
    <col min="13316" max="13316" width="12" customWidth="1"/>
    <col min="13317" max="13317" width="16" bestFit="1" customWidth="1"/>
    <col min="13318" max="13320" width="12.28515625" customWidth="1"/>
    <col min="13321" max="13321" width="15.42578125" customWidth="1"/>
    <col min="13571" max="13571" width="30.7109375" customWidth="1"/>
    <col min="13572" max="13572" width="12" customWidth="1"/>
    <col min="13573" max="13573" width="16" bestFit="1" customWidth="1"/>
    <col min="13574" max="13576" width="12.28515625" customWidth="1"/>
    <col min="13577" max="13577" width="15.42578125" customWidth="1"/>
    <col min="13827" max="13827" width="30.7109375" customWidth="1"/>
    <col min="13828" max="13828" width="12" customWidth="1"/>
    <col min="13829" max="13829" width="16" bestFit="1" customWidth="1"/>
    <col min="13830" max="13832" width="12.28515625" customWidth="1"/>
    <col min="13833" max="13833" width="15.42578125" customWidth="1"/>
    <col min="14083" max="14083" width="30.7109375" customWidth="1"/>
    <col min="14084" max="14084" width="12" customWidth="1"/>
    <col min="14085" max="14085" width="16" bestFit="1" customWidth="1"/>
    <col min="14086" max="14088" width="12.28515625" customWidth="1"/>
    <col min="14089" max="14089" width="15.42578125" customWidth="1"/>
    <col min="14339" max="14339" width="30.7109375" customWidth="1"/>
    <col min="14340" max="14340" width="12" customWidth="1"/>
    <col min="14341" max="14341" width="16" bestFit="1" customWidth="1"/>
    <col min="14342" max="14344" width="12.28515625" customWidth="1"/>
    <col min="14345" max="14345" width="15.42578125" customWidth="1"/>
    <col min="14595" max="14595" width="30.7109375" customWidth="1"/>
    <col min="14596" max="14596" width="12" customWidth="1"/>
    <col min="14597" max="14597" width="16" bestFit="1" customWidth="1"/>
    <col min="14598" max="14600" width="12.28515625" customWidth="1"/>
    <col min="14601" max="14601" width="15.42578125" customWidth="1"/>
    <col min="14851" max="14851" width="30.7109375" customWidth="1"/>
    <col min="14852" max="14852" width="12" customWidth="1"/>
    <col min="14853" max="14853" width="16" bestFit="1" customWidth="1"/>
    <col min="14854" max="14856" width="12.28515625" customWidth="1"/>
    <col min="14857" max="14857" width="15.42578125" customWidth="1"/>
    <col min="15107" max="15107" width="30.7109375" customWidth="1"/>
    <col min="15108" max="15108" width="12" customWidth="1"/>
    <col min="15109" max="15109" width="16" bestFit="1" customWidth="1"/>
    <col min="15110" max="15112" width="12.28515625" customWidth="1"/>
    <col min="15113" max="15113" width="15.42578125" customWidth="1"/>
    <col min="15363" max="15363" width="30.7109375" customWidth="1"/>
    <col min="15364" max="15364" width="12" customWidth="1"/>
    <col min="15365" max="15365" width="16" bestFit="1" customWidth="1"/>
    <col min="15366" max="15368" width="12.28515625" customWidth="1"/>
    <col min="15369" max="15369" width="15.42578125" customWidth="1"/>
    <col min="15619" max="15619" width="30.7109375" customWidth="1"/>
    <col min="15620" max="15620" width="12" customWidth="1"/>
    <col min="15621" max="15621" width="16" bestFit="1" customWidth="1"/>
    <col min="15622" max="15624" width="12.28515625" customWidth="1"/>
    <col min="15625" max="15625" width="15.42578125" customWidth="1"/>
    <col min="15875" max="15875" width="30.7109375" customWidth="1"/>
    <col min="15876" max="15876" width="12" customWidth="1"/>
    <col min="15877" max="15877" width="16" bestFit="1" customWidth="1"/>
    <col min="15878" max="15880" width="12.28515625" customWidth="1"/>
    <col min="15881" max="15881" width="15.42578125" customWidth="1"/>
    <col min="16131" max="16131" width="30.7109375" customWidth="1"/>
    <col min="16132" max="16132" width="12" customWidth="1"/>
    <col min="16133" max="16133" width="16" bestFit="1" customWidth="1"/>
    <col min="16134" max="16136" width="12.28515625" customWidth="1"/>
    <col min="16137" max="16137" width="15.42578125" customWidth="1"/>
  </cols>
  <sheetData>
    <row r="3" spans="1:9" ht="18" x14ac:dyDescent="0.25">
      <c r="B3" s="76" t="s">
        <v>699</v>
      </c>
      <c r="C3" s="79"/>
    </row>
    <row r="4" spans="1:9" ht="18" x14ac:dyDescent="0.25">
      <c r="B4" s="79"/>
      <c r="C4" s="79"/>
    </row>
    <row r="5" spans="1:9" ht="18" x14ac:dyDescent="0.25">
      <c r="B5" s="1" t="s">
        <v>700</v>
      </c>
      <c r="C5" s="79"/>
      <c r="F5" s="62"/>
    </row>
    <row r="7" spans="1:9" x14ac:dyDescent="0.2">
      <c r="A7" s="80" t="s">
        <v>701</v>
      </c>
      <c r="B7" s="81" t="s">
        <v>702</v>
      </c>
      <c r="C7" s="81" t="s">
        <v>357</v>
      </c>
      <c r="D7" s="81" t="s">
        <v>358</v>
      </c>
      <c r="E7" s="81" t="s">
        <v>703</v>
      </c>
      <c r="H7" s="81" t="s">
        <v>704</v>
      </c>
    </row>
    <row r="8" spans="1:9" x14ac:dyDescent="0.2">
      <c r="A8" s="80"/>
      <c r="B8" s="82" t="s">
        <v>361</v>
      </c>
      <c r="C8" s="80" t="s">
        <v>362</v>
      </c>
      <c r="D8" s="80" t="s">
        <v>363</v>
      </c>
      <c r="E8" s="80" t="s">
        <v>364</v>
      </c>
    </row>
    <row r="9" spans="1:9" ht="28.5" customHeight="1" x14ac:dyDescent="0.2">
      <c r="A9" s="83">
        <v>1</v>
      </c>
      <c r="B9" s="84">
        <v>813001</v>
      </c>
      <c r="C9" t="s">
        <v>705</v>
      </c>
      <c r="D9" s="61">
        <f>+D12*(H9/H$12)</f>
        <v>170803.00399285558</v>
      </c>
      <c r="E9" s="83" t="s">
        <v>706</v>
      </c>
      <c r="G9" s="85"/>
      <c r="H9" s="61">
        <v>188327</v>
      </c>
      <c r="I9" s="86"/>
    </row>
    <row r="10" spans="1:9" x14ac:dyDescent="0.2">
      <c r="A10" s="83">
        <f>+A9+1</f>
        <v>2</v>
      </c>
      <c r="B10" s="84">
        <v>813002</v>
      </c>
      <c r="C10" t="s">
        <v>707</v>
      </c>
      <c r="D10" s="58">
        <f>+D12*(H10/H$12)</f>
        <v>81434.053139032156</v>
      </c>
      <c r="E10" s="83" t="s">
        <v>708</v>
      </c>
      <c r="F10" s="87"/>
      <c r="G10" s="85"/>
      <c r="H10" s="61">
        <v>89789</v>
      </c>
      <c r="I10" s="86"/>
    </row>
    <row r="11" spans="1:9" x14ac:dyDescent="0.2">
      <c r="A11" s="83">
        <f t="shared" ref="A11:A21" si="0">+A10+1</f>
        <v>3</v>
      </c>
      <c r="B11" s="84">
        <v>813003</v>
      </c>
      <c r="C11" t="s">
        <v>709</v>
      </c>
      <c r="D11" s="58">
        <f>+D12*(H11/H$12)</f>
        <v>19425.942868112241</v>
      </c>
      <c r="E11" s="83" t="s">
        <v>706</v>
      </c>
      <c r="G11" s="85"/>
      <c r="H11" s="61">
        <v>21419</v>
      </c>
      <c r="I11" s="86"/>
    </row>
    <row r="12" spans="1:9" x14ac:dyDescent="0.2">
      <c r="A12" s="83"/>
      <c r="B12" s="84">
        <v>813</v>
      </c>
      <c r="D12" s="88">
        <v>271663</v>
      </c>
      <c r="E12" s="83"/>
      <c r="G12" s="85"/>
      <c r="H12" s="89">
        <f>SUM(H9:H11)</f>
        <v>299535</v>
      </c>
      <c r="I12" s="86"/>
    </row>
    <row r="13" spans="1:9" x14ac:dyDescent="0.2">
      <c r="A13" s="83">
        <f>+A11+1</f>
        <v>4</v>
      </c>
      <c r="B13" s="84">
        <v>871001</v>
      </c>
      <c r="C13" t="s">
        <v>710</v>
      </c>
      <c r="D13" s="58">
        <f>+D15*(H13/H15)</f>
        <v>103561.95733218004</v>
      </c>
      <c r="E13" s="83" t="s">
        <v>706</v>
      </c>
      <c r="G13" s="85"/>
      <c r="H13" s="61">
        <v>113101</v>
      </c>
      <c r="I13" s="86"/>
    </row>
    <row r="14" spans="1:9" x14ac:dyDescent="0.2">
      <c r="A14" s="83">
        <f t="shared" si="0"/>
        <v>5</v>
      </c>
      <c r="B14" s="84">
        <v>871021</v>
      </c>
      <c r="C14" t="s">
        <v>711</v>
      </c>
      <c r="D14" s="63">
        <f>+D15*H14/H15</f>
        <v>44642.042667819966</v>
      </c>
      <c r="E14" s="83" t="s">
        <v>708</v>
      </c>
      <c r="F14" s="87"/>
      <c r="G14" s="85"/>
      <c r="H14" s="61">
        <v>48754</v>
      </c>
      <c r="I14" s="86"/>
    </row>
    <row r="15" spans="1:9" x14ac:dyDescent="0.2">
      <c r="A15" s="83"/>
      <c r="B15" s="84">
        <v>871</v>
      </c>
      <c r="D15" s="90">
        <v>148204</v>
      </c>
      <c r="E15" s="83"/>
      <c r="F15" s="87"/>
      <c r="G15" s="85"/>
      <c r="H15" s="89">
        <f>SUM(H13:H14)</f>
        <v>161855</v>
      </c>
      <c r="I15" s="86"/>
    </row>
    <row r="16" spans="1:9" ht="13.5" thickBot="1" x14ac:dyDescent="0.25">
      <c r="A16" s="83">
        <f>+A14+1</f>
        <v>6</v>
      </c>
      <c r="C16" s="1" t="s">
        <v>112</v>
      </c>
      <c r="D16" s="91">
        <f>SUM(D9:D14)</f>
        <v>691530</v>
      </c>
      <c r="F16" s="92"/>
      <c r="G16" s="93"/>
    </row>
    <row r="17" spans="1:6" ht="13.5" thickTop="1" x14ac:dyDescent="0.2">
      <c r="A17" s="83">
        <f t="shared" si="0"/>
        <v>7</v>
      </c>
      <c r="D17" s="92"/>
      <c r="F17" s="92"/>
    </row>
    <row r="18" spans="1:6" x14ac:dyDescent="0.2">
      <c r="A18" s="83">
        <f t="shared" si="0"/>
        <v>8</v>
      </c>
      <c r="E18" s="94" t="s">
        <v>712</v>
      </c>
      <c r="F18" s="95"/>
    </row>
    <row r="19" spans="1:6" x14ac:dyDescent="0.2">
      <c r="A19" s="83">
        <f t="shared" si="0"/>
        <v>9</v>
      </c>
      <c r="B19" t="s">
        <v>713</v>
      </c>
      <c r="D19" s="96">
        <f>D10+D14</f>
        <v>126076.09580685213</v>
      </c>
      <c r="E19" s="97">
        <f>D19/D16</f>
        <v>0.18231471636350141</v>
      </c>
      <c r="F19" s="62" t="s">
        <v>351</v>
      </c>
    </row>
    <row r="20" spans="1:6" x14ac:dyDescent="0.2">
      <c r="A20" s="83">
        <f t="shared" si="0"/>
        <v>10</v>
      </c>
      <c r="B20" t="s">
        <v>714</v>
      </c>
      <c r="D20" s="92">
        <f>D16-D19</f>
        <v>565453.9041931479</v>
      </c>
      <c r="E20" s="97">
        <f>1-E19</f>
        <v>0.81768528363649862</v>
      </c>
      <c r="F20" s="69" t="s">
        <v>351</v>
      </c>
    </row>
    <row r="21" spans="1:6" ht="13.5" thickBot="1" x14ac:dyDescent="0.25">
      <c r="A21" s="83">
        <f t="shared" si="0"/>
        <v>11</v>
      </c>
      <c r="C21" t="s">
        <v>112</v>
      </c>
      <c r="D21" s="91">
        <f>SUM(D19:D20)</f>
        <v>691530</v>
      </c>
    </row>
    <row r="22" spans="1:6" ht="13.5" thickTop="1" x14ac:dyDescent="0.2"/>
    <row r="23" spans="1:6" x14ac:dyDescent="0.2">
      <c r="B23" s="98" t="s">
        <v>715</v>
      </c>
      <c r="C23" s="98"/>
      <c r="D23" s="98"/>
    </row>
    <row r="24" spans="1:6" x14ac:dyDescent="0.2">
      <c r="B24" s="98"/>
      <c r="C24" s="98" t="s">
        <v>716</v>
      </c>
      <c r="D24" s="99">
        <f>2.5/4</f>
        <v>0.625</v>
      </c>
      <c r="E24" s="98"/>
    </row>
    <row r="25" spans="1:6" x14ac:dyDescent="0.2">
      <c r="B25" s="98"/>
      <c r="C25" s="98" t="s">
        <v>717</v>
      </c>
      <c r="D25" s="99">
        <f>1-D24</f>
        <v>0.375</v>
      </c>
    </row>
    <row r="26" spans="1:6" ht="13.5" thickBot="1" x14ac:dyDescent="0.25">
      <c r="B26" s="98"/>
      <c r="C26" s="98" t="s">
        <v>112</v>
      </c>
      <c r="D26" s="100">
        <f>SUM(D24:D25)</f>
        <v>1</v>
      </c>
    </row>
    <row r="27" spans="1:6" ht="13.5" thickTop="1" x14ac:dyDescent="0.2">
      <c r="B27" s="98"/>
      <c r="C27" s="98"/>
      <c r="D27" s="98"/>
    </row>
    <row r="28" spans="1:6" x14ac:dyDescent="0.2">
      <c r="B28" s="98" t="s">
        <v>718</v>
      </c>
      <c r="C28" s="98"/>
      <c r="D28" s="98"/>
    </row>
    <row r="29" spans="1:6" x14ac:dyDescent="0.2">
      <c r="B29" s="98"/>
      <c r="C29" s="98" t="s">
        <v>716</v>
      </c>
      <c r="D29" s="101">
        <f>+D19*D24</f>
        <v>78797.559879282577</v>
      </c>
    </row>
    <row r="30" spans="1:6" x14ac:dyDescent="0.2">
      <c r="B30" s="98"/>
      <c r="C30" s="98" t="s">
        <v>717</v>
      </c>
      <c r="D30" s="101">
        <f>+D19*D25</f>
        <v>47278.535927569552</v>
      </c>
    </row>
    <row r="31" spans="1:6" ht="13.5" thickBot="1" x14ac:dyDescent="0.25">
      <c r="B31" s="98"/>
      <c r="C31" s="98" t="s">
        <v>112</v>
      </c>
      <c r="D31" s="102">
        <f>SUM(D29:D30)</f>
        <v>126076.09580685213</v>
      </c>
    </row>
    <row r="32" spans="1:6" ht="13.5" thickTop="1" x14ac:dyDescent="0.2"/>
    <row r="36" spans="2:2" x14ac:dyDescent="0.2">
      <c r="B36" s="103" t="s">
        <v>719</v>
      </c>
    </row>
  </sheetData>
  <pageMargins left="0.7" right="0.7" top="1.4270833333333299" bottom="0.75" header="0.3" footer="0.3"/>
  <pageSetup orientation="portrait" horizontalDpi="1200" verticalDpi="1200" r:id="rId1"/>
  <headerFooter>
    <oddHeader>&amp;CMIDAMERICAN ENERGY COMPANY
2026 SOUTH DAKOTA GAS RATE CASE
Docket No. NG26-___
Statement O-Workpapers Support
FOR THE YEAR ENDING DECEMBER 31, 2025&amp;RStratton Direct Exhibit 1.2, WP1
Page &amp;P of &amp;N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3A2D-63A1-4883-A7A9-FECDDED169ED}">
  <dimension ref="A1:P145"/>
  <sheetViews>
    <sheetView view="pageLayout" zoomScaleNormal="100" workbookViewId="0">
      <selection activeCell="Q4" sqref="Q4"/>
    </sheetView>
  </sheetViews>
  <sheetFormatPr defaultRowHeight="12.75" outlineLevelCol="1" x14ac:dyDescent="0.2"/>
  <cols>
    <col min="1" max="1" width="13.7109375" style="4" bestFit="1" customWidth="1"/>
    <col min="2" max="2" width="22.28515625" style="4" bestFit="1" customWidth="1"/>
    <col min="3" max="3" width="12.5703125" style="4" bestFit="1" customWidth="1"/>
    <col min="4" max="4" width="13" style="4" bestFit="1" customWidth="1"/>
    <col min="5" max="15" width="13" style="4" hidden="1" customWidth="1" outlineLevel="1"/>
    <col min="16" max="16" width="10.28515625" style="4" bestFit="1" customWidth="1" collapsed="1"/>
    <col min="17" max="63" width="13" style="4" bestFit="1" customWidth="1"/>
    <col min="64" max="64" width="12.140625" style="4" bestFit="1" customWidth="1"/>
    <col min="65" max="16384" width="9.140625" style="4"/>
  </cols>
  <sheetData>
    <row r="1" spans="1:16" ht="12" x14ac:dyDescent="0.2">
      <c r="A1" s="4" t="s">
        <v>20</v>
      </c>
      <c r="B1" s="4" t="s">
        <v>21</v>
      </c>
    </row>
    <row r="2" spans="1:16" ht="12" x14ac:dyDescent="0.2">
      <c r="B2" s="4" t="s">
        <v>22</v>
      </c>
    </row>
    <row r="3" spans="1:16" ht="12" x14ac:dyDescent="0.2">
      <c r="B3" s="4" t="s">
        <v>23</v>
      </c>
    </row>
    <row r="4" spans="1:16" ht="12" x14ac:dyDescent="0.2">
      <c r="B4" s="4" t="s">
        <v>24</v>
      </c>
    </row>
    <row r="8" spans="1:16" ht="12" x14ac:dyDescent="0.2">
      <c r="A8" s="341" t="s">
        <v>25</v>
      </c>
      <c r="B8" s="341"/>
      <c r="C8" s="341"/>
      <c r="D8" s="341" t="s">
        <v>26</v>
      </c>
      <c r="E8" s="341"/>
      <c r="F8" s="341"/>
      <c r="G8" s="341"/>
      <c r="H8" s="341"/>
      <c r="I8" s="341"/>
      <c r="J8" s="341"/>
      <c r="K8" s="341"/>
      <c r="L8" s="341"/>
      <c r="M8" s="341"/>
      <c r="N8" s="341"/>
      <c r="O8" s="341"/>
      <c r="P8" s="341"/>
    </row>
    <row r="9" spans="1:16" ht="12" x14ac:dyDescent="0.2">
      <c r="A9" s="341" t="s">
        <v>27</v>
      </c>
      <c r="B9" s="341" t="s">
        <v>28</v>
      </c>
      <c r="C9" s="341" t="s">
        <v>29</v>
      </c>
      <c r="D9" s="341">
        <v>202501</v>
      </c>
      <c r="E9" s="341">
        <v>202502</v>
      </c>
      <c r="F9" s="341">
        <v>202503</v>
      </c>
      <c r="G9" s="341">
        <v>202504</v>
      </c>
      <c r="H9" s="341">
        <v>202505</v>
      </c>
      <c r="I9" s="341">
        <v>202506</v>
      </c>
      <c r="J9" s="341">
        <v>202507</v>
      </c>
      <c r="K9" s="341">
        <v>202508</v>
      </c>
      <c r="L9" s="341">
        <v>202509</v>
      </c>
      <c r="M9" s="341">
        <v>202510</v>
      </c>
      <c r="N9" s="341">
        <v>202511</v>
      </c>
      <c r="O9" s="341">
        <v>202512</v>
      </c>
      <c r="P9" s="341" t="s">
        <v>30</v>
      </c>
    </row>
    <row r="10" spans="1:16" ht="12" x14ac:dyDescent="0.2">
      <c r="A10" s="342">
        <v>18</v>
      </c>
      <c r="B10" s="342" t="s">
        <v>31</v>
      </c>
      <c r="C10" s="4" t="s">
        <v>32</v>
      </c>
      <c r="D10" s="5">
        <v>1</v>
      </c>
      <c r="E10" s="5">
        <v>1</v>
      </c>
      <c r="F10" s="5">
        <v>1</v>
      </c>
      <c r="G10" s="5">
        <v>1</v>
      </c>
      <c r="H10" s="5">
        <v>1</v>
      </c>
      <c r="I10" s="5">
        <v>1</v>
      </c>
      <c r="J10" s="5">
        <v>1</v>
      </c>
      <c r="K10" s="5">
        <v>1</v>
      </c>
      <c r="L10" s="5">
        <v>1</v>
      </c>
      <c r="M10" s="5">
        <v>1</v>
      </c>
      <c r="N10" s="5">
        <v>1</v>
      </c>
      <c r="O10" s="5">
        <v>1</v>
      </c>
      <c r="P10" s="5">
        <v>12</v>
      </c>
    </row>
    <row r="11" spans="1:16" ht="12" x14ac:dyDescent="0.2">
      <c r="A11" s="342">
        <v>18</v>
      </c>
      <c r="B11" s="342" t="s">
        <v>33</v>
      </c>
      <c r="C11" s="342"/>
      <c r="D11" s="343">
        <v>1</v>
      </c>
      <c r="E11" s="343">
        <v>1</v>
      </c>
      <c r="F11" s="343">
        <v>1</v>
      </c>
      <c r="G11" s="343">
        <v>1</v>
      </c>
      <c r="H11" s="343">
        <v>1</v>
      </c>
      <c r="I11" s="343">
        <v>1</v>
      </c>
      <c r="J11" s="343">
        <v>1</v>
      </c>
      <c r="K11" s="343">
        <v>1</v>
      </c>
      <c r="L11" s="343">
        <v>1</v>
      </c>
      <c r="M11" s="343">
        <v>1</v>
      </c>
      <c r="N11" s="343">
        <v>1</v>
      </c>
      <c r="O11" s="343">
        <v>1</v>
      </c>
      <c r="P11" s="343">
        <v>12</v>
      </c>
    </row>
    <row r="12" spans="1:16" ht="12" x14ac:dyDescent="0.2">
      <c r="A12" s="342">
        <v>18</v>
      </c>
      <c r="B12" s="342" t="s">
        <v>34</v>
      </c>
      <c r="C12" s="4" t="s">
        <v>35</v>
      </c>
      <c r="D12" s="5">
        <v>1</v>
      </c>
      <c r="E12" s="5">
        <v>1</v>
      </c>
      <c r="F12" s="5">
        <v>1</v>
      </c>
      <c r="G12" s="5">
        <v>1</v>
      </c>
      <c r="H12" s="5">
        <v>1</v>
      </c>
      <c r="I12" s="5">
        <v>1</v>
      </c>
      <c r="J12" s="5">
        <v>1</v>
      </c>
      <c r="K12" s="5">
        <v>1</v>
      </c>
      <c r="L12" s="5">
        <v>1</v>
      </c>
      <c r="M12" s="5">
        <v>1</v>
      </c>
      <c r="N12" s="5">
        <v>1</v>
      </c>
      <c r="O12" s="5">
        <v>1</v>
      </c>
      <c r="P12" s="5">
        <v>12</v>
      </c>
    </row>
    <row r="13" spans="1:16" ht="12" x14ac:dyDescent="0.2">
      <c r="A13" s="342">
        <v>18</v>
      </c>
      <c r="B13" s="342" t="s">
        <v>34</v>
      </c>
      <c r="C13" s="4" t="s">
        <v>36</v>
      </c>
      <c r="D13" s="5">
        <v>10</v>
      </c>
      <c r="E13" s="5">
        <v>10</v>
      </c>
      <c r="F13" s="5">
        <v>10</v>
      </c>
      <c r="G13" s="5">
        <v>10</v>
      </c>
      <c r="H13" s="5">
        <v>9</v>
      </c>
      <c r="I13" s="5">
        <v>9</v>
      </c>
      <c r="J13" s="5">
        <v>9</v>
      </c>
      <c r="K13" s="5">
        <v>9</v>
      </c>
      <c r="L13" s="5">
        <v>9</v>
      </c>
      <c r="M13" s="5">
        <v>9</v>
      </c>
      <c r="N13" s="5">
        <v>9</v>
      </c>
      <c r="O13" s="5">
        <v>9</v>
      </c>
      <c r="P13" s="5">
        <v>112</v>
      </c>
    </row>
    <row r="14" spans="1:16" ht="12" x14ac:dyDescent="0.2">
      <c r="A14" s="342">
        <v>18</v>
      </c>
      <c r="B14" s="342" t="s">
        <v>34</v>
      </c>
      <c r="C14" s="4" t="s">
        <v>37</v>
      </c>
      <c r="D14" s="5">
        <v>4</v>
      </c>
      <c r="E14" s="5">
        <v>4</v>
      </c>
      <c r="F14" s="5">
        <v>4</v>
      </c>
      <c r="G14" s="5">
        <v>4</v>
      </c>
      <c r="H14" s="5">
        <v>4</v>
      </c>
      <c r="I14" s="5">
        <v>4</v>
      </c>
      <c r="J14" s="5">
        <v>4</v>
      </c>
      <c r="K14" s="5">
        <v>4</v>
      </c>
      <c r="L14" s="5">
        <v>4</v>
      </c>
      <c r="M14" s="5">
        <v>4</v>
      </c>
      <c r="N14" s="5">
        <v>4</v>
      </c>
      <c r="O14" s="5">
        <v>4</v>
      </c>
      <c r="P14" s="5">
        <v>48</v>
      </c>
    </row>
    <row r="15" spans="1:16" ht="12" x14ac:dyDescent="0.2">
      <c r="A15" s="342">
        <v>18</v>
      </c>
      <c r="B15" s="342" t="s">
        <v>34</v>
      </c>
      <c r="C15" s="4" t="s">
        <v>32</v>
      </c>
      <c r="D15" s="5">
        <v>1.986</v>
      </c>
      <c r="E15" s="5">
        <v>2</v>
      </c>
      <c r="F15" s="5">
        <v>2</v>
      </c>
      <c r="G15" s="5">
        <v>2</v>
      </c>
      <c r="H15" s="5">
        <v>2</v>
      </c>
      <c r="I15" s="5">
        <v>2</v>
      </c>
      <c r="J15" s="5">
        <v>2</v>
      </c>
      <c r="K15" s="5">
        <v>2</v>
      </c>
      <c r="L15" s="5">
        <v>2</v>
      </c>
      <c r="M15" s="5">
        <v>2</v>
      </c>
      <c r="N15" s="5">
        <v>2</v>
      </c>
      <c r="O15" s="5">
        <v>2</v>
      </c>
      <c r="P15" s="5">
        <v>23.986000000000001</v>
      </c>
    </row>
    <row r="16" spans="1:16" ht="12" x14ac:dyDescent="0.2">
      <c r="A16" s="342">
        <v>18</v>
      </c>
      <c r="B16" s="342" t="s">
        <v>34</v>
      </c>
      <c r="C16" s="4" t="s">
        <v>38</v>
      </c>
      <c r="D16" s="5">
        <v>1</v>
      </c>
      <c r="E16" s="5">
        <v>1</v>
      </c>
      <c r="F16" s="5">
        <v>1</v>
      </c>
      <c r="G16" s="5">
        <v>1</v>
      </c>
      <c r="H16" s="5">
        <v>1</v>
      </c>
      <c r="I16" s="5">
        <v>1</v>
      </c>
      <c r="J16" s="5">
        <v>1</v>
      </c>
      <c r="K16" s="5">
        <v>1</v>
      </c>
      <c r="L16" s="5">
        <v>1</v>
      </c>
      <c r="M16" s="5">
        <v>1</v>
      </c>
      <c r="N16" s="5">
        <v>1</v>
      </c>
      <c r="O16" s="5">
        <v>1</v>
      </c>
      <c r="P16" s="5">
        <v>12</v>
      </c>
    </row>
    <row r="17" spans="1:16" ht="12" x14ac:dyDescent="0.2">
      <c r="A17" s="342">
        <v>18</v>
      </c>
      <c r="B17" s="342" t="s">
        <v>34</v>
      </c>
      <c r="C17" s="4" t="s">
        <v>39</v>
      </c>
      <c r="D17" s="5">
        <v>1</v>
      </c>
      <c r="E17" s="5">
        <v>1</v>
      </c>
      <c r="F17" s="5">
        <v>1</v>
      </c>
      <c r="G17" s="5">
        <v>1</v>
      </c>
      <c r="H17" s="5">
        <v>1</v>
      </c>
      <c r="I17" s="5">
        <v>1</v>
      </c>
      <c r="J17" s="5">
        <v>1</v>
      </c>
      <c r="K17" s="5">
        <v>1</v>
      </c>
      <c r="L17" s="5">
        <v>1</v>
      </c>
      <c r="M17" s="5">
        <v>1</v>
      </c>
      <c r="N17" s="5">
        <v>1</v>
      </c>
      <c r="O17" s="5">
        <v>1</v>
      </c>
      <c r="P17" s="5">
        <v>12</v>
      </c>
    </row>
    <row r="18" spans="1:16" ht="12" x14ac:dyDescent="0.2">
      <c r="A18" s="342">
        <v>18</v>
      </c>
      <c r="B18" s="342" t="s">
        <v>34</v>
      </c>
      <c r="C18" s="4" t="s">
        <v>40</v>
      </c>
      <c r="D18" s="5">
        <v>1</v>
      </c>
      <c r="E18" s="5">
        <v>1</v>
      </c>
      <c r="F18" s="5">
        <v>1</v>
      </c>
      <c r="G18" s="5">
        <v>1</v>
      </c>
      <c r="H18" s="5">
        <v>1</v>
      </c>
      <c r="I18" s="5">
        <v>1</v>
      </c>
      <c r="J18" s="5">
        <v>1</v>
      </c>
      <c r="K18" s="5">
        <v>1</v>
      </c>
      <c r="L18" s="5">
        <v>1</v>
      </c>
      <c r="M18" s="5">
        <v>1</v>
      </c>
      <c r="N18" s="5">
        <v>1</v>
      </c>
      <c r="O18" s="5">
        <v>1</v>
      </c>
      <c r="P18" s="5">
        <v>12</v>
      </c>
    </row>
    <row r="19" spans="1:16" ht="12" x14ac:dyDescent="0.2">
      <c r="A19" s="342">
        <v>18</v>
      </c>
      <c r="B19" s="342" t="s">
        <v>34</v>
      </c>
      <c r="C19" s="4" t="s">
        <v>41</v>
      </c>
      <c r="D19" s="5">
        <v>1</v>
      </c>
      <c r="E19" s="5">
        <v>1</v>
      </c>
      <c r="F19" s="5">
        <v>1</v>
      </c>
      <c r="G19" s="5">
        <v>1</v>
      </c>
      <c r="H19" s="5">
        <v>1</v>
      </c>
      <c r="I19" s="5">
        <v>1</v>
      </c>
      <c r="J19" s="5">
        <v>1</v>
      </c>
      <c r="K19" s="5">
        <v>1</v>
      </c>
      <c r="L19" s="5">
        <v>1</v>
      </c>
      <c r="M19" s="5">
        <v>1</v>
      </c>
      <c r="N19" s="5">
        <v>1</v>
      </c>
      <c r="O19" s="5">
        <v>1</v>
      </c>
      <c r="P19" s="5">
        <v>12</v>
      </c>
    </row>
    <row r="20" spans="1:16" ht="12" x14ac:dyDescent="0.2">
      <c r="A20" s="342">
        <v>18</v>
      </c>
      <c r="B20" s="342" t="s">
        <v>42</v>
      </c>
      <c r="C20" s="342"/>
      <c r="D20" s="343">
        <v>20.986000000000001</v>
      </c>
      <c r="E20" s="343">
        <v>21</v>
      </c>
      <c r="F20" s="343">
        <v>21</v>
      </c>
      <c r="G20" s="343">
        <v>21</v>
      </c>
      <c r="H20" s="343">
        <v>20</v>
      </c>
      <c r="I20" s="343">
        <v>20</v>
      </c>
      <c r="J20" s="343">
        <v>20</v>
      </c>
      <c r="K20" s="343">
        <v>20</v>
      </c>
      <c r="L20" s="343">
        <v>20</v>
      </c>
      <c r="M20" s="343">
        <v>20</v>
      </c>
      <c r="N20" s="343">
        <v>20</v>
      </c>
      <c r="O20" s="343">
        <v>20</v>
      </c>
      <c r="P20" s="343">
        <v>243.98599999999999</v>
      </c>
    </row>
    <row r="21" spans="1:16" ht="12" x14ac:dyDescent="0.2">
      <c r="A21" s="342">
        <v>18</v>
      </c>
      <c r="B21" s="342" t="s">
        <v>43</v>
      </c>
      <c r="C21" s="4" t="s">
        <v>44</v>
      </c>
      <c r="D21" s="5">
        <v>6</v>
      </c>
      <c r="E21" s="5">
        <v>10</v>
      </c>
      <c r="F21" s="5">
        <v>10</v>
      </c>
      <c r="G21" s="5">
        <v>10</v>
      </c>
      <c r="H21" s="5">
        <v>10</v>
      </c>
      <c r="I21" s="5">
        <v>10</v>
      </c>
      <c r="J21" s="5">
        <v>11</v>
      </c>
      <c r="K21" s="5">
        <v>10</v>
      </c>
      <c r="L21" s="5">
        <v>10</v>
      </c>
      <c r="M21" s="5">
        <v>12</v>
      </c>
      <c r="N21" s="5">
        <v>7</v>
      </c>
      <c r="O21" s="5">
        <v>10</v>
      </c>
      <c r="P21" s="5">
        <v>116</v>
      </c>
    </row>
    <row r="22" spans="1:16" ht="12" x14ac:dyDescent="0.2">
      <c r="A22" s="342">
        <v>18</v>
      </c>
      <c r="B22" s="342" t="s">
        <v>43</v>
      </c>
      <c r="C22" s="4" t="s">
        <v>45</v>
      </c>
      <c r="D22" s="5">
        <v>1</v>
      </c>
      <c r="E22" s="5">
        <v>2</v>
      </c>
      <c r="F22" s="5">
        <v>2</v>
      </c>
      <c r="G22" s="5">
        <v>3</v>
      </c>
      <c r="H22" s="5">
        <v>3</v>
      </c>
      <c r="I22" s="5">
        <v>3</v>
      </c>
      <c r="J22" s="5">
        <v>3</v>
      </c>
      <c r="K22" s="5">
        <v>2.2669999999999999</v>
      </c>
      <c r="L22" s="5">
        <v>2</v>
      </c>
      <c r="M22" s="5">
        <v>2</v>
      </c>
      <c r="N22" s="5">
        <v>2</v>
      </c>
      <c r="O22" s="5">
        <v>2</v>
      </c>
      <c r="P22" s="5">
        <v>27.266999999999999</v>
      </c>
    </row>
    <row r="23" spans="1:16" ht="12" x14ac:dyDescent="0.2">
      <c r="A23" s="342">
        <v>18</v>
      </c>
      <c r="B23" s="342" t="s">
        <v>43</v>
      </c>
      <c r="C23" s="4" t="s">
        <v>46</v>
      </c>
      <c r="D23" s="5">
        <v>11</v>
      </c>
      <c r="E23" s="5">
        <v>13</v>
      </c>
      <c r="F23" s="5">
        <v>13</v>
      </c>
      <c r="G23" s="5">
        <v>13</v>
      </c>
      <c r="H23" s="5">
        <v>13</v>
      </c>
      <c r="I23" s="5">
        <v>13</v>
      </c>
      <c r="J23" s="5">
        <v>13</v>
      </c>
      <c r="K23" s="5">
        <v>13.465999999999999</v>
      </c>
      <c r="L23" s="5">
        <v>11</v>
      </c>
      <c r="M23" s="5">
        <v>11</v>
      </c>
      <c r="N23" s="5">
        <v>11</v>
      </c>
      <c r="O23" s="5">
        <v>11</v>
      </c>
      <c r="P23" s="5">
        <v>146.46600000000001</v>
      </c>
    </row>
    <row r="24" spans="1:16" ht="12" x14ac:dyDescent="0.2">
      <c r="A24" s="342">
        <v>18</v>
      </c>
      <c r="B24" s="342" t="s">
        <v>43</v>
      </c>
      <c r="C24" s="4" t="s">
        <v>47</v>
      </c>
      <c r="D24" s="5">
        <v>14</v>
      </c>
      <c r="E24" s="5">
        <v>14</v>
      </c>
      <c r="F24" s="5">
        <v>14</v>
      </c>
      <c r="G24" s="5">
        <v>14</v>
      </c>
      <c r="H24" s="5">
        <v>15</v>
      </c>
      <c r="I24" s="5">
        <v>14</v>
      </c>
      <c r="J24" s="5">
        <v>14</v>
      </c>
      <c r="K24" s="5">
        <v>14</v>
      </c>
      <c r="L24" s="5">
        <v>14</v>
      </c>
      <c r="M24" s="5">
        <v>17</v>
      </c>
      <c r="N24" s="5">
        <v>9</v>
      </c>
      <c r="O24" s="5">
        <v>15</v>
      </c>
      <c r="P24" s="5">
        <v>168</v>
      </c>
    </row>
    <row r="25" spans="1:16" ht="12" x14ac:dyDescent="0.2">
      <c r="A25" s="342">
        <v>18</v>
      </c>
      <c r="B25" s="342" t="s">
        <v>43</v>
      </c>
      <c r="C25" s="4" t="s">
        <v>48</v>
      </c>
      <c r="D25" s="5">
        <v>1</v>
      </c>
      <c r="E25" s="5">
        <v>1</v>
      </c>
      <c r="F25" s="5">
        <v>1</v>
      </c>
      <c r="G25" s="5">
        <v>1</v>
      </c>
      <c r="H25" s="5">
        <v>1</v>
      </c>
      <c r="I25" s="5">
        <v>1</v>
      </c>
      <c r="J25" s="5">
        <v>1</v>
      </c>
      <c r="K25" s="5">
        <v>1</v>
      </c>
      <c r="L25" s="5">
        <v>1</v>
      </c>
      <c r="M25" s="5">
        <v>1</v>
      </c>
      <c r="N25" s="5">
        <v>1</v>
      </c>
      <c r="O25" s="5">
        <v>1</v>
      </c>
      <c r="P25" s="5">
        <v>12</v>
      </c>
    </row>
    <row r="26" spans="1:16" ht="12" x14ac:dyDescent="0.2">
      <c r="A26" s="342">
        <v>18</v>
      </c>
      <c r="B26" s="342" t="s">
        <v>43</v>
      </c>
      <c r="C26" s="4" t="s">
        <v>49</v>
      </c>
      <c r="D26" s="5">
        <v>3</v>
      </c>
      <c r="E26" s="5">
        <v>3</v>
      </c>
      <c r="F26" s="5">
        <v>3</v>
      </c>
      <c r="G26" s="5">
        <v>3</v>
      </c>
      <c r="H26" s="5">
        <v>3</v>
      </c>
      <c r="I26" s="5">
        <v>3</v>
      </c>
      <c r="J26" s="5">
        <v>3</v>
      </c>
      <c r="K26" s="5">
        <v>3</v>
      </c>
      <c r="L26" s="5">
        <v>3</v>
      </c>
      <c r="M26" s="5">
        <v>3</v>
      </c>
      <c r="N26" s="5">
        <v>3</v>
      </c>
      <c r="O26" s="5">
        <v>3</v>
      </c>
      <c r="P26" s="5">
        <v>36</v>
      </c>
    </row>
    <row r="27" spans="1:16" ht="12" x14ac:dyDescent="0.2">
      <c r="A27" s="342">
        <v>18</v>
      </c>
      <c r="B27" s="342" t="s">
        <v>43</v>
      </c>
      <c r="C27" s="4" t="s">
        <v>50</v>
      </c>
      <c r="D27" s="5">
        <v>5</v>
      </c>
      <c r="E27" s="5">
        <v>5</v>
      </c>
      <c r="F27" s="5">
        <v>5</v>
      </c>
      <c r="G27" s="5">
        <v>5</v>
      </c>
      <c r="H27" s="5">
        <v>5</v>
      </c>
      <c r="I27" s="5">
        <v>5</v>
      </c>
      <c r="J27" s="5">
        <v>5</v>
      </c>
      <c r="K27" s="5">
        <v>5.2</v>
      </c>
      <c r="L27" s="5">
        <v>6</v>
      </c>
      <c r="M27" s="5">
        <v>6</v>
      </c>
      <c r="N27" s="5">
        <v>6</v>
      </c>
      <c r="O27" s="5">
        <v>6</v>
      </c>
      <c r="P27" s="5">
        <v>64.2</v>
      </c>
    </row>
    <row r="28" spans="1:16" ht="12" x14ac:dyDescent="0.2">
      <c r="A28" s="342">
        <v>18</v>
      </c>
      <c r="B28" s="342" t="s">
        <v>43</v>
      </c>
      <c r="C28" s="4" t="s">
        <v>51</v>
      </c>
      <c r="D28" s="5">
        <v>37</v>
      </c>
      <c r="E28" s="5">
        <v>37</v>
      </c>
      <c r="F28" s="5">
        <v>37</v>
      </c>
      <c r="G28" s="5">
        <v>38</v>
      </c>
      <c r="H28" s="5">
        <v>38</v>
      </c>
      <c r="I28" s="5">
        <v>39</v>
      </c>
      <c r="J28" s="5">
        <v>40</v>
      </c>
      <c r="K28" s="5">
        <v>39</v>
      </c>
      <c r="L28" s="5">
        <v>39</v>
      </c>
      <c r="M28" s="5">
        <v>42</v>
      </c>
      <c r="N28" s="5">
        <v>37</v>
      </c>
      <c r="O28" s="5">
        <v>40</v>
      </c>
      <c r="P28" s="5">
        <v>463</v>
      </c>
    </row>
    <row r="29" spans="1:16" ht="12" x14ac:dyDescent="0.2">
      <c r="A29" s="342">
        <v>18</v>
      </c>
      <c r="B29" s="342" t="s">
        <v>43</v>
      </c>
      <c r="C29" s="4" t="s">
        <v>52</v>
      </c>
      <c r="D29" s="5">
        <v>28</v>
      </c>
      <c r="E29" s="5">
        <v>30</v>
      </c>
      <c r="F29" s="5">
        <v>30</v>
      </c>
      <c r="G29" s="5">
        <v>29</v>
      </c>
      <c r="H29" s="5">
        <v>30</v>
      </c>
      <c r="I29" s="5">
        <v>30</v>
      </c>
      <c r="J29" s="5">
        <v>31</v>
      </c>
      <c r="K29" s="5">
        <v>30</v>
      </c>
      <c r="L29" s="5">
        <v>29.632999999999999</v>
      </c>
      <c r="M29" s="5">
        <v>31</v>
      </c>
      <c r="N29" s="5">
        <v>26</v>
      </c>
      <c r="O29" s="5">
        <v>28</v>
      </c>
      <c r="P29" s="5">
        <v>352.63299999999998</v>
      </c>
    </row>
    <row r="30" spans="1:16" ht="12" x14ac:dyDescent="0.2">
      <c r="A30" s="342">
        <v>18</v>
      </c>
      <c r="B30" s="342" t="s">
        <v>43</v>
      </c>
      <c r="C30" s="4" t="s">
        <v>53</v>
      </c>
      <c r="D30" s="5">
        <v>3</v>
      </c>
      <c r="E30" s="5">
        <v>3</v>
      </c>
      <c r="F30" s="5">
        <v>3</v>
      </c>
      <c r="G30" s="5">
        <v>3</v>
      </c>
      <c r="H30" s="5">
        <v>3</v>
      </c>
      <c r="I30" s="5">
        <v>2</v>
      </c>
      <c r="J30" s="5">
        <v>2</v>
      </c>
      <c r="K30" s="5">
        <v>2</v>
      </c>
      <c r="L30" s="5">
        <v>2</v>
      </c>
      <c r="M30" s="5">
        <v>2</v>
      </c>
      <c r="N30" s="5">
        <v>2</v>
      </c>
      <c r="O30" s="5">
        <v>2</v>
      </c>
      <c r="P30" s="5">
        <v>29</v>
      </c>
    </row>
    <row r="31" spans="1:16" ht="12" x14ac:dyDescent="0.2">
      <c r="A31" s="342">
        <v>18</v>
      </c>
      <c r="B31" s="342" t="s">
        <v>43</v>
      </c>
      <c r="C31" s="4" t="s">
        <v>54</v>
      </c>
      <c r="D31" s="5">
        <v>3</v>
      </c>
      <c r="E31" s="5">
        <v>3</v>
      </c>
      <c r="F31" s="5">
        <v>3</v>
      </c>
      <c r="G31" s="5">
        <v>3</v>
      </c>
      <c r="H31" s="5">
        <v>3</v>
      </c>
      <c r="I31" s="5">
        <v>3</v>
      </c>
      <c r="J31" s="5">
        <v>3</v>
      </c>
      <c r="K31" s="5">
        <v>3</v>
      </c>
      <c r="L31" s="5">
        <v>3</v>
      </c>
      <c r="M31" s="5">
        <v>3</v>
      </c>
      <c r="N31" s="5">
        <v>3</v>
      </c>
      <c r="O31" s="5">
        <v>3</v>
      </c>
      <c r="P31" s="5">
        <v>36</v>
      </c>
    </row>
    <row r="32" spans="1:16" ht="12" x14ac:dyDescent="0.2">
      <c r="A32" s="342">
        <v>18</v>
      </c>
      <c r="B32" s="342" t="s">
        <v>43</v>
      </c>
      <c r="C32" s="4" t="s">
        <v>55</v>
      </c>
      <c r="D32" s="5">
        <v>2</v>
      </c>
      <c r="E32" s="5">
        <v>2</v>
      </c>
      <c r="F32" s="5">
        <v>2</v>
      </c>
      <c r="G32" s="5">
        <v>2</v>
      </c>
      <c r="H32" s="5">
        <v>2</v>
      </c>
      <c r="I32" s="5">
        <v>2</v>
      </c>
      <c r="J32" s="5">
        <v>2</v>
      </c>
      <c r="K32" s="5">
        <v>2</v>
      </c>
      <c r="L32" s="5">
        <v>2</v>
      </c>
      <c r="M32" s="5">
        <v>2</v>
      </c>
      <c r="N32" s="5">
        <v>1</v>
      </c>
      <c r="O32" s="5">
        <v>2.8330000000000002</v>
      </c>
      <c r="P32" s="5">
        <v>23.832999999999998</v>
      </c>
    </row>
    <row r="33" spans="1:16" ht="12" x14ac:dyDescent="0.2">
      <c r="A33" s="342">
        <v>18</v>
      </c>
      <c r="B33" s="342" t="s">
        <v>43</v>
      </c>
      <c r="C33" s="4" t="s">
        <v>56</v>
      </c>
      <c r="D33" s="5">
        <v>83</v>
      </c>
      <c r="E33" s="5">
        <v>81</v>
      </c>
      <c r="F33" s="5">
        <v>83</v>
      </c>
      <c r="G33" s="5">
        <v>87</v>
      </c>
      <c r="H33" s="5">
        <v>90.966999999999999</v>
      </c>
      <c r="I33" s="5">
        <v>91</v>
      </c>
      <c r="J33" s="5">
        <v>93</v>
      </c>
      <c r="K33" s="5">
        <v>91.2</v>
      </c>
      <c r="L33" s="5">
        <v>91</v>
      </c>
      <c r="M33" s="5">
        <v>96.733000000000004</v>
      </c>
      <c r="N33" s="5">
        <v>85.766999999999996</v>
      </c>
      <c r="O33" s="5">
        <v>97</v>
      </c>
      <c r="P33" s="5">
        <v>1070.6670000000001</v>
      </c>
    </row>
    <row r="34" spans="1:16" ht="12" x14ac:dyDescent="0.2">
      <c r="A34" s="342">
        <v>18</v>
      </c>
      <c r="B34" s="342" t="s">
        <v>43</v>
      </c>
      <c r="C34" s="4" t="s">
        <v>57</v>
      </c>
      <c r="D34" s="5">
        <v>62.232999999999997</v>
      </c>
      <c r="E34" s="5">
        <v>63</v>
      </c>
      <c r="F34" s="5">
        <v>63.9</v>
      </c>
      <c r="G34" s="5">
        <v>66</v>
      </c>
      <c r="H34" s="5">
        <v>65</v>
      </c>
      <c r="I34" s="5">
        <v>69.900000000000006</v>
      </c>
      <c r="J34" s="5">
        <v>70</v>
      </c>
      <c r="K34" s="5">
        <v>69</v>
      </c>
      <c r="L34" s="5">
        <v>69</v>
      </c>
      <c r="M34" s="5">
        <v>71</v>
      </c>
      <c r="N34" s="5">
        <v>65</v>
      </c>
      <c r="O34" s="5">
        <v>70.832999999999998</v>
      </c>
      <c r="P34" s="5">
        <v>804.86599999999999</v>
      </c>
    </row>
    <row r="35" spans="1:16" ht="12" x14ac:dyDescent="0.2">
      <c r="A35" s="342">
        <v>18</v>
      </c>
      <c r="B35" s="342" t="s">
        <v>43</v>
      </c>
      <c r="C35" s="4" t="s">
        <v>35</v>
      </c>
      <c r="D35" s="5">
        <v>50</v>
      </c>
      <c r="E35" s="5">
        <v>49</v>
      </c>
      <c r="F35" s="5">
        <v>49</v>
      </c>
      <c r="G35" s="5">
        <v>51</v>
      </c>
      <c r="H35" s="5">
        <v>53.2</v>
      </c>
      <c r="I35" s="5">
        <v>54</v>
      </c>
      <c r="J35" s="5">
        <v>58</v>
      </c>
      <c r="K35" s="5">
        <v>56.866</v>
      </c>
      <c r="L35" s="5">
        <v>54.9</v>
      </c>
      <c r="M35" s="5">
        <v>57</v>
      </c>
      <c r="N35" s="5">
        <v>50.267000000000003</v>
      </c>
      <c r="O35" s="5">
        <v>58</v>
      </c>
      <c r="P35" s="5">
        <v>641.23299999999995</v>
      </c>
    </row>
    <row r="36" spans="1:16" ht="12" x14ac:dyDescent="0.2">
      <c r="A36" s="342">
        <v>18</v>
      </c>
      <c r="B36" s="342" t="s">
        <v>43</v>
      </c>
      <c r="C36" s="4" t="s">
        <v>36</v>
      </c>
      <c r="D36" s="5">
        <v>24</v>
      </c>
      <c r="E36" s="5">
        <v>23</v>
      </c>
      <c r="F36" s="5">
        <v>24</v>
      </c>
      <c r="G36" s="5">
        <v>25</v>
      </c>
      <c r="H36" s="5">
        <v>24</v>
      </c>
      <c r="I36" s="5">
        <v>24</v>
      </c>
      <c r="J36" s="5">
        <v>24.867000000000001</v>
      </c>
      <c r="K36" s="5">
        <v>24</v>
      </c>
      <c r="L36" s="5">
        <v>24</v>
      </c>
      <c r="M36" s="5">
        <v>27</v>
      </c>
      <c r="N36" s="5">
        <v>20</v>
      </c>
      <c r="O36" s="5">
        <v>24</v>
      </c>
      <c r="P36" s="5">
        <v>287.86699999999996</v>
      </c>
    </row>
    <row r="37" spans="1:16" ht="12" x14ac:dyDescent="0.2">
      <c r="A37" s="342">
        <v>18</v>
      </c>
      <c r="B37" s="342" t="s">
        <v>43</v>
      </c>
      <c r="C37" s="4" t="s">
        <v>37</v>
      </c>
      <c r="D37" s="5">
        <v>6</v>
      </c>
      <c r="E37" s="5">
        <v>6</v>
      </c>
      <c r="F37" s="5">
        <v>6</v>
      </c>
      <c r="G37" s="5">
        <v>6</v>
      </c>
      <c r="H37" s="5">
        <v>6</v>
      </c>
      <c r="I37" s="5">
        <v>6</v>
      </c>
      <c r="J37" s="5">
        <v>6</v>
      </c>
      <c r="K37" s="5">
        <v>6</v>
      </c>
      <c r="L37" s="5">
        <v>6</v>
      </c>
      <c r="M37" s="5">
        <v>6</v>
      </c>
      <c r="N37" s="5">
        <v>6</v>
      </c>
      <c r="O37" s="5">
        <v>5</v>
      </c>
      <c r="P37" s="5">
        <v>71</v>
      </c>
    </row>
    <row r="38" spans="1:16" ht="12" x14ac:dyDescent="0.2">
      <c r="A38" s="342">
        <v>18</v>
      </c>
      <c r="B38" s="342" t="s">
        <v>43</v>
      </c>
      <c r="C38" s="4" t="s">
        <v>41</v>
      </c>
      <c r="D38" s="5">
        <v>197.13399999999999</v>
      </c>
      <c r="E38" s="5">
        <v>56</v>
      </c>
      <c r="F38" s="5"/>
      <c r="G38" s="5"/>
      <c r="H38" s="5"/>
      <c r="I38" s="5"/>
      <c r="J38" s="5"/>
      <c r="K38" s="5"/>
      <c r="L38" s="5">
        <v>1</v>
      </c>
      <c r="M38" s="5"/>
      <c r="N38" s="5"/>
      <c r="O38" s="5"/>
      <c r="P38" s="5">
        <v>254.13399999999999</v>
      </c>
    </row>
    <row r="39" spans="1:16" ht="12" x14ac:dyDescent="0.2">
      <c r="A39" s="342">
        <v>18</v>
      </c>
      <c r="B39" s="342" t="s">
        <v>58</v>
      </c>
      <c r="C39" s="342"/>
      <c r="D39" s="343">
        <v>536.36699999999996</v>
      </c>
      <c r="E39" s="343">
        <v>401</v>
      </c>
      <c r="F39" s="343">
        <v>348.9</v>
      </c>
      <c r="G39" s="343">
        <v>359</v>
      </c>
      <c r="H39" s="343">
        <v>365.16699999999997</v>
      </c>
      <c r="I39" s="343">
        <v>369.9</v>
      </c>
      <c r="J39" s="343">
        <v>379.86700000000002</v>
      </c>
      <c r="K39" s="343">
        <v>371.99899999999997</v>
      </c>
      <c r="L39" s="343">
        <v>368.53299999999996</v>
      </c>
      <c r="M39" s="343">
        <v>389.733</v>
      </c>
      <c r="N39" s="343">
        <v>335.03399999999999</v>
      </c>
      <c r="O39" s="343">
        <v>378.666</v>
      </c>
      <c r="P39" s="343">
        <v>4604.1660000000002</v>
      </c>
    </row>
    <row r="40" spans="1:16" ht="12" x14ac:dyDescent="0.2">
      <c r="A40" s="342">
        <v>18</v>
      </c>
      <c r="B40" s="342" t="s">
        <v>59</v>
      </c>
      <c r="C40" s="4" t="s">
        <v>60</v>
      </c>
      <c r="D40" s="5">
        <v>18</v>
      </c>
      <c r="E40" s="5">
        <v>18</v>
      </c>
      <c r="F40" s="5">
        <v>18</v>
      </c>
      <c r="G40" s="5">
        <v>18</v>
      </c>
      <c r="H40" s="5">
        <v>18.733000000000001</v>
      </c>
      <c r="I40" s="5">
        <v>19</v>
      </c>
      <c r="J40" s="5">
        <v>22</v>
      </c>
      <c r="K40" s="5">
        <v>19</v>
      </c>
      <c r="L40" s="5">
        <v>19</v>
      </c>
      <c r="M40" s="5">
        <v>21</v>
      </c>
      <c r="N40" s="5">
        <v>14</v>
      </c>
      <c r="O40" s="5">
        <v>22</v>
      </c>
      <c r="P40" s="5">
        <v>226.733</v>
      </c>
    </row>
    <row r="41" spans="1:16" ht="12" x14ac:dyDescent="0.2">
      <c r="A41" s="342">
        <v>18</v>
      </c>
      <c r="B41" s="342" t="s">
        <v>59</v>
      </c>
      <c r="C41" s="4" t="s">
        <v>61</v>
      </c>
      <c r="D41" s="5">
        <v>-12.6</v>
      </c>
      <c r="E41" s="5">
        <v>2.633</v>
      </c>
      <c r="F41" s="5">
        <v>2</v>
      </c>
      <c r="G41" s="5">
        <v>2</v>
      </c>
      <c r="H41" s="5">
        <v>3</v>
      </c>
      <c r="I41" s="5">
        <v>3</v>
      </c>
      <c r="J41" s="5">
        <v>3</v>
      </c>
      <c r="K41" s="5">
        <v>3</v>
      </c>
      <c r="L41" s="5">
        <v>3</v>
      </c>
      <c r="M41" s="5">
        <v>3</v>
      </c>
      <c r="N41" s="5">
        <v>2</v>
      </c>
      <c r="O41" s="5">
        <v>2</v>
      </c>
      <c r="P41" s="5">
        <v>16.033000000000001</v>
      </c>
    </row>
    <row r="42" spans="1:16" ht="12" x14ac:dyDescent="0.2">
      <c r="A42" s="342">
        <v>18</v>
      </c>
      <c r="B42" s="342" t="s">
        <v>59</v>
      </c>
      <c r="C42" s="4" t="s">
        <v>62</v>
      </c>
      <c r="D42" s="5">
        <v>1</v>
      </c>
      <c r="E42" s="5">
        <v>1</v>
      </c>
      <c r="F42" s="5">
        <v>1</v>
      </c>
      <c r="G42" s="5">
        <v>1</v>
      </c>
      <c r="H42" s="5">
        <v>1</v>
      </c>
      <c r="I42" s="5">
        <v>1.0329999999999999</v>
      </c>
      <c r="J42" s="5">
        <v>1</v>
      </c>
      <c r="K42" s="5">
        <v>1</v>
      </c>
      <c r="L42" s="5">
        <v>1</v>
      </c>
      <c r="M42" s="5">
        <v>1</v>
      </c>
      <c r="N42" s="5">
        <v>1</v>
      </c>
      <c r="O42" s="5">
        <v>1</v>
      </c>
      <c r="P42" s="5">
        <v>12.032999999999999</v>
      </c>
    </row>
    <row r="43" spans="1:16" ht="12" x14ac:dyDescent="0.2">
      <c r="A43" s="342">
        <v>18</v>
      </c>
      <c r="B43" s="342" t="s">
        <v>59</v>
      </c>
      <c r="C43" s="4" t="s">
        <v>44</v>
      </c>
      <c r="D43" s="5">
        <v>48.732999999999997</v>
      </c>
      <c r="E43" s="5">
        <v>51.2</v>
      </c>
      <c r="F43" s="5">
        <v>51.667000000000002</v>
      </c>
      <c r="G43" s="5">
        <v>52</v>
      </c>
      <c r="H43" s="5">
        <v>50.966000000000001</v>
      </c>
      <c r="I43" s="5">
        <v>53</v>
      </c>
      <c r="J43" s="5">
        <v>56.6</v>
      </c>
      <c r="K43" s="5">
        <v>51</v>
      </c>
      <c r="L43" s="5">
        <v>51</v>
      </c>
      <c r="M43" s="5">
        <v>58</v>
      </c>
      <c r="N43" s="5">
        <v>40</v>
      </c>
      <c r="O43" s="5">
        <v>54.133000000000003</v>
      </c>
      <c r="P43" s="5">
        <v>618.29900000000009</v>
      </c>
    </row>
    <row r="44" spans="1:16" ht="12" x14ac:dyDescent="0.2">
      <c r="A44" s="342">
        <v>18</v>
      </c>
      <c r="B44" s="342" t="s">
        <v>59</v>
      </c>
      <c r="C44" s="4" t="s">
        <v>63</v>
      </c>
      <c r="D44" s="5">
        <v>3</v>
      </c>
      <c r="E44" s="5">
        <v>3</v>
      </c>
      <c r="F44" s="5">
        <v>3</v>
      </c>
      <c r="G44" s="5">
        <v>2.9660000000000002</v>
      </c>
      <c r="H44" s="5">
        <v>3</v>
      </c>
      <c r="I44" s="5">
        <v>2.9670000000000001</v>
      </c>
      <c r="J44" s="5">
        <v>3</v>
      </c>
      <c r="K44" s="5">
        <v>3</v>
      </c>
      <c r="L44" s="5">
        <v>3</v>
      </c>
      <c r="M44" s="5">
        <v>3</v>
      </c>
      <c r="N44" s="5">
        <v>3</v>
      </c>
      <c r="O44" s="5">
        <v>3</v>
      </c>
      <c r="P44" s="5">
        <v>35.933</v>
      </c>
    </row>
    <row r="45" spans="1:16" ht="12" x14ac:dyDescent="0.2">
      <c r="A45" s="342">
        <v>18</v>
      </c>
      <c r="B45" s="342" t="s">
        <v>59</v>
      </c>
      <c r="C45" s="4" t="s">
        <v>45</v>
      </c>
      <c r="D45" s="5">
        <v>5</v>
      </c>
      <c r="E45" s="5">
        <v>5</v>
      </c>
      <c r="F45" s="5">
        <v>5</v>
      </c>
      <c r="G45" s="5">
        <v>3.9660000000000002</v>
      </c>
      <c r="H45" s="5">
        <v>4</v>
      </c>
      <c r="I45" s="5">
        <v>4</v>
      </c>
      <c r="J45" s="5">
        <v>4</v>
      </c>
      <c r="K45" s="5">
        <v>4.7</v>
      </c>
      <c r="L45" s="5">
        <v>5</v>
      </c>
      <c r="M45" s="5">
        <v>6</v>
      </c>
      <c r="N45" s="5">
        <v>4</v>
      </c>
      <c r="O45" s="5">
        <v>5</v>
      </c>
      <c r="P45" s="5">
        <v>55.666000000000004</v>
      </c>
    </row>
    <row r="46" spans="1:16" ht="12" x14ac:dyDescent="0.2">
      <c r="A46" s="342">
        <v>18</v>
      </c>
      <c r="B46" s="342" t="s">
        <v>59</v>
      </c>
      <c r="C46" s="4" t="s">
        <v>46</v>
      </c>
      <c r="D46" s="5">
        <v>152.56700000000001</v>
      </c>
      <c r="E46" s="5">
        <v>148.43299999999999</v>
      </c>
      <c r="F46" s="5">
        <v>151</v>
      </c>
      <c r="G46" s="5">
        <v>153.09700000000001</v>
      </c>
      <c r="H46" s="5">
        <v>150.96600000000001</v>
      </c>
      <c r="I46" s="5">
        <v>151.13200000000001</v>
      </c>
      <c r="J46" s="5">
        <v>151</v>
      </c>
      <c r="K46" s="5">
        <v>139.96700000000001</v>
      </c>
      <c r="L46" s="5">
        <v>153.53399999999999</v>
      </c>
      <c r="M46" s="5">
        <v>165.96700000000001</v>
      </c>
      <c r="N46" s="5">
        <v>141</v>
      </c>
      <c r="O46" s="5">
        <v>155</v>
      </c>
      <c r="P46" s="5">
        <v>1813.663</v>
      </c>
    </row>
    <row r="47" spans="1:16" ht="12" x14ac:dyDescent="0.2">
      <c r="A47" s="342">
        <v>18</v>
      </c>
      <c r="B47" s="342" t="s">
        <v>59</v>
      </c>
      <c r="C47" s="4" t="s">
        <v>47</v>
      </c>
      <c r="D47" s="5">
        <v>164.86699999999999</v>
      </c>
      <c r="E47" s="5">
        <v>172</v>
      </c>
      <c r="F47" s="5">
        <v>190.4</v>
      </c>
      <c r="G47" s="5">
        <v>192.13399999999999</v>
      </c>
      <c r="H47" s="5">
        <v>188.4</v>
      </c>
      <c r="I47" s="5">
        <v>190.499</v>
      </c>
      <c r="J47" s="5">
        <v>194</v>
      </c>
      <c r="K47" s="5">
        <v>188.96700000000001</v>
      </c>
      <c r="L47" s="5">
        <v>190</v>
      </c>
      <c r="M47" s="5">
        <v>203</v>
      </c>
      <c r="N47" s="5">
        <v>163</v>
      </c>
      <c r="O47" s="5">
        <v>199</v>
      </c>
      <c r="P47" s="5">
        <v>2236.2669999999998</v>
      </c>
    </row>
    <row r="48" spans="1:16" ht="12" x14ac:dyDescent="0.2">
      <c r="A48" s="342">
        <v>18</v>
      </c>
      <c r="B48" s="342" t="s">
        <v>59</v>
      </c>
      <c r="C48" s="4" t="s">
        <v>48</v>
      </c>
      <c r="D48" s="5">
        <v>14</v>
      </c>
      <c r="E48" s="5">
        <v>14</v>
      </c>
      <c r="F48" s="5">
        <v>14</v>
      </c>
      <c r="G48" s="5">
        <v>14</v>
      </c>
      <c r="H48" s="5">
        <v>14</v>
      </c>
      <c r="I48" s="5">
        <v>14.132</v>
      </c>
      <c r="J48" s="5">
        <v>16</v>
      </c>
      <c r="K48" s="5">
        <v>14</v>
      </c>
      <c r="L48" s="5">
        <v>14</v>
      </c>
      <c r="M48" s="5">
        <v>14</v>
      </c>
      <c r="N48" s="5">
        <v>12</v>
      </c>
      <c r="O48" s="5">
        <v>14.467000000000001</v>
      </c>
      <c r="P48" s="5">
        <v>168.59900000000002</v>
      </c>
    </row>
    <row r="49" spans="1:16" ht="12" x14ac:dyDescent="0.2">
      <c r="A49" s="342">
        <v>18</v>
      </c>
      <c r="B49" s="342" t="s">
        <v>59</v>
      </c>
      <c r="C49" s="4" t="s">
        <v>49</v>
      </c>
      <c r="D49" s="5">
        <v>61</v>
      </c>
      <c r="E49" s="5">
        <v>63</v>
      </c>
      <c r="F49" s="5">
        <v>61.366999999999997</v>
      </c>
      <c r="G49" s="5">
        <v>60.6</v>
      </c>
      <c r="H49" s="5">
        <v>61</v>
      </c>
      <c r="I49" s="5">
        <v>61.066000000000003</v>
      </c>
      <c r="J49" s="5">
        <v>61</v>
      </c>
      <c r="K49" s="5">
        <v>60</v>
      </c>
      <c r="L49" s="5">
        <v>59</v>
      </c>
      <c r="M49" s="5">
        <v>62.8</v>
      </c>
      <c r="N49" s="5">
        <v>55</v>
      </c>
      <c r="O49" s="5">
        <v>59</v>
      </c>
      <c r="P49" s="5">
        <v>724.83299999999997</v>
      </c>
    </row>
    <row r="50" spans="1:16" ht="12" x14ac:dyDescent="0.2">
      <c r="A50" s="342">
        <v>18</v>
      </c>
      <c r="B50" s="342" t="s">
        <v>59</v>
      </c>
      <c r="C50" s="4" t="s">
        <v>50</v>
      </c>
      <c r="D50" s="5">
        <v>109.467</v>
      </c>
      <c r="E50" s="5">
        <v>102.6</v>
      </c>
      <c r="F50" s="5">
        <v>94.832999999999998</v>
      </c>
      <c r="G50" s="5">
        <v>110.934</v>
      </c>
      <c r="H50" s="5">
        <v>106.4</v>
      </c>
      <c r="I50" s="5">
        <v>106</v>
      </c>
      <c r="J50" s="5">
        <v>109</v>
      </c>
      <c r="K50" s="5">
        <v>106</v>
      </c>
      <c r="L50" s="5">
        <v>106</v>
      </c>
      <c r="M50" s="5">
        <v>117</v>
      </c>
      <c r="N50" s="5">
        <v>91.832999999999998</v>
      </c>
      <c r="O50" s="5">
        <v>106.467</v>
      </c>
      <c r="P50" s="5">
        <v>1266.5340000000001</v>
      </c>
    </row>
    <row r="51" spans="1:16" ht="12" x14ac:dyDescent="0.2">
      <c r="A51" s="342">
        <v>18</v>
      </c>
      <c r="B51" s="342" t="s">
        <v>59</v>
      </c>
      <c r="C51" s="4" t="s">
        <v>51</v>
      </c>
      <c r="D51" s="5">
        <v>206</v>
      </c>
      <c r="E51" s="5">
        <v>206</v>
      </c>
      <c r="F51" s="5">
        <v>214.96600000000001</v>
      </c>
      <c r="G51" s="5">
        <v>220</v>
      </c>
      <c r="H51" s="5">
        <v>219.06700000000001</v>
      </c>
      <c r="I51" s="5">
        <v>219.03299999999999</v>
      </c>
      <c r="J51" s="5">
        <v>235.066</v>
      </c>
      <c r="K51" s="5">
        <v>223</v>
      </c>
      <c r="L51" s="5">
        <v>223.333</v>
      </c>
      <c r="M51" s="5">
        <v>239</v>
      </c>
      <c r="N51" s="5">
        <v>197.03299999999999</v>
      </c>
      <c r="O51" s="5">
        <v>229</v>
      </c>
      <c r="P51" s="5">
        <v>2631.498</v>
      </c>
    </row>
    <row r="52" spans="1:16" ht="12" x14ac:dyDescent="0.2">
      <c r="A52" s="342">
        <v>18</v>
      </c>
      <c r="B52" s="342" t="s">
        <v>59</v>
      </c>
      <c r="C52" s="4" t="s">
        <v>52</v>
      </c>
      <c r="D52" s="5">
        <v>255</v>
      </c>
      <c r="E52" s="5">
        <v>255</v>
      </c>
      <c r="F52" s="5">
        <v>256</v>
      </c>
      <c r="G52" s="5">
        <v>259.96699999999998</v>
      </c>
      <c r="H52" s="5">
        <v>257</v>
      </c>
      <c r="I52" s="5">
        <v>254.13300000000001</v>
      </c>
      <c r="J52" s="5">
        <v>261.16699999999997</v>
      </c>
      <c r="K52" s="5">
        <v>254</v>
      </c>
      <c r="L52" s="5">
        <v>254</v>
      </c>
      <c r="M52" s="5">
        <v>282.49900000000002</v>
      </c>
      <c r="N52" s="5">
        <v>220</v>
      </c>
      <c r="O52" s="5">
        <v>255.733</v>
      </c>
      <c r="P52" s="5">
        <v>3064.4989999999998</v>
      </c>
    </row>
    <row r="53" spans="1:16" ht="12" x14ac:dyDescent="0.2">
      <c r="A53" s="342">
        <v>18</v>
      </c>
      <c r="B53" s="342" t="s">
        <v>59</v>
      </c>
      <c r="C53" s="4" t="s">
        <v>64</v>
      </c>
      <c r="D53" s="5">
        <v>1</v>
      </c>
      <c r="E53" s="5">
        <v>1</v>
      </c>
      <c r="F53" s="5">
        <v>1</v>
      </c>
      <c r="G53" s="5">
        <v>1</v>
      </c>
      <c r="H53" s="5">
        <v>1</v>
      </c>
      <c r="I53" s="5">
        <v>1</v>
      </c>
      <c r="J53" s="5">
        <v>1</v>
      </c>
      <c r="K53" s="5">
        <v>1</v>
      </c>
      <c r="L53" s="5">
        <v>1</v>
      </c>
      <c r="M53" s="5">
        <v>1</v>
      </c>
      <c r="N53" s="5">
        <v>1</v>
      </c>
      <c r="O53" s="5">
        <v>1</v>
      </c>
      <c r="P53" s="5">
        <v>12</v>
      </c>
    </row>
    <row r="54" spans="1:16" ht="12" x14ac:dyDescent="0.2">
      <c r="A54" s="342">
        <v>18</v>
      </c>
      <c r="B54" s="342" t="s">
        <v>59</v>
      </c>
      <c r="C54" s="4" t="s">
        <v>53</v>
      </c>
      <c r="D54" s="5">
        <v>15</v>
      </c>
      <c r="E54" s="5">
        <v>9</v>
      </c>
      <c r="F54" s="5">
        <v>15</v>
      </c>
      <c r="G54" s="5">
        <v>21</v>
      </c>
      <c r="H54" s="5">
        <v>12</v>
      </c>
      <c r="I54" s="5">
        <v>12</v>
      </c>
      <c r="J54" s="5">
        <v>13</v>
      </c>
      <c r="K54" s="5">
        <v>11</v>
      </c>
      <c r="L54" s="5">
        <v>13</v>
      </c>
      <c r="M54" s="5">
        <v>11</v>
      </c>
      <c r="N54" s="5">
        <v>11</v>
      </c>
      <c r="O54" s="5">
        <v>10</v>
      </c>
      <c r="P54" s="5">
        <v>153</v>
      </c>
    </row>
    <row r="55" spans="1:16" ht="12" x14ac:dyDescent="0.2">
      <c r="A55" s="342">
        <v>18</v>
      </c>
      <c r="B55" s="342" t="s">
        <v>59</v>
      </c>
      <c r="C55" s="4" t="s">
        <v>54</v>
      </c>
      <c r="D55" s="5">
        <v>2</v>
      </c>
      <c r="E55" s="5">
        <v>2</v>
      </c>
      <c r="F55" s="5">
        <v>2</v>
      </c>
      <c r="G55" s="5">
        <v>2</v>
      </c>
      <c r="H55" s="5">
        <v>2</v>
      </c>
      <c r="I55" s="5">
        <v>2</v>
      </c>
      <c r="J55" s="5">
        <v>2</v>
      </c>
      <c r="K55" s="5">
        <v>2</v>
      </c>
      <c r="L55" s="5">
        <v>2</v>
      </c>
      <c r="M55" s="5">
        <v>2</v>
      </c>
      <c r="N55" s="5">
        <v>2</v>
      </c>
      <c r="O55" s="5">
        <v>2</v>
      </c>
      <c r="P55" s="5">
        <v>24</v>
      </c>
    </row>
    <row r="56" spans="1:16" ht="12" x14ac:dyDescent="0.2">
      <c r="A56" s="342">
        <v>18</v>
      </c>
      <c r="B56" s="342" t="s">
        <v>59</v>
      </c>
      <c r="C56" s="4" t="s">
        <v>65</v>
      </c>
      <c r="D56" s="5">
        <v>1</v>
      </c>
      <c r="E56" s="5">
        <v>1</v>
      </c>
      <c r="F56" s="5">
        <v>1</v>
      </c>
      <c r="G56" s="5">
        <v>1</v>
      </c>
      <c r="H56" s="5">
        <v>1</v>
      </c>
      <c r="I56" s="5">
        <v>1</v>
      </c>
      <c r="J56" s="5">
        <v>1</v>
      </c>
      <c r="K56" s="5">
        <v>1</v>
      </c>
      <c r="L56" s="5">
        <v>1</v>
      </c>
      <c r="M56" s="5">
        <v>1</v>
      </c>
      <c r="N56" s="5">
        <v>1</v>
      </c>
      <c r="O56" s="5">
        <v>1</v>
      </c>
      <c r="P56" s="5">
        <v>12</v>
      </c>
    </row>
    <row r="57" spans="1:16" ht="12" x14ac:dyDescent="0.2">
      <c r="A57" s="342">
        <v>18</v>
      </c>
      <c r="B57" s="342" t="s">
        <v>59</v>
      </c>
      <c r="C57" s="4" t="s">
        <v>66</v>
      </c>
      <c r="D57" s="5">
        <v>1</v>
      </c>
      <c r="E57" s="5"/>
      <c r="F57" s="5">
        <v>1</v>
      </c>
      <c r="G57" s="5">
        <v>2</v>
      </c>
      <c r="H57" s="5">
        <v>1</v>
      </c>
      <c r="I57" s="5">
        <v>1</v>
      </c>
      <c r="J57" s="5">
        <v>1</v>
      </c>
      <c r="K57" s="5">
        <v>1</v>
      </c>
      <c r="L57" s="5">
        <v>1</v>
      </c>
      <c r="M57" s="5">
        <v>1</v>
      </c>
      <c r="N57" s="5">
        <v>1</v>
      </c>
      <c r="O57" s="5">
        <v>1</v>
      </c>
      <c r="P57" s="5">
        <v>12</v>
      </c>
    </row>
    <row r="58" spans="1:16" ht="12" x14ac:dyDescent="0.2">
      <c r="A58" s="342">
        <v>18</v>
      </c>
      <c r="B58" s="342" t="s">
        <v>59</v>
      </c>
      <c r="C58" s="4" t="s">
        <v>55</v>
      </c>
      <c r="D58" s="5">
        <v>4</v>
      </c>
      <c r="E58" s="5">
        <v>4</v>
      </c>
      <c r="F58" s="5">
        <v>4</v>
      </c>
      <c r="G58" s="5">
        <v>4</v>
      </c>
      <c r="H58" s="5">
        <v>3</v>
      </c>
      <c r="I58" s="5">
        <v>3</v>
      </c>
      <c r="J58" s="5">
        <v>2</v>
      </c>
      <c r="K58" s="5">
        <v>2</v>
      </c>
      <c r="L58" s="5">
        <v>2</v>
      </c>
      <c r="M58" s="5">
        <v>2</v>
      </c>
      <c r="N58" s="5">
        <v>2</v>
      </c>
      <c r="O58" s="5">
        <v>2</v>
      </c>
      <c r="P58" s="5">
        <v>34</v>
      </c>
    </row>
    <row r="59" spans="1:16" ht="12" x14ac:dyDescent="0.2">
      <c r="A59" s="342">
        <v>18</v>
      </c>
      <c r="B59" s="342" t="s">
        <v>59</v>
      </c>
      <c r="C59" s="4" t="s">
        <v>56</v>
      </c>
      <c r="D59" s="5">
        <v>215</v>
      </c>
      <c r="E59" s="5">
        <v>194</v>
      </c>
      <c r="F59" s="5">
        <v>215.167</v>
      </c>
      <c r="G59" s="5">
        <v>220.8</v>
      </c>
      <c r="H59" s="5">
        <v>202</v>
      </c>
      <c r="I59" s="5">
        <v>204</v>
      </c>
      <c r="J59" s="5">
        <v>213.066</v>
      </c>
      <c r="K59" s="5">
        <v>205.334</v>
      </c>
      <c r="L59" s="5">
        <v>207</v>
      </c>
      <c r="M59" s="5">
        <v>227</v>
      </c>
      <c r="N59" s="5">
        <v>178.5</v>
      </c>
      <c r="O59" s="5">
        <v>212.9</v>
      </c>
      <c r="P59" s="5">
        <v>2494.7670000000003</v>
      </c>
    </row>
    <row r="60" spans="1:16" ht="12" x14ac:dyDescent="0.2">
      <c r="A60" s="342">
        <v>18</v>
      </c>
      <c r="B60" s="342" t="s">
        <v>59</v>
      </c>
      <c r="C60" s="4" t="s">
        <v>57</v>
      </c>
      <c r="D60" s="5">
        <v>132</v>
      </c>
      <c r="E60" s="5">
        <v>125.8</v>
      </c>
      <c r="F60" s="5">
        <v>117.867</v>
      </c>
      <c r="G60" s="5">
        <v>132</v>
      </c>
      <c r="H60" s="5">
        <v>130</v>
      </c>
      <c r="I60" s="5">
        <v>128.233</v>
      </c>
      <c r="J60" s="5">
        <v>131.13399999999999</v>
      </c>
      <c r="K60" s="5">
        <v>127.833</v>
      </c>
      <c r="L60" s="5">
        <v>127.267</v>
      </c>
      <c r="M60" s="5">
        <v>139</v>
      </c>
      <c r="N60" s="5">
        <v>115.233</v>
      </c>
      <c r="O60" s="5">
        <v>129.03299999999999</v>
      </c>
      <c r="P60" s="5">
        <v>1535.4</v>
      </c>
    </row>
    <row r="61" spans="1:16" ht="12" x14ac:dyDescent="0.2">
      <c r="A61" s="342">
        <v>18</v>
      </c>
      <c r="B61" s="342" t="s">
        <v>59</v>
      </c>
      <c r="C61" s="4" t="s">
        <v>35</v>
      </c>
      <c r="D61" s="5">
        <v>43.067</v>
      </c>
      <c r="E61" s="5">
        <v>43</v>
      </c>
      <c r="F61" s="5">
        <v>44</v>
      </c>
      <c r="G61" s="5">
        <v>43</v>
      </c>
      <c r="H61" s="5">
        <v>40</v>
      </c>
      <c r="I61" s="5">
        <v>40.067</v>
      </c>
      <c r="J61" s="5">
        <v>43</v>
      </c>
      <c r="K61" s="5">
        <v>41</v>
      </c>
      <c r="L61" s="5">
        <v>41.067</v>
      </c>
      <c r="M61" s="5">
        <v>44</v>
      </c>
      <c r="N61" s="5">
        <v>38.6</v>
      </c>
      <c r="O61" s="5">
        <v>45.966999999999999</v>
      </c>
      <c r="P61" s="5">
        <v>506.76800000000003</v>
      </c>
    </row>
    <row r="62" spans="1:16" ht="12" x14ac:dyDescent="0.2">
      <c r="A62" s="342">
        <v>18</v>
      </c>
      <c r="B62" s="342" t="s">
        <v>59</v>
      </c>
      <c r="C62" s="4" t="s">
        <v>36</v>
      </c>
      <c r="D62" s="5">
        <v>21</v>
      </c>
      <c r="E62" s="5">
        <v>22</v>
      </c>
      <c r="F62" s="5">
        <v>21</v>
      </c>
      <c r="G62" s="5">
        <v>21</v>
      </c>
      <c r="H62" s="5">
        <v>21</v>
      </c>
      <c r="I62" s="5">
        <v>21</v>
      </c>
      <c r="J62" s="5">
        <v>22</v>
      </c>
      <c r="K62" s="5">
        <v>21</v>
      </c>
      <c r="L62" s="5">
        <v>21</v>
      </c>
      <c r="M62" s="5">
        <v>23.233000000000001</v>
      </c>
      <c r="N62" s="5">
        <v>21</v>
      </c>
      <c r="O62" s="5">
        <v>21</v>
      </c>
      <c r="P62" s="5">
        <v>256.233</v>
      </c>
    </row>
    <row r="63" spans="1:16" ht="12" x14ac:dyDescent="0.2">
      <c r="A63" s="342">
        <v>18</v>
      </c>
      <c r="B63" s="342" t="s">
        <v>59</v>
      </c>
      <c r="C63" s="4" t="s">
        <v>37</v>
      </c>
      <c r="D63" s="5">
        <v>4</v>
      </c>
      <c r="E63" s="5">
        <v>4</v>
      </c>
      <c r="F63" s="5">
        <v>4</v>
      </c>
      <c r="G63" s="5">
        <v>4</v>
      </c>
      <c r="H63" s="5">
        <v>4</v>
      </c>
      <c r="I63" s="5">
        <v>4</v>
      </c>
      <c r="J63" s="5">
        <v>4</v>
      </c>
      <c r="K63" s="5">
        <v>4</v>
      </c>
      <c r="L63" s="5">
        <v>4</v>
      </c>
      <c r="M63" s="5">
        <v>6</v>
      </c>
      <c r="N63" s="5">
        <v>3</v>
      </c>
      <c r="O63" s="5">
        <v>4</v>
      </c>
      <c r="P63" s="5">
        <v>49</v>
      </c>
    </row>
    <row r="64" spans="1:16" ht="12" x14ac:dyDescent="0.2">
      <c r="A64" s="342">
        <v>18</v>
      </c>
      <c r="B64" s="342" t="s">
        <v>59</v>
      </c>
      <c r="C64" s="4" t="s">
        <v>32</v>
      </c>
      <c r="D64" s="5">
        <v>1</v>
      </c>
      <c r="E64" s="5">
        <v>1</v>
      </c>
      <c r="F64" s="5">
        <v>1</v>
      </c>
      <c r="G64" s="5">
        <v>1</v>
      </c>
      <c r="H64" s="5">
        <v>1</v>
      </c>
      <c r="I64" s="5">
        <v>1</v>
      </c>
      <c r="J64" s="5">
        <v>1</v>
      </c>
      <c r="K64" s="5">
        <v>1</v>
      </c>
      <c r="L64" s="5">
        <v>1</v>
      </c>
      <c r="M64" s="5">
        <v>1</v>
      </c>
      <c r="N64" s="5">
        <v>1</v>
      </c>
      <c r="O64" s="5">
        <v>1</v>
      </c>
      <c r="P64" s="5">
        <v>12</v>
      </c>
    </row>
    <row r="65" spans="1:16" ht="12" x14ac:dyDescent="0.2">
      <c r="A65" s="342">
        <v>18</v>
      </c>
      <c r="B65" s="342" t="s">
        <v>59</v>
      </c>
      <c r="C65" s="4" t="s">
        <v>41</v>
      </c>
      <c r="D65" s="5">
        <v>257.8</v>
      </c>
      <c r="E65" s="5">
        <v>38.767000000000003</v>
      </c>
      <c r="F65" s="5">
        <v>114.133</v>
      </c>
      <c r="G65" s="5">
        <v>17.233000000000001</v>
      </c>
      <c r="H65" s="5">
        <v>26.3</v>
      </c>
      <c r="I65" s="5">
        <v>12.766999999999999</v>
      </c>
      <c r="J65" s="5"/>
      <c r="K65" s="5">
        <v>39.232999999999997</v>
      </c>
      <c r="L65" s="5">
        <v>64.600000000000009</v>
      </c>
      <c r="M65" s="5">
        <v>10</v>
      </c>
      <c r="N65" s="5">
        <v>13.733000000000001</v>
      </c>
      <c r="O65" s="5">
        <v>14.067</v>
      </c>
      <c r="P65" s="5">
        <v>608.63299999999992</v>
      </c>
    </row>
    <row r="66" spans="1:16" ht="12" x14ac:dyDescent="0.2">
      <c r="A66" s="342">
        <v>18</v>
      </c>
      <c r="B66" s="342" t="s">
        <v>67</v>
      </c>
      <c r="C66" s="342"/>
      <c r="D66" s="343">
        <v>1723.9010000000001</v>
      </c>
      <c r="E66" s="343">
        <v>1487.433</v>
      </c>
      <c r="F66" s="343">
        <v>1604.4</v>
      </c>
      <c r="G66" s="343">
        <v>1560.6969999999999</v>
      </c>
      <c r="H66" s="343">
        <v>1521.8320000000001</v>
      </c>
      <c r="I66" s="343">
        <v>1510.0619999999999</v>
      </c>
      <c r="J66" s="343">
        <v>1551.0330000000001</v>
      </c>
      <c r="K66" s="343">
        <v>1525.0340000000001</v>
      </c>
      <c r="L66" s="343">
        <v>1567.8009999999999</v>
      </c>
      <c r="M66" s="343">
        <v>1644.499</v>
      </c>
      <c r="N66" s="343">
        <v>1332.9319999999998</v>
      </c>
      <c r="O66" s="343">
        <v>1550.7670000000001</v>
      </c>
      <c r="P66" s="343">
        <v>18580.391000000003</v>
      </c>
    </row>
    <row r="67" spans="1:16" ht="12" x14ac:dyDescent="0.2">
      <c r="A67" s="342">
        <v>18</v>
      </c>
      <c r="B67" s="342" t="s">
        <v>68</v>
      </c>
      <c r="C67" s="4" t="s">
        <v>50</v>
      </c>
      <c r="D67" s="5">
        <v>1</v>
      </c>
      <c r="E67" s="5">
        <v>1</v>
      </c>
      <c r="F67" s="5">
        <v>1</v>
      </c>
      <c r="G67" s="5">
        <v>1</v>
      </c>
      <c r="H67" s="5">
        <v>1</v>
      </c>
      <c r="I67" s="5">
        <v>1</v>
      </c>
      <c r="J67" s="5">
        <v>1</v>
      </c>
      <c r="K67" s="5">
        <v>1</v>
      </c>
      <c r="L67" s="5"/>
      <c r="M67" s="5"/>
      <c r="N67" s="5"/>
      <c r="O67" s="5"/>
      <c r="P67" s="5">
        <v>8</v>
      </c>
    </row>
    <row r="68" spans="1:16" ht="12" x14ac:dyDescent="0.2">
      <c r="A68" s="342">
        <v>18</v>
      </c>
      <c r="B68" s="342" t="s">
        <v>68</v>
      </c>
      <c r="C68" s="4" t="s">
        <v>51</v>
      </c>
      <c r="D68" s="5">
        <v>2</v>
      </c>
      <c r="E68" s="5">
        <v>2</v>
      </c>
      <c r="F68" s="5">
        <v>2</v>
      </c>
      <c r="G68" s="5">
        <v>2</v>
      </c>
      <c r="H68" s="5">
        <v>2</v>
      </c>
      <c r="I68" s="5">
        <v>2</v>
      </c>
      <c r="J68" s="5">
        <v>2</v>
      </c>
      <c r="K68" s="5">
        <v>2</v>
      </c>
      <c r="L68" s="5">
        <v>2</v>
      </c>
      <c r="M68" s="5">
        <v>2</v>
      </c>
      <c r="N68" s="5">
        <v>2</v>
      </c>
      <c r="O68" s="5">
        <v>2</v>
      </c>
      <c r="P68" s="5">
        <v>24</v>
      </c>
    </row>
    <row r="69" spans="1:16" ht="12" x14ac:dyDescent="0.2">
      <c r="A69" s="342">
        <v>18</v>
      </c>
      <c r="B69" s="342" t="s">
        <v>68</v>
      </c>
      <c r="C69" s="4" t="s">
        <v>52</v>
      </c>
      <c r="D69" s="5">
        <v>4</v>
      </c>
      <c r="E69" s="5">
        <v>4</v>
      </c>
      <c r="F69" s="5">
        <v>4</v>
      </c>
      <c r="G69" s="5">
        <v>4</v>
      </c>
      <c r="H69" s="5">
        <v>4</v>
      </c>
      <c r="I69" s="5">
        <v>4</v>
      </c>
      <c r="J69" s="5">
        <v>4</v>
      </c>
      <c r="K69" s="5">
        <v>4</v>
      </c>
      <c r="L69" s="5">
        <v>4</v>
      </c>
      <c r="M69" s="5">
        <v>4</v>
      </c>
      <c r="N69" s="5">
        <v>4</v>
      </c>
      <c r="O69" s="5">
        <v>4</v>
      </c>
      <c r="P69" s="5">
        <v>48</v>
      </c>
    </row>
    <row r="70" spans="1:16" ht="12" x14ac:dyDescent="0.2">
      <c r="A70" s="342">
        <v>18</v>
      </c>
      <c r="B70" s="342" t="s">
        <v>68</v>
      </c>
      <c r="C70" s="4" t="s">
        <v>55</v>
      </c>
      <c r="D70" s="5">
        <v>1</v>
      </c>
      <c r="E70" s="5">
        <v>1</v>
      </c>
      <c r="F70" s="5">
        <v>1</v>
      </c>
      <c r="G70" s="5">
        <v>1</v>
      </c>
      <c r="H70" s="5">
        <v>1</v>
      </c>
      <c r="I70" s="5">
        <v>1</v>
      </c>
      <c r="J70" s="5">
        <v>1</v>
      </c>
      <c r="K70" s="5">
        <v>1</v>
      </c>
      <c r="L70" s="5">
        <v>1</v>
      </c>
      <c r="M70" s="5">
        <v>1</v>
      </c>
      <c r="N70" s="5">
        <v>1</v>
      </c>
      <c r="O70" s="5"/>
      <c r="P70" s="5">
        <v>11</v>
      </c>
    </row>
    <row r="71" spans="1:16" ht="12" x14ac:dyDescent="0.2">
      <c r="A71" s="342">
        <v>18</v>
      </c>
      <c r="B71" s="342" t="s">
        <v>68</v>
      </c>
      <c r="C71" s="4" t="s">
        <v>56</v>
      </c>
      <c r="D71" s="5">
        <v>21</v>
      </c>
      <c r="E71" s="5">
        <v>21</v>
      </c>
      <c r="F71" s="5">
        <v>21</v>
      </c>
      <c r="G71" s="5">
        <v>21</v>
      </c>
      <c r="H71" s="5">
        <v>21</v>
      </c>
      <c r="I71" s="5">
        <v>21</v>
      </c>
      <c r="J71" s="5">
        <v>21</v>
      </c>
      <c r="K71" s="5">
        <v>21</v>
      </c>
      <c r="L71" s="5">
        <v>21</v>
      </c>
      <c r="M71" s="5">
        <v>21</v>
      </c>
      <c r="N71" s="5">
        <v>21</v>
      </c>
      <c r="O71" s="5">
        <v>17</v>
      </c>
      <c r="P71" s="5">
        <v>248</v>
      </c>
    </row>
    <row r="72" spans="1:16" ht="12" x14ac:dyDescent="0.2">
      <c r="A72" s="342">
        <v>18</v>
      </c>
      <c r="B72" s="342" t="s">
        <v>68</v>
      </c>
      <c r="C72" s="4" t="s">
        <v>57</v>
      </c>
      <c r="D72" s="5">
        <v>17</v>
      </c>
      <c r="E72" s="5">
        <v>17</v>
      </c>
      <c r="F72" s="5">
        <v>17</v>
      </c>
      <c r="G72" s="5">
        <v>17</v>
      </c>
      <c r="H72" s="5">
        <v>17</v>
      </c>
      <c r="I72" s="5">
        <v>17</v>
      </c>
      <c r="J72" s="5">
        <v>17</v>
      </c>
      <c r="K72" s="5">
        <v>17</v>
      </c>
      <c r="L72" s="5">
        <v>17</v>
      </c>
      <c r="M72" s="5">
        <v>17</v>
      </c>
      <c r="N72" s="5">
        <v>17</v>
      </c>
      <c r="O72" s="5">
        <v>16</v>
      </c>
      <c r="P72" s="5">
        <v>203</v>
      </c>
    </row>
    <row r="73" spans="1:16" ht="12" x14ac:dyDescent="0.2">
      <c r="A73" s="342">
        <v>18</v>
      </c>
      <c r="B73" s="342" t="s">
        <v>68</v>
      </c>
      <c r="C73" s="4" t="s">
        <v>35</v>
      </c>
      <c r="D73" s="5">
        <v>19</v>
      </c>
      <c r="E73" s="5">
        <v>19</v>
      </c>
      <c r="F73" s="5">
        <v>19</v>
      </c>
      <c r="G73" s="5">
        <v>19</v>
      </c>
      <c r="H73" s="5">
        <v>19</v>
      </c>
      <c r="I73" s="5">
        <v>18</v>
      </c>
      <c r="J73" s="5">
        <v>18</v>
      </c>
      <c r="K73" s="5">
        <v>16</v>
      </c>
      <c r="L73" s="5">
        <v>16</v>
      </c>
      <c r="M73" s="5">
        <v>16</v>
      </c>
      <c r="N73" s="5">
        <v>16</v>
      </c>
      <c r="O73" s="5">
        <v>14</v>
      </c>
      <c r="P73" s="5">
        <v>209</v>
      </c>
    </row>
    <row r="74" spans="1:16" ht="12" x14ac:dyDescent="0.2">
      <c r="A74" s="342">
        <v>18</v>
      </c>
      <c r="B74" s="342" t="s">
        <v>68</v>
      </c>
      <c r="C74" s="4" t="s">
        <v>36</v>
      </c>
      <c r="D74" s="5">
        <v>11</v>
      </c>
      <c r="E74" s="5">
        <v>11</v>
      </c>
      <c r="F74" s="5">
        <v>11</v>
      </c>
      <c r="G74" s="5">
        <v>11</v>
      </c>
      <c r="H74" s="5">
        <v>12</v>
      </c>
      <c r="I74" s="5">
        <v>12</v>
      </c>
      <c r="J74" s="5">
        <v>12</v>
      </c>
      <c r="K74" s="5">
        <v>11</v>
      </c>
      <c r="L74" s="5">
        <v>11</v>
      </c>
      <c r="M74" s="5">
        <v>11</v>
      </c>
      <c r="N74" s="5">
        <v>11</v>
      </c>
      <c r="O74" s="5">
        <v>11</v>
      </c>
      <c r="P74" s="5">
        <v>135</v>
      </c>
    </row>
    <row r="75" spans="1:16" ht="12" x14ac:dyDescent="0.2">
      <c r="A75" s="342">
        <v>18</v>
      </c>
      <c r="B75" s="342" t="s">
        <v>68</v>
      </c>
      <c r="C75" s="4" t="s">
        <v>37</v>
      </c>
      <c r="D75" s="5">
        <v>8</v>
      </c>
      <c r="E75" s="5">
        <v>8</v>
      </c>
      <c r="F75" s="5">
        <v>8</v>
      </c>
      <c r="G75" s="5">
        <v>8</v>
      </c>
      <c r="H75" s="5">
        <v>8</v>
      </c>
      <c r="I75" s="5">
        <v>8</v>
      </c>
      <c r="J75" s="5">
        <v>8</v>
      </c>
      <c r="K75" s="5">
        <v>8</v>
      </c>
      <c r="L75" s="5">
        <v>8</v>
      </c>
      <c r="M75" s="5">
        <v>8</v>
      </c>
      <c r="N75" s="5">
        <v>8</v>
      </c>
      <c r="O75" s="5">
        <v>8</v>
      </c>
      <c r="P75" s="5">
        <v>96</v>
      </c>
    </row>
    <row r="76" spans="1:16" ht="12" x14ac:dyDescent="0.2">
      <c r="A76" s="342">
        <v>18</v>
      </c>
      <c r="B76" s="342" t="s">
        <v>68</v>
      </c>
      <c r="C76" s="4" t="s">
        <v>32</v>
      </c>
      <c r="D76" s="5">
        <v>2</v>
      </c>
      <c r="E76" s="5">
        <v>2</v>
      </c>
      <c r="F76" s="5">
        <v>2</v>
      </c>
      <c r="G76" s="5">
        <v>2</v>
      </c>
      <c r="H76" s="5">
        <v>2</v>
      </c>
      <c r="I76" s="5">
        <v>2</v>
      </c>
      <c r="J76" s="5">
        <v>2</v>
      </c>
      <c r="K76" s="5">
        <v>2</v>
      </c>
      <c r="L76" s="5">
        <v>2</v>
      </c>
      <c r="M76" s="5">
        <v>2</v>
      </c>
      <c r="N76" s="5">
        <v>2</v>
      </c>
      <c r="O76" s="5">
        <v>2</v>
      </c>
      <c r="P76" s="5">
        <v>24</v>
      </c>
    </row>
    <row r="77" spans="1:16" ht="12" x14ac:dyDescent="0.2">
      <c r="A77" s="342">
        <v>18</v>
      </c>
      <c r="B77" s="342" t="s">
        <v>68</v>
      </c>
      <c r="C77" s="4" t="s">
        <v>41</v>
      </c>
      <c r="D77" s="5"/>
      <c r="E77" s="5">
        <v>0</v>
      </c>
      <c r="F77" s="5"/>
      <c r="G77" s="5"/>
      <c r="H77" s="5"/>
      <c r="I77" s="5"/>
      <c r="J77" s="5">
        <v>0</v>
      </c>
      <c r="K77" s="5"/>
      <c r="L77" s="5">
        <v>0</v>
      </c>
      <c r="M77" s="5"/>
      <c r="N77" s="5"/>
      <c r="O77" s="5"/>
      <c r="P77" s="5">
        <v>0</v>
      </c>
    </row>
    <row r="78" spans="1:16" ht="12" x14ac:dyDescent="0.2">
      <c r="A78" s="342">
        <v>18</v>
      </c>
      <c r="B78" s="342" t="s">
        <v>69</v>
      </c>
      <c r="C78" s="342"/>
      <c r="D78" s="343">
        <v>86</v>
      </c>
      <c r="E78" s="343">
        <v>86</v>
      </c>
      <c r="F78" s="343">
        <v>86</v>
      </c>
      <c r="G78" s="343">
        <v>86</v>
      </c>
      <c r="H78" s="343">
        <v>87</v>
      </c>
      <c r="I78" s="343">
        <v>86</v>
      </c>
      <c r="J78" s="343">
        <v>86</v>
      </c>
      <c r="K78" s="343">
        <v>83</v>
      </c>
      <c r="L78" s="343">
        <v>82</v>
      </c>
      <c r="M78" s="343">
        <v>82</v>
      </c>
      <c r="N78" s="343">
        <v>82</v>
      </c>
      <c r="O78" s="343">
        <v>74</v>
      </c>
      <c r="P78" s="343">
        <v>1006</v>
      </c>
    </row>
    <row r="79" spans="1:16" ht="12" x14ac:dyDescent="0.2">
      <c r="A79" s="342">
        <v>18</v>
      </c>
      <c r="B79" s="342" t="s">
        <v>70</v>
      </c>
      <c r="C79" s="4" t="s">
        <v>71</v>
      </c>
      <c r="D79" s="5">
        <v>3</v>
      </c>
      <c r="E79" s="5">
        <v>3</v>
      </c>
      <c r="F79" s="5">
        <v>3</v>
      </c>
      <c r="G79" s="5">
        <v>2</v>
      </c>
      <c r="H79" s="5">
        <v>3</v>
      </c>
      <c r="I79" s="5">
        <v>2</v>
      </c>
      <c r="J79" s="5">
        <v>2</v>
      </c>
      <c r="K79" s="5">
        <v>2</v>
      </c>
      <c r="L79" s="5">
        <v>2</v>
      </c>
      <c r="M79" s="5">
        <v>2</v>
      </c>
      <c r="N79" s="5">
        <v>2</v>
      </c>
      <c r="O79" s="5">
        <v>2</v>
      </c>
      <c r="P79" s="5">
        <v>28</v>
      </c>
    </row>
    <row r="80" spans="1:16" ht="12" x14ac:dyDescent="0.2">
      <c r="A80" s="342">
        <v>18</v>
      </c>
      <c r="B80" s="342" t="s">
        <v>70</v>
      </c>
      <c r="C80" s="4" t="s">
        <v>60</v>
      </c>
      <c r="D80" s="5">
        <v>30</v>
      </c>
      <c r="E80" s="5">
        <v>30</v>
      </c>
      <c r="F80" s="5">
        <v>30</v>
      </c>
      <c r="G80" s="5">
        <v>31</v>
      </c>
      <c r="H80" s="5">
        <v>30.565999999999999</v>
      </c>
      <c r="I80" s="5">
        <v>29.832999999999998</v>
      </c>
      <c r="J80" s="5">
        <v>31.5</v>
      </c>
      <c r="K80" s="5">
        <v>29</v>
      </c>
      <c r="L80" s="5">
        <v>29.632999999999999</v>
      </c>
      <c r="M80" s="5">
        <v>30</v>
      </c>
      <c r="N80" s="5">
        <v>-62</v>
      </c>
      <c r="O80" s="5">
        <v>28</v>
      </c>
      <c r="P80" s="5">
        <v>267.53199999999998</v>
      </c>
    </row>
    <row r="81" spans="1:16" ht="12" x14ac:dyDescent="0.2">
      <c r="A81" s="342">
        <v>18</v>
      </c>
      <c r="B81" s="342" t="s">
        <v>70</v>
      </c>
      <c r="C81" s="4" t="s">
        <v>61</v>
      </c>
      <c r="D81" s="5">
        <v>76</v>
      </c>
      <c r="E81" s="5">
        <v>76</v>
      </c>
      <c r="F81" s="5">
        <v>75</v>
      </c>
      <c r="G81" s="5">
        <v>74.266999999999996</v>
      </c>
      <c r="H81" s="5">
        <v>73.867000000000004</v>
      </c>
      <c r="I81" s="5">
        <v>74</v>
      </c>
      <c r="J81" s="5">
        <v>75</v>
      </c>
      <c r="K81" s="5">
        <v>74</v>
      </c>
      <c r="L81" s="5">
        <v>74</v>
      </c>
      <c r="M81" s="5">
        <v>74.900000000000006</v>
      </c>
      <c r="N81" s="5">
        <v>72</v>
      </c>
      <c r="O81" s="5">
        <v>73.331999999999994</v>
      </c>
      <c r="P81" s="5">
        <v>892.36599999999999</v>
      </c>
    </row>
    <row r="82" spans="1:16" ht="12" x14ac:dyDescent="0.2">
      <c r="A82" s="342">
        <v>18</v>
      </c>
      <c r="B82" s="342" t="s">
        <v>70</v>
      </c>
      <c r="C82" s="4" t="s">
        <v>44</v>
      </c>
      <c r="D82" s="5">
        <v>1</v>
      </c>
      <c r="E82" s="5">
        <v>1</v>
      </c>
      <c r="F82" s="5">
        <v>1</v>
      </c>
      <c r="G82" s="5">
        <v>1</v>
      </c>
      <c r="H82" s="5">
        <v>1</v>
      </c>
      <c r="I82" s="5">
        <v>1</v>
      </c>
      <c r="J82" s="5">
        <v>1</v>
      </c>
      <c r="K82" s="5">
        <v>1</v>
      </c>
      <c r="L82" s="5">
        <v>1</v>
      </c>
      <c r="M82" s="5">
        <v>1</v>
      </c>
      <c r="N82" s="5">
        <v>1</v>
      </c>
      <c r="O82" s="5">
        <v>1</v>
      </c>
      <c r="P82" s="5">
        <v>12</v>
      </c>
    </row>
    <row r="83" spans="1:16" ht="12" x14ac:dyDescent="0.2">
      <c r="A83" s="342">
        <v>18</v>
      </c>
      <c r="B83" s="342" t="s">
        <v>70</v>
      </c>
      <c r="C83" s="4" t="s">
        <v>50</v>
      </c>
      <c r="D83" s="5">
        <v>2</v>
      </c>
      <c r="E83" s="5">
        <v>2</v>
      </c>
      <c r="F83" s="5">
        <v>2</v>
      </c>
      <c r="G83" s="5">
        <v>2</v>
      </c>
      <c r="H83" s="5">
        <v>2</v>
      </c>
      <c r="I83" s="5">
        <v>2</v>
      </c>
      <c r="J83" s="5">
        <v>2</v>
      </c>
      <c r="K83" s="5">
        <v>2</v>
      </c>
      <c r="L83" s="5">
        <v>2</v>
      </c>
      <c r="M83" s="5">
        <v>2</v>
      </c>
      <c r="N83" s="5">
        <v>2</v>
      </c>
      <c r="O83" s="5">
        <v>2</v>
      </c>
      <c r="P83" s="5">
        <v>24</v>
      </c>
    </row>
    <row r="84" spans="1:16" ht="12" x14ac:dyDescent="0.2">
      <c r="A84" s="342">
        <v>18</v>
      </c>
      <c r="B84" s="342" t="s">
        <v>70</v>
      </c>
      <c r="C84" s="4" t="s">
        <v>65</v>
      </c>
      <c r="D84" s="5">
        <v>30</v>
      </c>
      <c r="E84" s="5">
        <v>30</v>
      </c>
      <c r="F84" s="5">
        <v>30</v>
      </c>
      <c r="G84" s="5">
        <v>30.167000000000002</v>
      </c>
      <c r="H84" s="5">
        <v>31</v>
      </c>
      <c r="I84" s="5">
        <v>31</v>
      </c>
      <c r="J84" s="5">
        <v>31</v>
      </c>
      <c r="K84" s="5">
        <v>30.834</v>
      </c>
      <c r="L84" s="5">
        <v>30.867000000000001</v>
      </c>
      <c r="M84" s="5">
        <v>30</v>
      </c>
      <c r="N84" s="5">
        <v>30</v>
      </c>
      <c r="O84" s="5">
        <v>29.832999999999998</v>
      </c>
      <c r="P84" s="5">
        <v>364.70100000000002</v>
      </c>
    </row>
    <row r="85" spans="1:16" ht="12" x14ac:dyDescent="0.2">
      <c r="A85" s="342">
        <v>18</v>
      </c>
      <c r="B85" s="342" t="s">
        <v>70</v>
      </c>
      <c r="C85" s="4" t="s">
        <v>56</v>
      </c>
      <c r="D85" s="5">
        <v>5</v>
      </c>
      <c r="E85" s="5">
        <v>5</v>
      </c>
      <c r="F85" s="5">
        <v>5</v>
      </c>
      <c r="G85" s="5">
        <v>5</v>
      </c>
      <c r="H85" s="5">
        <v>5</v>
      </c>
      <c r="I85" s="5">
        <v>5</v>
      </c>
      <c r="J85" s="5">
        <v>5</v>
      </c>
      <c r="K85" s="5">
        <v>5</v>
      </c>
      <c r="L85" s="5">
        <v>5</v>
      </c>
      <c r="M85" s="5">
        <v>5</v>
      </c>
      <c r="N85" s="5">
        <v>5</v>
      </c>
      <c r="O85" s="5">
        <v>5</v>
      </c>
      <c r="P85" s="5">
        <v>60</v>
      </c>
    </row>
    <row r="86" spans="1:16" ht="12" x14ac:dyDescent="0.2">
      <c r="A86" s="342">
        <v>18</v>
      </c>
      <c r="B86" s="342" t="s">
        <v>70</v>
      </c>
      <c r="C86" s="4" t="s">
        <v>57</v>
      </c>
      <c r="D86" s="5">
        <v>1</v>
      </c>
      <c r="E86" s="5">
        <v>1</v>
      </c>
      <c r="F86" s="5">
        <v>1</v>
      </c>
      <c r="G86" s="5">
        <v>1</v>
      </c>
      <c r="H86" s="5">
        <v>1</v>
      </c>
      <c r="I86" s="5">
        <v>1</v>
      </c>
      <c r="J86" s="5">
        <v>1</v>
      </c>
      <c r="K86" s="5">
        <v>1</v>
      </c>
      <c r="L86" s="5">
        <v>1</v>
      </c>
      <c r="M86" s="5">
        <v>1</v>
      </c>
      <c r="N86" s="5">
        <v>1</v>
      </c>
      <c r="O86" s="5">
        <v>1</v>
      </c>
      <c r="P86" s="5">
        <v>12</v>
      </c>
    </row>
    <row r="87" spans="1:16" ht="12" x14ac:dyDescent="0.2">
      <c r="A87" s="342">
        <v>18</v>
      </c>
      <c r="B87" s="342" t="s">
        <v>70</v>
      </c>
      <c r="C87" s="4" t="s">
        <v>72</v>
      </c>
      <c r="D87" s="5"/>
      <c r="E87" s="5"/>
      <c r="F87" s="5"/>
      <c r="G87" s="5"/>
      <c r="H87" s="5">
        <v>1</v>
      </c>
      <c r="I87" s="5">
        <v>1</v>
      </c>
      <c r="J87" s="5">
        <v>1</v>
      </c>
      <c r="K87" s="5">
        <v>1</v>
      </c>
      <c r="L87" s="5">
        <v>1</v>
      </c>
      <c r="M87" s="5">
        <v>1</v>
      </c>
      <c r="N87" s="5">
        <v>1</v>
      </c>
      <c r="O87" s="5">
        <v>1</v>
      </c>
      <c r="P87" s="5">
        <v>8</v>
      </c>
    </row>
    <row r="88" spans="1:16" ht="12" x14ac:dyDescent="0.2">
      <c r="A88" s="342">
        <v>18</v>
      </c>
      <c r="B88" s="342" t="s">
        <v>70</v>
      </c>
      <c r="C88" s="4" t="s">
        <v>41</v>
      </c>
      <c r="D88" s="5"/>
      <c r="E88" s="5"/>
      <c r="F88" s="5"/>
      <c r="G88" s="5"/>
      <c r="H88" s="5"/>
      <c r="I88" s="5"/>
      <c r="J88" s="5"/>
      <c r="K88" s="5"/>
      <c r="L88" s="5"/>
      <c r="M88" s="5"/>
      <c r="N88" s="5">
        <v>1</v>
      </c>
      <c r="O88" s="5"/>
      <c r="P88" s="5">
        <v>1</v>
      </c>
    </row>
    <row r="89" spans="1:16" ht="12" x14ac:dyDescent="0.2">
      <c r="A89" s="342">
        <v>18</v>
      </c>
      <c r="B89" s="342" t="s">
        <v>73</v>
      </c>
      <c r="C89" s="342"/>
      <c r="D89" s="343">
        <v>148</v>
      </c>
      <c r="E89" s="343">
        <v>148</v>
      </c>
      <c r="F89" s="343">
        <v>147</v>
      </c>
      <c r="G89" s="343">
        <v>146.434</v>
      </c>
      <c r="H89" s="343">
        <v>148.43299999999999</v>
      </c>
      <c r="I89" s="343">
        <v>146.833</v>
      </c>
      <c r="J89" s="343">
        <v>149.5</v>
      </c>
      <c r="K89" s="343">
        <v>145.834</v>
      </c>
      <c r="L89" s="343">
        <v>146.5</v>
      </c>
      <c r="M89" s="343">
        <v>146.9</v>
      </c>
      <c r="N89" s="343">
        <v>53</v>
      </c>
      <c r="O89" s="343">
        <v>143.16499999999999</v>
      </c>
      <c r="P89" s="343">
        <v>1669.5989999999999</v>
      </c>
    </row>
    <row r="90" spans="1:16" ht="12" x14ac:dyDescent="0.2">
      <c r="A90" s="342">
        <v>18</v>
      </c>
      <c r="B90" s="342" t="s">
        <v>74</v>
      </c>
      <c r="C90" s="4" t="s">
        <v>51</v>
      </c>
      <c r="D90" s="5">
        <v>1</v>
      </c>
      <c r="E90" s="5">
        <v>1</v>
      </c>
      <c r="F90" s="5">
        <v>1</v>
      </c>
      <c r="G90" s="5">
        <v>1</v>
      </c>
      <c r="H90" s="5">
        <v>0.46700000000000003</v>
      </c>
      <c r="I90" s="5">
        <v>3</v>
      </c>
      <c r="J90" s="5">
        <v>2</v>
      </c>
      <c r="K90" s="5">
        <v>2.2330000000000001</v>
      </c>
      <c r="L90" s="5">
        <v>1</v>
      </c>
      <c r="M90" s="5">
        <v>1</v>
      </c>
      <c r="N90" s="5">
        <v>1</v>
      </c>
      <c r="O90" s="5">
        <v>1</v>
      </c>
      <c r="P90" s="5">
        <v>15.7</v>
      </c>
    </row>
    <row r="91" spans="1:16" ht="12" x14ac:dyDescent="0.2">
      <c r="A91" s="342">
        <v>18</v>
      </c>
      <c r="B91" s="342" t="s">
        <v>74</v>
      </c>
      <c r="C91" s="4" t="s">
        <v>52</v>
      </c>
      <c r="D91" s="5"/>
      <c r="E91" s="5"/>
      <c r="F91" s="5"/>
      <c r="G91" s="5"/>
      <c r="H91" s="5"/>
      <c r="I91" s="5"/>
      <c r="J91" s="5"/>
      <c r="K91" s="5"/>
      <c r="L91" s="5"/>
      <c r="M91" s="5"/>
      <c r="N91" s="5">
        <v>1</v>
      </c>
      <c r="O91" s="5">
        <v>1</v>
      </c>
      <c r="P91" s="5">
        <v>2</v>
      </c>
    </row>
    <row r="92" spans="1:16" ht="12" x14ac:dyDescent="0.2">
      <c r="A92" s="342">
        <v>18</v>
      </c>
      <c r="B92" s="342" t="s">
        <v>74</v>
      </c>
      <c r="C92" s="4" t="s">
        <v>56</v>
      </c>
      <c r="D92" s="5">
        <v>1</v>
      </c>
      <c r="E92" s="5">
        <v>1</v>
      </c>
      <c r="F92" s="5">
        <v>1</v>
      </c>
      <c r="G92" s="5">
        <v>1</v>
      </c>
      <c r="H92" s="5">
        <v>1</v>
      </c>
      <c r="I92" s="5">
        <v>1</v>
      </c>
      <c r="J92" s="5">
        <v>1</v>
      </c>
      <c r="K92" s="5">
        <v>1</v>
      </c>
      <c r="L92" s="5">
        <v>1</v>
      </c>
      <c r="M92" s="5">
        <v>1</v>
      </c>
      <c r="N92" s="5">
        <v>1</v>
      </c>
      <c r="O92" s="5">
        <v>1</v>
      </c>
      <c r="P92" s="5">
        <v>12</v>
      </c>
    </row>
    <row r="93" spans="1:16" ht="12" x14ac:dyDescent="0.2">
      <c r="A93" s="342">
        <v>18</v>
      </c>
      <c r="B93" s="342" t="s">
        <v>74</v>
      </c>
      <c r="C93" s="4" t="s">
        <v>57</v>
      </c>
      <c r="D93" s="5"/>
      <c r="E93" s="5"/>
      <c r="F93" s="5"/>
      <c r="G93" s="5"/>
      <c r="H93" s="5"/>
      <c r="I93" s="5"/>
      <c r="J93" s="5"/>
      <c r="K93" s="5"/>
      <c r="L93" s="5"/>
      <c r="M93" s="5"/>
      <c r="N93" s="5">
        <v>1</v>
      </c>
      <c r="O93" s="5">
        <v>1</v>
      </c>
      <c r="P93" s="5">
        <v>2</v>
      </c>
    </row>
    <row r="94" spans="1:16" ht="12" x14ac:dyDescent="0.2">
      <c r="A94" s="342">
        <v>18</v>
      </c>
      <c r="B94" s="342" t="s">
        <v>74</v>
      </c>
      <c r="C94" s="4" t="s">
        <v>37</v>
      </c>
      <c r="D94" s="5">
        <v>1</v>
      </c>
      <c r="E94" s="5">
        <v>1</v>
      </c>
      <c r="F94" s="5">
        <v>1</v>
      </c>
      <c r="G94" s="5">
        <v>1</v>
      </c>
      <c r="H94" s="5">
        <v>1</v>
      </c>
      <c r="I94" s="5">
        <v>1</v>
      </c>
      <c r="J94" s="5">
        <v>1</v>
      </c>
      <c r="K94" s="5">
        <v>1</v>
      </c>
      <c r="L94" s="5">
        <v>1</v>
      </c>
      <c r="M94" s="5"/>
      <c r="N94" s="5">
        <v>1</v>
      </c>
      <c r="O94" s="5">
        <v>1</v>
      </c>
      <c r="P94" s="5">
        <v>11</v>
      </c>
    </row>
    <row r="95" spans="1:16" ht="12" x14ac:dyDescent="0.2">
      <c r="A95" s="342">
        <v>18</v>
      </c>
      <c r="B95" s="342" t="s">
        <v>75</v>
      </c>
      <c r="C95" s="342"/>
      <c r="D95" s="343">
        <v>3</v>
      </c>
      <c r="E95" s="343">
        <v>3</v>
      </c>
      <c r="F95" s="343">
        <v>3</v>
      </c>
      <c r="G95" s="343">
        <v>3</v>
      </c>
      <c r="H95" s="343">
        <v>2.4670000000000001</v>
      </c>
      <c r="I95" s="343">
        <v>5</v>
      </c>
      <c r="J95" s="343">
        <v>4</v>
      </c>
      <c r="K95" s="343">
        <v>4.2330000000000005</v>
      </c>
      <c r="L95" s="343">
        <v>3</v>
      </c>
      <c r="M95" s="343">
        <v>2</v>
      </c>
      <c r="N95" s="343">
        <v>5</v>
      </c>
      <c r="O95" s="343">
        <v>5</v>
      </c>
      <c r="P95" s="343">
        <v>42.7</v>
      </c>
    </row>
    <row r="96" spans="1:16" ht="12" x14ac:dyDescent="0.2">
      <c r="A96" s="342">
        <v>18</v>
      </c>
      <c r="B96" s="342" t="s">
        <v>76</v>
      </c>
      <c r="C96" s="4" t="s">
        <v>77</v>
      </c>
      <c r="D96" s="5">
        <v>4</v>
      </c>
      <c r="E96" s="5">
        <v>4</v>
      </c>
      <c r="F96" s="5">
        <v>4</v>
      </c>
      <c r="G96" s="5">
        <v>4</v>
      </c>
      <c r="H96" s="5">
        <v>4</v>
      </c>
      <c r="I96" s="5">
        <v>4</v>
      </c>
      <c r="J96" s="5">
        <v>4</v>
      </c>
      <c r="K96" s="5">
        <v>4</v>
      </c>
      <c r="L96" s="5">
        <v>4</v>
      </c>
      <c r="M96" s="5">
        <v>4</v>
      </c>
      <c r="N96" s="5">
        <v>4</v>
      </c>
      <c r="O96" s="5">
        <v>4</v>
      </c>
      <c r="P96" s="5">
        <v>48</v>
      </c>
    </row>
    <row r="97" spans="1:16" ht="12" x14ac:dyDescent="0.2">
      <c r="A97" s="342">
        <v>18</v>
      </c>
      <c r="B97" s="342" t="s">
        <v>76</v>
      </c>
      <c r="C97" s="4" t="s">
        <v>60</v>
      </c>
      <c r="D97" s="5">
        <v>21</v>
      </c>
      <c r="E97" s="5">
        <v>23</v>
      </c>
      <c r="F97" s="5">
        <v>22</v>
      </c>
      <c r="G97" s="5">
        <v>22.533000000000001</v>
      </c>
      <c r="H97" s="5">
        <v>20</v>
      </c>
      <c r="I97" s="5">
        <v>22</v>
      </c>
      <c r="J97" s="5">
        <v>21</v>
      </c>
      <c r="K97" s="5">
        <v>21.233000000000001</v>
      </c>
      <c r="L97" s="5">
        <v>20</v>
      </c>
      <c r="M97" s="5">
        <v>20</v>
      </c>
      <c r="N97" s="5">
        <v>20</v>
      </c>
      <c r="O97" s="5">
        <v>20</v>
      </c>
      <c r="P97" s="5">
        <v>252.76600000000002</v>
      </c>
    </row>
    <row r="98" spans="1:16" ht="12" x14ac:dyDescent="0.2">
      <c r="A98" s="342">
        <v>18</v>
      </c>
      <c r="B98" s="342" t="s">
        <v>76</v>
      </c>
      <c r="C98" s="4" t="s">
        <v>61</v>
      </c>
      <c r="D98" s="5">
        <v>9</v>
      </c>
      <c r="E98" s="5">
        <v>8.4329999999999998</v>
      </c>
      <c r="F98" s="5">
        <v>8</v>
      </c>
      <c r="G98" s="5">
        <v>8</v>
      </c>
      <c r="H98" s="5">
        <v>8</v>
      </c>
      <c r="I98" s="5">
        <v>8</v>
      </c>
      <c r="J98" s="5">
        <v>8</v>
      </c>
      <c r="K98" s="5">
        <v>8</v>
      </c>
      <c r="L98" s="5">
        <v>8</v>
      </c>
      <c r="M98" s="5">
        <v>8</v>
      </c>
      <c r="N98" s="5">
        <v>8</v>
      </c>
      <c r="O98" s="5">
        <v>8</v>
      </c>
      <c r="P98" s="5">
        <v>97.432999999999993</v>
      </c>
    </row>
    <row r="99" spans="1:16" ht="12" x14ac:dyDescent="0.2">
      <c r="A99" s="342">
        <v>18</v>
      </c>
      <c r="B99" s="342" t="s">
        <v>76</v>
      </c>
      <c r="C99" s="4" t="s">
        <v>44</v>
      </c>
      <c r="D99" s="5">
        <v>-70</v>
      </c>
      <c r="E99" s="5">
        <v>7</v>
      </c>
      <c r="F99" s="5">
        <v>7</v>
      </c>
      <c r="G99" s="5">
        <v>7</v>
      </c>
      <c r="H99" s="5">
        <v>7</v>
      </c>
      <c r="I99" s="5">
        <v>7</v>
      </c>
      <c r="J99" s="5">
        <v>7</v>
      </c>
      <c r="K99" s="5">
        <v>7</v>
      </c>
      <c r="L99" s="5">
        <v>7</v>
      </c>
      <c r="M99" s="5">
        <v>7</v>
      </c>
      <c r="N99" s="5">
        <v>7</v>
      </c>
      <c r="O99" s="5">
        <v>7</v>
      </c>
      <c r="P99" s="5">
        <v>7</v>
      </c>
    </row>
    <row r="100" spans="1:16" ht="12" x14ac:dyDescent="0.2">
      <c r="A100" s="342">
        <v>18</v>
      </c>
      <c r="B100" s="342" t="s">
        <v>76</v>
      </c>
      <c r="C100" s="4" t="s">
        <v>45</v>
      </c>
      <c r="D100" s="5">
        <v>-17</v>
      </c>
      <c r="E100" s="5">
        <v>1</v>
      </c>
      <c r="F100" s="5">
        <v>1</v>
      </c>
      <c r="G100" s="5">
        <v>1</v>
      </c>
      <c r="H100" s="5">
        <v>1</v>
      </c>
      <c r="I100" s="5">
        <v>1</v>
      </c>
      <c r="J100" s="5">
        <v>1</v>
      </c>
      <c r="K100" s="5">
        <v>1</v>
      </c>
      <c r="L100" s="5">
        <v>1</v>
      </c>
      <c r="M100" s="5">
        <v>1</v>
      </c>
      <c r="N100" s="5">
        <v>1</v>
      </c>
      <c r="O100" s="5">
        <v>1</v>
      </c>
      <c r="P100" s="5">
        <v>-6</v>
      </c>
    </row>
    <row r="101" spans="1:16" ht="12" x14ac:dyDescent="0.2">
      <c r="A101" s="342">
        <v>18</v>
      </c>
      <c r="B101" s="342" t="s">
        <v>76</v>
      </c>
      <c r="C101" s="4" t="s">
        <v>46</v>
      </c>
      <c r="D101" s="5">
        <v>30</v>
      </c>
      <c r="E101" s="5">
        <v>-13</v>
      </c>
      <c r="F101" s="5">
        <v>28</v>
      </c>
      <c r="G101" s="5">
        <v>28</v>
      </c>
      <c r="H101" s="5">
        <v>27</v>
      </c>
      <c r="I101" s="5">
        <v>29</v>
      </c>
      <c r="J101" s="5">
        <v>28</v>
      </c>
      <c r="K101" s="5">
        <v>27.266999999999999</v>
      </c>
      <c r="L101" s="5">
        <v>27</v>
      </c>
      <c r="M101" s="5">
        <v>27</v>
      </c>
      <c r="N101" s="5">
        <v>27</v>
      </c>
      <c r="O101" s="5">
        <v>27</v>
      </c>
      <c r="P101" s="5">
        <v>292.267</v>
      </c>
    </row>
    <row r="102" spans="1:16" ht="12" x14ac:dyDescent="0.2">
      <c r="A102" s="342">
        <v>18</v>
      </c>
      <c r="B102" s="342" t="s">
        <v>76</v>
      </c>
      <c r="C102" s="4" t="s">
        <v>47</v>
      </c>
      <c r="D102" s="5">
        <v>9</v>
      </c>
      <c r="E102" s="5">
        <v>9</v>
      </c>
      <c r="F102" s="5">
        <v>9</v>
      </c>
      <c r="G102" s="5">
        <v>9</v>
      </c>
      <c r="H102" s="5">
        <v>9</v>
      </c>
      <c r="I102" s="5">
        <v>9</v>
      </c>
      <c r="J102" s="5">
        <v>10</v>
      </c>
      <c r="K102" s="5">
        <v>9</v>
      </c>
      <c r="L102" s="5">
        <v>9</v>
      </c>
      <c r="M102" s="5">
        <v>10</v>
      </c>
      <c r="N102" s="5">
        <v>7</v>
      </c>
      <c r="O102" s="5">
        <v>7</v>
      </c>
      <c r="P102" s="5">
        <v>106</v>
      </c>
    </row>
    <row r="103" spans="1:16" ht="12" x14ac:dyDescent="0.2">
      <c r="A103" s="342">
        <v>18</v>
      </c>
      <c r="B103" s="342" t="s">
        <v>76</v>
      </c>
      <c r="C103" s="4" t="s">
        <v>49</v>
      </c>
      <c r="D103" s="5">
        <v>1</v>
      </c>
      <c r="E103" s="5">
        <v>1</v>
      </c>
      <c r="F103" s="5">
        <v>1</v>
      </c>
      <c r="G103" s="5">
        <v>1</v>
      </c>
      <c r="H103" s="5">
        <v>1</v>
      </c>
      <c r="I103" s="5">
        <v>1</v>
      </c>
      <c r="J103" s="5">
        <v>1</v>
      </c>
      <c r="K103" s="5">
        <v>1</v>
      </c>
      <c r="L103" s="5">
        <v>1</v>
      </c>
      <c r="M103" s="5">
        <v>1</v>
      </c>
      <c r="N103" s="5">
        <v>1</v>
      </c>
      <c r="O103" s="5">
        <v>1</v>
      </c>
      <c r="P103" s="5">
        <v>12</v>
      </c>
    </row>
    <row r="104" spans="1:16" ht="12" x14ac:dyDescent="0.2">
      <c r="A104" s="342">
        <v>18</v>
      </c>
      <c r="B104" s="342" t="s">
        <v>76</v>
      </c>
      <c r="C104" s="4" t="s">
        <v>50</v>
      </c>
      <c r="D104" s="5">
        <v>4</v>
      </c>
      <c r="E104" s="5">
        <v>4</v>
      </c>
      <c r="F104" s="5">
        <v>4</v>
      </c>
      <c r="G104" s="5">
        <v>4</v>
      </c>
      <c r="H104" s="5">
        <v>4</v>
      </c>
      <c r="I104" s="5">
        <v>4</v>
      </c>
      <c r="J104" s="5">
        <v>4</v>
      </c>
      <c r="K104" s="5">
        <v>4</v>
      </c>
      <c r="L104" s="5">
        <v>4</v>
      </c>
      <c r="M104" s="5">
        <v>4</v>
      </c>
      <c r="N104" s="5">
        <v>4</v>
      </c>
      <c r="O104" s="5">
        <v>4</v>
      </c>
      <c r="P104" s="5">
        <v>48</v>
      </c>
    </row>
    <row r="105" spans="1:16" ht="12" x14ac:dyDescent="0.2">
      <c r="A105" s="342">
        <v>18</v>
      </c>
      <c r="B105" s="342" t="s">
        <v>76</v>
      </c>
      <c r="C105" s="4" t="s">
        <v>51</v>
      </c>
      <c r="D105" s="5">
        <v>-66.367000000000004</v>
      </c>
      <c r="E105" s="5">
        <v>0</v>
      </c>
      <c r="F105" s="5">
        <v>10</v>
      </c>
      <c r="G105" s="5">
        <v>11</v>
      </c>
      <c r="H105" s="5">
        <v>11</v>
      </c>
      <c r="I105" s="5">
        <v>11</v>
      </c>
      <c r="J105" s="5">
        <v>11</v>
      </c>
      <c r="K105" s="5">
        <v>11</v>
      </c>
      <c r="L105" s="5">
        <v>11</v>
      </c>
      <c r="M105" s="5">
        <v>11</v>
      </c>
      <c r="N105" s="5">
        <v>9</v>
      </c>
      <c r="O105" s="5">
        <v>10</v>
      </c>
      <c r="P105" s="5">
        <v>39.632999999999996</v>
      </c>
    </row>
    <row r="106" spans="1:16" ht="12" x14ac:dyDescent="0.2">
      <c r="A106" s="342">
        <v>18</v>
      </c>
      <c r="B106" s="342" t="s">
        <v>76</v>
      </c>
      <c r="C106" s="4" t="s">
        <v>52</v>
      </c>
      <c r="D106" s="5">
        <v>-16</v>
      </c>
      <c r="E106" s="5">
        <v>3</v>
      </c>
      <c r="F106" s="5">
        <v>3</v>
      </c>
      <c r="G106" s="5">
        <v>3</v>
      </c>
      <c r="H106" s="5">
        <v>3</v>
      </c>
      <c r="I106" s="5">
        <v>3</v>
      </c>
      <c r="J106" s="5">
        <v>3</v>
      </c>
      <c r="K106" s="5">
        <v>3</v>
      </c>
      <c r="L106" s="5">
        <v>3</v>
      </c>
      <c r="M106" s="5">
        <v>3</v>
      </c>
      <c r="N106" s="5">
        <v>3</v>
      </c>
      <c r="O106" s="5">
        <v>3</v>
      </c>
      <c r="P106" s="5">
        <v>17</v>
      </c>
    </row>
    <row r="107" spans="1:16" ht="12" x14ac:dyDescent="0.2">
      <c r="A107" s="342">
        <v>18</v>
      </c>
      <c r="B107" s="342" t="s">
        <v>76</v>
      </c>
      <c r="C107" s="4" t="s">
        <v>56</v>
      </c>
      <c r="D107" s="5">
        <v>10</v>
      </c>
      <c r="E107" s="5">
        <v>10</v>
      </c>
      <c r="F107" s="5">
        <v>10</v>
      </c>
      <c r="G107" s="5">
        <v>10</v>
      </c>
      <c r="H107" s="5">
        <v>11</v>
      </c>
      <c r="I107" s="5">
        <v>11</v>
      </c>
      <c r="J107" s="5">
        <v>12</v>
      </c>
      <c r="K107" s="5">
        <v>11</v>
      </c>
      <c r="L107" s="5">
        <v>10</v>
      </c>
      <c r="M107" s="5">
        <v>12</v>
      </c>
      <c r="N107" s="5">
        <v>10</v>
      </c>
      <c r="O107" s="5">
        <v>10</v>
      </c>
      <c r="P107" s="5">
        <v>127</v>
      </c>
    </row>
    <row r="108" spans="1:16" ht="12" x14ac:dyDescent="0.2">
      <c r="A108" s="342">
        <v>18</v>
      </c>
      <c r="B108" s="342" t="s">
        <v>76</v>
      </c>
      <c r="C108" s="4" t="s">
        <v>57</v>
      </c>
      <c r="D108" s="5">
        <v>5</v>
      </c>
      <c r="E108" s="5">
        <v>-3</v>
      </c>
      <c r="F108" s="5">
        <v>4</v>
      </c>
      <c r="G108" s="5">
        <v>4</v>
      </c>
      <c r="H108" s="5">
        <v>5</v>
      </c>
      <c r="I108" s="5">
        <v>4</v>
      </c>
      <c r="J108" s="5">
        <v>4</v>
      </c>
      <c r="K108" s="5">
        <v>4</v>
      </c>
      <c r="L108" s="5">
        <v>4</v>
      </c>
      <c r="M108" s="5">
        <v>4</v>
      </c>
      <c r="N108" s="5">
        <v>4</v>
      </c>
      <c r="O108" s="5">
        <v>4</v>
      </c>
      <c r="P108" s="5">
        <v>43</v>
      </c>
    </row>
    <row r="109" spans="1:16" ht="12" x14ac:dyDescent="0.2">
      <c r="A109" s="342">
        <v>18</v>
      </c>
      <c r="B109" s="342" t="s">
        <v>76</v>
      </c>
      <c r="C109" s="4" t="s">
        <v>35</v>
      </c>
      <c r="D109" s="5">
        <v>3</v>
      </c>
      <c r="E109" s="5">
        <v>3</v>
      </c>
      <c r="F109" s="5">
        <v>3</v>
      </c>
      <c r="G109" s="5">
        <v>3</v>
      </c>
      <c r="H109" s="5">
        <v>3</v>
      </c>
      <c r="I109" s="5">
        <v>3</v>
      </c>
      <c r="J109" s="5">
        <v>4</v>
      </c>
      <c r="K109" s="5">
        <v>3</v>
      </c>
      <c r="L109" s="5">
        <v>3</v>
      </c>
      <c r="M109" s="5">
        <v>3</v>
      </c>
      <c r="N109" s="5">
        <v>2</v>
      </c>
      <c r="O109" s="5">
        <v>2</v>
      </c>
      <c r="P109" s="5">
        <v>35</v>
      </c>
    </row>
    <row r="110" spans="1:16" ht="12" x14ac:dyDescent="0.2">
      <c r="A110" s="342">
        <v>18</v>
      </c>
      <c r="B110" s="342" t="s">
        <v>78</v>
      </c>
      <c r="C110" s="342"/>
      <c r="D110" s="343">
        <v>-73.367000000000004</v>
      </c>
      <c r="E110" s="343">
        <v>57.433</v>
      </c>
      <c r="F110" s="343">
        <v>114</v>
      </c>
      <c r="G110" s="343">
        <v>115.533</v>
      </c>
      <c r="H110" s="343">
        <v>114</v>
      </c>
      <c r="I110" s="343">
        <v>117</v>
      </c>
      <c r="J110" s="343">
        <v>118</v>
      </c>
      <c r="K110" s="343">
        <v>114.5</v>
      </c>
      <c r="L110" s="343">
        <v>112</v>
      </c>
      <c r="M110" s="343">
        <v>115</v>
      </c>
      <c r="N110" s="343">
        <v>107</v>
      </c>
      <c r="O110" s="343">
        <v>108</v>
      </c>
      <c r="P110" s="343">
        <v>1119.0990000000002</v>
      </c>
    </row>
    <row r="111" spans="1:16" ht="12" x14ac:dyDescent="0.2">
      <c r="A111" s="342">
        <v>18</v>
      </c>
      <c r="B111" s="342" t="s">
        <v>79</v>
      </c>
      <c r="C111" s="4" t="s">
        <v>36</v>
      </c>
      <c r="D111" s="5">
        <v>2</v>
      </c>
      <c r="E111" s="5">
        <v>2</v>
      </c>
      <c r="F111" s="5">
        <v>2</v>
      </c>
      <c r="G111" s="5">
        <v>2</v>
      </c>
      <c r="H111" s="5">
        <v>2</v>
      </c>
      <c r="I111" s="5">
        <v>2</v>
      </c>
      <c r="J111" s="5">
        <v>2</v>
      </c>
      <c r="K111" s="5">
        <v>2</v>
      </c>
      <c r="L111" s="5">
        <v>2</v>
      </c>
      <c r="M111" s="5">
        <v>2</v>
      </c>
      <c r="N111" s="5">
        <v>2</v>
      </c>
      <c r="O111" s="5">
        <v>2</v>
      </c>
      <c r="P111" s="5">
        <v>24</v>
      </c>
    </row>
    <row r="112" spans="1:16" ht="12" x14ac:dyDescent="0.2">
      <c r="A112" s="342">
        <v>18</v>
      </c>
      <c r="B112" s="342" t="s">
        <v>79</v>
      </c>
      <c r="C112" s="4" t="s">
        <v>37</v>
      </c>
      <c r="D112" s="5">
        <v>1</v>
      </c>
      <c r="E112" s="5">
        <v>1</v>
      </c>
      <c r="F112" s="5">
        <v>1</v>
      </c>
      <c r="G112" s="5">
        <v>1</v>
      </c>
      <c r="H112" s="5">
        <v>1</v>
      </c>
      <c r="I112" s="5">
        <v>1</v>
      </c>
      <c r="J112" s="5">
        <v>1</v>
      </c>
      <c r="K112" s="5">
        <v>1</v>
      </c>
      <c r="L112" s="5">
        <v>1</v>
      </c>
      <c r="M112" s="5">
        <v>1</v>
      </c>
      <c r="N112" s="5">
        <v>1</v>
      </c>
      <c r="O112" s="5">
        <v>1</v>
      </c>
      <c r="P112" s="5">
        <v>12</v>
      </c>
    </row>
    <row r="113" spans="1:16" ht="12" x14ac:dyDescent="0.2">
      <c r="A113" s="342">
        <v>18</v>
      </c>
      <c r="B113" s="342" t="s">
        <v>79</v>
      </c>
      <c r="C113" s="4" t="s">
        <v>32</v>
      </c>
      <c r="D113" s="5">
        <v>2</v>
      </c>
      <c r="E113" s="5">
        <v>2</v>
      </c>
      <c r="F113" s="5">
        <v>2</v>
      </c>
      <c r="G113" s="5">
        <v>2</v>
      </c>
      <c r="H113" s="5">
        <v>2</v>
      </c>
      <c r="I113" s="5">
        <v>2</v>
      </c>
      <c r="J113" s="5">
        <v>2</v>
      </c>
      <c r="K113" s="5">
        <v>2</v>
      </c>
      <c r="L113" s="5">
        <v>2.46</v>
      </c>
      <c r="M113" s="5">
        <v>3</v>
      </c>
      <c r="N113" s="5">
        <v>2.4929999999999999</v>
      </c>
      <c r="O113" s="5">
        <v>2</v>
      </c>
      <c r="P113" s="5">
        <v>25.952999999999999</v>
      </c>
    </row>
    <row r="114" spans="1:16" ht="12" x14ac:dyDescent="0.2">
      <c r="A114" s="342">
        <v>18</v>
      </c>
      <c r="B114" s="342" t="s">
        <v>80</v>
      </c>
      <c r="C114" s="342"/>
      <c r="D114" s="343">
        <v>5</v>
      </c>
      <c r="E114" s="343">
        <v>5</v>
      </c>
      <c r="F114" s="343">
        <v>5</v>
      </c>
      <c r="G114" s="343">
        <v>5</v>
      </c>
      <c r="H114" s="343">
        <v>5</v>
      </c>
      <c r="I114" s="343">
        <v>5</v>
      </c>
      <c r="J114" s="343">
        <v>5</v>
      </c>
      <c r="K114" s="343">
        <v>5</v>
      </c>
      <c r="L114" s="343">
        <v>5.46</v>
      </c>
      <c r="M114" s="343">
        <v>6</v>
      </c>
      <c r="N114" s="343">
        <v>5.4930000000000003</v>
      </c>
      <c r="O114" s="343">
        <v>5</v>
      </c>
      <c r="P114" s="343">
        <v>61.953000000000003</v>
      </c>
    </row>
    <row r="115" spans="1:16" ht="12" x14ac:dyDescent="0.2">
      <c r="A115" s="342">
        <v>18</v>
      </c>
      <c r="B115" s="342" t="s">
        <v>81</v>
      </c>
      <c r="C115" s="4" t="s">
        <v>77</v>
      </c>
      <c r="D115" s="5">
        <v>13932.963</v>
      </c>
      <c r="E115" s="5">
        <v>13658.130000000001</v>
      </c>
      <c r="F115" s="5">
        <v>13932.393</v>
      </c>
      <c r="G115" s="5">
        <v>14191.197</v>
      </c>
      <c r="H115" s="5">
        <v>13879.897999999999</v>
      </c>
      <c r="I115" s="5">
        <v>13833.032999999999</v>
      </c>
      <c r="J115" s="5">
        <v>14564.862999999999</v>
      </c>
      <c r="K115" s="5">
        <v>13760.266</v>
      </c>
      <c r="L115" s="5">
        <v>13786.501</v>
      </c>
      <c r="M115" s="5">
        <v>15195.858</v>
      </c>
      <c r="N115" s="5">
        <v>11601.795</v>
      </c>
      <c r="O115" s="5">
        <v>13852.264999999999</v>
      </c>
      <c r="P115" s="5">
        <v>166189.16200000001</v>
      </c>
    </row>
    <row r="116" spans="1:16" ht="12" x14ac:dyDescent="0.2">
      <c r="A116" s="342">
        <v>18</v>
      </c>
      <c r="B116" s="342" t="s">
        <v>81</v>
      </c>
      <c r="C116" s="4" t="s">
        <v>82</v>
      </c>
      <c r="D116" s="5">
        <v>431.7</v>
      </c>
      <c r="E116" s="5">
        <v>399.1</v>
      </c>
      <c r="F116" s="5">
        <v>433.96500000000003</v>
      </c>
      <c r="G116" s="5">
        <v>462.63299999999998</v>
      </c>
      <c r="H116" s="5">
        <v>433.435</v>
      </c>
      <c r="I116" s="5">
        <v>428.2</v>
      </c>
      <c r="J116" s="5">
        <v>434.53300000000002</v>
      </c>
      <c r="K116" s="5">
        <v>428.96600000000001</v>
      </c>
      <c r="L116" s="5">
        <v>430.56700000000001</v>
      </c>
      <c r="M116" s="5">
        <v>511.30099999999999</v>
      </c>
      <c r="N116" s="5">
        <v>340.93400000000003</v>
      </c>
      <c r="O116" s="5">
        <v>431.53300000000002</v>
      </c>
      <c r="P116" s="5">
        <v>5166.8670000000002</v>
      </c>
    </row>
    <row r="117" spans="1:16" ht="12" x14ac:dyDescent="0.2">
      <c r="A117" s="342">
        <v>18</v>
      </c>
      <c r="B117" s="342" t="s">
        <v>81</v>
      </c>
      <c r="C117" s="4" t="s">
        <v>83</v>
      </c>
      <c r="D117" s="5">
        <v>1655.4010000000001</v>
      </c>
      <c r="E117" s="5">
        <v>1633.633</v>
      </c>
      <c r="F117" s="5">
        <v>1651.3329999999999</v>
      </c>
      <c r="G117" s="5">
        <v>1665.0340000000001</v>
      </c>
      <c r="H117" s="5">
        <v>1620.4</v>
      </c>
      <c r="I117" s="5">
        <v>1632.5989999999999</v>
      </c>
      <c r="J117" s="5">
        <v>1761.498</v>
      </c>
      <c r="K117" s="5">
        <v>1629.298</v>
      </c>
      <c r="L117" s="5">
        <v>1632.3989999999999</v>
      </c>
      <c r="M117" s="5">
        <v>1795.3009999999999</v>
      </c>
      <c r="N117" s="5">
        <v>1333.5360000000001</v>
      </c>
      <c r="O117" s="5">
        <v>1638.3330000000001</v>
      </c>
      <c r="P117" s="5">
        <v>19648.764999999999</v>
      </c>
    </row>
    <row r="118" spans="1:16" ht="12" x14ac:dyDescent="0.2">
      <c r="A118" s="342">
        <v>18</v>
      </c>
      <c r="B118" s="342" t="s">
        <v>81</v>
      </c>
      <c r="C118" s="4" t="s">
        <v>84</v>
      </c>
      <c r="D118" s="5">
        <v>459.233</v>
      </c>
      <c r="E118" s="5">
        <v>436.101</v>
      </c>
      <c r="F118" s="5">
        <v>461.43299999999999</v>
      </c>
      <c r="G118" s="5">
        <v>486.26600000000002</v>
      </c>
      <c r="H118" s="5">
        <v>457.1</v>
      </c>
      <c r="I118" s="5">
        <v>453.76499999999999</v>
      </c>
      <c r="J118" s="5">
        <v>458.80099999999999</v>
      </c>
      <c r="K118" s="5">
        <v>448.76499999999999</v>
      </c>
      <c r="L118" s="5">
        <v>448.96600000000001</v>
      </c>
      <c r="M118" s="5">
        <v>491.93400000000003</v>
      </c>
      <c r="N118" s="5">
        <v>399.93400000000003</v>
      </c>
      <c r="O118" s="5">
        <v>454.19900000000001</v>
      </c>
      <c r="P118" s="5">
        <v>5456.4970000000003</v>
      </c>
    </row>
    <row r="119" spans="1:16" ht="12" x14ac:dyDescent="0.2">
      <c r="A119" s="342">
        <v>18</v>
      </c>
      <c r="B119" s="342" t="s">
        <v>81</v>
      </c>
      <c r="C119" s="4" t="s">
        <v>60</v>
      </c>
      <c r="D119" s="5">
        <v>74313.666999999987</v>
      </c>
      <c r="E119" s="5">
        <v>72641.634999999995</v>
      </c>
      <c r="F119" s="5">
        <v>74314.64499999999</v>
      </c>
      <c r="G119" s="5">
        <v>76145.482000000004</v>
      </c>
      <c r="H119" s="5">
        <v>74124.186999999991</v>
      </c>
      <c r="I119" s="5">
        <v>73978.715000000011</v>
      </c>
      <c r="J119" s="5">
        <v>79512.59</v>
      </c>
      <c r="K119" s="5">
        <v>73691.601999999999</v>
      </c>
      <c r="L119" s="5">
        <v>73742.38</v>
      </c>
      <c r="M119" s="5">
        <v>84069.02</v>
      </c>
      <c r="N119" s="5">
        <v>57893.018000000004</v>
      </c>
      <c r="O119" s="5">
        <v>74555.327000000005</v>
      </c>
      <c r="P119" s="5">
        <v>888982.26800000004</v>
      </c>
    </row>
    <row r="120" spans="1:16" ht="12" x14ac:dyDescent="0.2">
      <c r="A120" s="342">
        <v>18</v>
      </c>
      <c r="B120" s="342" t="s">
        <v>81</v>
      </c>
      <c r="C120" s="4" t="s">
        <v>61</v>
      </c>
      <c r="D120" s="5">
        <v>15605.075000000001</v>
      </c>
      <c r="E120" s="5">
        <v>15265.446</v>
      </c>
      <c r="F120" s="5">
        <v>15865.534</v>
      </c>
      <c r="G120" s="5">
        <v>16464.824000000001</v>
      </c>
      <c r="H120" s="5">
        <v>16053.447</v>
      </c>
      <c r="I120" s="5">
        <v>16100.740999999998</v>
      </c>
      <c r="J120" s="5">
        <v>17727.405999999999</v>
      </c>
      <c r="K120" s="5">
        <v>16333.228999999999</v>
      </c>
      <c r="L120" s="5">
        <v>16483.064999999999</v>
      </c>
      <c r="M120" s="5">
        <v>18619.438999999998</v>
      </c>
      <c r="N120" s="5">
        <v>13181.431</v>
      </c>
      <c r="O120" s="5">
        <v>17025.938999999998</v>
      </c>
      <c r="P120" s="5">
        <v>194725.576</v>
      </c>
    </row>
    <row r="121" spans="1:16" ht="12" x14ac:dyDescent="0.2">
      <c r="A121" s="342">
        <v>18</v>
      </c>
      <c r="B121" s="342" t="s">
        <v>81</v>
      </c>
      <c r="C121" s="4" t="s">
        <v>85</v>
      </c>
      <c r="D121" s="5">
        <v>1</v>
      </c>
      <c r="E121" s="5">
        <v>1</v>
      </c>
      <c r="F121" s="5">
        <v>1</v>
      </c>
      <c r="G121" s="5">
        <v>1</v>
      </c>
      <c r="H121" s="5">
        <v>1</v>
      </c>
      <c r="I121" s="5">
        <v>1</v>
      </c>
      <c r="J121" s="5">
        <v>2</v>
      </c>
      <c r="K121" s="5">
        <v>1</v>
      </c>
      <c r="L121" s="5">
        <v>1</v>
      </c>
      <c r="M121" s="5">
        <v>1</v>
      </c>
      <c r="N121" s="5"/>
      <c r="O121" s="5">
        <v>1</v>
      </c>
      <c r="P121" s="5">
        <v>12</v>
      </c>
    </row>
    <row r="122" spans="1:16" ht="12" x14ac:dyDescent="0.2">
      <c r="A122" s="342">
        <v>18</v>
      </c>
      <c r="B122" s="342" t="s">
        <v>81</v>
      </c>
      <c r="C122" s="4" t="s">
        <v>86</v>
      </c>
      <c r="D122" s="5">
        <v>1</v>
      </c>
      <c r="E122" s="5">
        <v>1</v>
      </c>
      <c r="F122" s="5">
        <v>1</v>
      </c>
      <c r="G122" s="5">
        <v>1</v>
      </c>
      <c r="H122" s="5">
        <v>1</v>
      </c>
      <c r="I122" s="5">
        <v>1</v>
      </c>
      <c r="J122" s="5">
        <v>1</v>
      </c>
      <c r="K122" s="5">
        <v>1</v>
      </c>
      <c r="L122" s="5">
        <v>1</v>
      </c>
      <c r="M122" s="5">
        <v>1</v>
      </c>
      <c r="N122" s="5">
        <v>1</v>
      </c>
      <c r="O122" s="5">
        <v>1</v>
      </c>
      <c r="P122" s="5">
        <v>12</v>
      </c>
    </row>
    <row r="123" spans="1:16" ht="12" x14ac:dyDescent="0.2">
      <c r="A123" s="342">
        <v>18</v>
      </c>
      <c r="B123" s="342" t="s">
        <v>81</v>
      </c>
      <c r="C123" s="4" t="s">
        <v>62</v>
      </c>
      <c r="D123" s="5">
        <v>71</v>
      </c>
      <c r="E123" s="5">
        <v>68.7</v>
      </c>
      <c r="F123" s="5">
        <v>69</v>
      </c>
      <c r="G123" s="5">
        <v>71</v>
      </c>
      <c r="H123" s="5">
        <v>69</v>
      </c>
      <c r="I123" s="5">
        <v>69</v>
      </c>
      <c r="J123" s="5">
        <v>69.566000000000003</v>
      </c>
      <c r="K123" s="5">
        <v>68.433000000000007</v>
      </c>
      <c r="L123" s="5">
        <v>69</v>
      </c>
      <c r="M123" s="5">
        <v>73</v>
      </c>
      <c r="N123" s="5">
        <v>65</v>
      </c>
      <c r="O123" s="5">
        <v>69</v>
      </c>
      <c r="P123" s="5">
        <v>831.69899999999996</v>
      </c>
    </row>
    <row r="124" spans="1:16" ht="12" x14ac:dyDescent="0.2">
      <c r="A124" s="342">
        <v>18</v>
      </c>
      <c r="B124" s="342" t="s">
        <v>81</v>
      </c>
      <c r="C124" s="4" t="s">
        <v>87</v>
      </c>
      <c r="D124" s="5">
        <v>5</v>
      </c>
      <c r="E124" s="5">
        <v>4</v>
      </c>
      <c r="F124" s="5">
        <v>5</v>
      </c>
      <c r="G124" s="5">
        <v>6</v>
      </c>
      <c r="H124" s="5">
        <v>5</v>
      </c>
      <c r="I124" s="5">
        <v>5.0330000000000004</v>
      </c>
      <c r="J124" s="5">
        <v>5</v>
      </c>
      <c r="K124" s="5">
        <v>5</v>
      </c>
      <c r="L124" s="5">
        <v>5</v>
      </c>
      <c r="M124" s="5">
        <v>5</v>
      </c>
      <c r="N124" s="5">
        <v>5</v>
      </c>
      <c r="O124" s="5">
        <v>5</v>
      </c>
      <c r="P124" s="5">
        <v>60.033000000000001</v>
      </c>
    </row>
    <row r="125" spans="1:16" ht="12" x14ac:dyDescent="0.2">
      <c r="A125" s="342">
        <v>18</v>
      </c>
      <c r="B125" s="342" t="s">
        <v>81</v>
      </c>
      <c r="C125" s="4" t="s">
        <v>44</v>
      </c>
      <c r="D125" s="5">
        <v>1263.4000000000001</v>
      </c>
      <c r="E125" s="5">
        <v>1250.0320000000002</v>
      </c>
      <c r="F125" s="5">
        <v>1287.567</v>
      </c>
      <c r="G125" s="5">
        <v>1335.3019999999999</v>
      </c>
      <c r="H125" s="5">
        <v>1298.934</v>
      </c>
      <c r="I125" s="5">
        <v>1298.499</v>
      </c>
      <c r="J125" s="5">
        <v>1340.499</v>
      </c>
      <c r="K125" s="5">
        <v>1300.4000000000001</v>
      </c>
      <c r="L125" s="5">
        <v>1307.7329999999999</v>
      </c>
      <c r="M125" s="5">
        <v>1523.9649999999999</v>
      </c>
      <c r="N125" s="5">
        <v>1091.9010000000001</v>
      </c>
      <c r="O125" s="5">
        <v>1356.866</v>
      </c>
      <c r="P125" s="5">
        <v>15655.098</v>
      </c>
    </row>
    <row r="126" spans="1:16" ht="12" x14ac:dyDescent="0.2">
      <c r="A126" s="342">
        <v>18</v>
      </c>
      <c r="B126" s="342" t="s">
        <v>81</v>
      </c>
      <c r="C126" s="4" t="s">
        <v>63</v>
      </c>
      <c r="D126" s="5">
        <v>26</v>
      </c>
      <c r="E126" s="5">
        <v>26</v>
      </c>
      <c r="F126" s="5">
        <v>26</v>
      </c>
      <c r="G126" s="5">
        <v>25</v>
      </c>
      <c r="H126" s="5">
        <v>26</v>
      </c>
      <c r="I126" s="5">
        <v>26</v>
      </c>
      <c r="J126" s="5">
        <v>28.132999999999999</v>
      </c>
      <c r="K126" s="5">
        <v>25.667000000000002</v>
      </c>
      <c r="L126" s="5">
        <v>26</v>
      </c>
      <c r="M126" s="5">
        <v>25.966999999999999</v>
      </c>
      <c r="N126" s="5">
        <v>24</v>
      </c>
      <c r="O126" s="5">
        <v>26</v>
      </c>
      <c r="P126" s="5">
        <v>310.767</v>
      </c>
    </row>
    <row r="127" spans="1:16" ht="12" x14ac:dyDescent="0.2">
      <c r="A127" s="342">
        <v>18</v>
      </c>
      <c r="B127" s="342" t="s">
        <v>81</v>
      </c>
      <c r="C127" s="4" t="s">
        <v>45</v>
      </c>
      <c r="D127" s="5">
        <v>122.86699999999999</v>
      </c>
      <c r="E127" s="5">
        <v>119.46699999999998</v>
      </c>
      <c r="F127" s="5">
        <v>121.9</v>
      </c>
      <c r="G127" s="5">
        <v>123.967</v>
      </c>
      <c r="H127" s="5">
        <v>121</v>
      </c>
      <c r="I127" s="5">
        <v>123.267</v>
      </c>
      <c r="J127" s="5">
        <v>126.7</v>
      </c>
      <c r="K127" s="5">
        <v>122</v>
      </c>
      <c r="L127" s="5">
        <v>122</v>
      </c>
      <c r="M127" s="5">
        <v>159</v>
      </c>
      <c r="N127" s="5">
        <v>80</v>
      </c>
      <c r="O127" s="5">
        <v>122</v>
      </c>
      <c r="P127" s="5">
        <v>1464.1680000000001</v>
      </c>
    </row>
    <row r="128" spans="1:16" ht="12" x14ac:dyDescent="0.2">
      <c r="A128" s="342">
        <v>18</v>
      </c>
      <c r="B128" s="342" t="s">
        <v>81</v>
      </c>
      <c r="C128" s="4" t="s">
        <v>46</v>
      </c>
      <c r="D128" s="5">
        <v>1909</v>
      </c>
      <c r="E128" s="5">
        <v>1805.567</v>
      </c>
      <c r="F128" s="5">
        <v>1903.3329999999999</v>
      </c>
      <c r="G128" s="5">
        <v>2004.2640000000001</v>
      </c>
      <c r="H128" s="5">
        <v>1900.366</v>
      </c>
      <c r="I128" s="5">
        <v>1895.5</v>
      </c>
      <c r="J128" s="5">
        <v>1924.329</v>
      </c>
      <c r="K128" s="5">
        <v>1887.8320000000001</v>
      </c>
      <c r="L128" s="5">
        <v>1886.8999999999999</v>
      </c>
      <c r="M128" s="5">
        <v>2090.4679999999998</v>
      </c>
      <c r="N128" s="5">
        <v>1653.4670000000001</v>
      </c>
      <c r="O128" s="5">
        <v>1892.0330000000001</v>
      </c>
      <c r="P128" s="5">
        <v>22753.059000000001</v>
      </c>
    </row>
    <row r="129" spans="1:16" ht="12" x14ac:dyDescent="0.2">
      <c r="A129" s="342">
        <v>18</v>
      </c>
      <c r="B129" s="342" t="s">
        <v>81</v>
      </c>
      <c r="C129" s="4" t="s">
        <v>47</v>
      </c>
      <c r="D129" s="5">
        <v>690.76799999999992</v>
      </c>
      <c r="E129" s="5">
        <v>660.93299999999999</v>
      </c>
      <c r="F129" s="5">
        <v>604.93299999999999</v>
      </c>
      <c r="G129" s="5">
        <v>754.63400000000001</v>
      </c>
      <c r="H129" s="5">
        <v>702.19899999999996</v>
      </c>
      <c r="I129" s="5">
        <v>704.16700000000003</v>
      </c>
      <c r="J129" s="5">
        <v>732.83400000000006</v>
      </c>
      <c r="K129" s="5">
        <v>699.33199999999999</v>
      </c>
      <c r="L129" s="5">
        <v>684.1</v>
      </c>
      <c r="M129" s="5">
        <v>791.36700000000008</v>
      </c>
      <c r="N129" s="5">
        <v>606.03399999999999</v>
      </c>
      <c r="O129" s="5">
        <v>725.56600000000003</v>
      </c>
      <c r="P129" s="5">
        <v>8356.8670000000002</v>
      </c>
    </row>
    <row r="130" spans="1:16" ht="12" x14ac:dyDescent="0.2">
      <c r="A130" s="342">
        <v>18</v>
      </c>
      <c r="B130" s="342" t="s">
        <v>81</v>
      </c>
      <c r="C130" s="4" t="s">
        <v>48</v>
      </c>
      <c r="D130" s="5">
        <v>37</v>
      </c>
      <c r="E130" s="5">
        <v>35</v>
      </c>
      <c r="F130" s="5">
        <v>36</v>
      </c>
      <c r="G130" s="5">
        <v>35.966999999999999</v>
      </c>
      <c r="H130" s="5">
        <v>36</v>
      </c>
      <c r="I130" s="5">
        <v>34.131999999999998</v>
      </c>
      <c r="J130" s="5">
        <v>36</v>
      </c>
      <c r="K130" s="5">
        <v>35</v>
      </c>
      <c r="L130" s="5">
        <v>35</v>
      </c>
      <c r="M130" s="5">
        <v>40</v>
      </c>
      <c r="N130" s="5">
        <v>30.266999999999999</v>
      </c>
      <c r="O130" s="5">
        <v>33.832999999999998</v>
      </c>
      <c r="P130" s="5">
        <v>424.19899999999996</v>
      </c>
    </row>
    <row r="131" spans="1:16" ht="12" x14ac:dyDescent="0.2">
      <c r="A131" s="342">
        <v>18</v>
      </c>
      <c r="B131" s="342" t="s">
        <v>81</v>
      </c>
      <c r="C131" s="4" t="s">
        <v>49</v>
      </c>
      <c r="D131" s="5">
        <v>66</v>
      </c>
      <c r="E131" s="5">
        <v>67</v>
      </c>
      <c r="F131" s="5">
        <v>67.033000000000001</v>
      </c>
      <c r="G131" s="5">
        <v>68</v>
      </c>
      <c r="H131" s="5">
        <v>67</v>
      </c>
      <c r="I131" s="5">
        <v>66</v>
      </c>
      <c r="J131" s="5">
        <v>68</v>
      </c>
      <c r="K131" s="5">
        <v>67</v>
      </c>
      <c r="L131" s="5">
        <v>67</v>
      </c>
      <c r="M131" s="5">
        <v>70</v>
      </c>
      <c r="N131" s="5">
        <v>63.966000000000001</v>
      </c>
      <c r="O131" s="5">
        <v>66</v>
      </c>
      <c r="P131" s="5">
        <v>802.99900000000002</v>
      </c>
    </row>
    <row r="132" spans="1:16" ht="12" x14ac:dyDescent="0.2">
      <c r="A132" s="342">
        <v>18</v>
      </c>
      <c r="B132" s="342" t="s">
        <v>81</v>
      </c>
      <c r="C132" s="4" t="s">
        <v>50</v>
      </c>
      <c r="D132" s="5">
        <v>147.63300000000001</v>
      </c>
      <c r="E132" s="5">
        <v>138.333</v>
      </c>
      <c r="F132" s="5">
        <v>149.166</v>
      </c>
      <c r="G132" s="5">
        <v>159.43299999999999</v>
      </c>
      <c r="H132" s="5">
        <v>149.00200000000001</v>
      </c>
      <c r="I132" s="5">
        <v>149.30000000000001</v>
      </c>
      <c r="J132" s="5">
        <v>150.267</v>
      </c>
      <c r="K132" s="5">
        <v>147.69999999999999</v>
      </c>
      <c r="L132" s="5">
        <v>148</v>
      </c>
      <c r="M132" s="5">
        <v>153.96600000000001</v>
      </c>
      <c r="N132" s="5">
        <v>138.167</v>
      </c>
      <c r="O132" s="5">
        <v>147.59899999999999</v>
      </c>
      <c r="P132" s="5">
        <v>1778.566</v>
      </c>
    </row>
    <row r="133" spans="1:16" ht="12" x14ac:dyDescent="0.2">
      <c r="A133" s="342">
        <v>18</v>
      </c>
      <c r="B133" s="342" t="s">
        <v>81</v>
      </c>
      <c r="C133" s="4" t="s">
        <v>51</v>
      </c>
      <c r="D133" s="5">
        <v>180.20099999999999</v>
      </c>
      <c r="E133" s="5">
        <v>216.233</v>
      </c>
      <c r="F133" s="5">
        <v>222.334</v>
      </c>
      <c r="G133" s="5">
        <v>244.96699999999998</v>
      </c>
      <c r="H133" s="5">
        <v>236</v>
      </c>
      <c r="I133" s="5">
        <v>222.76599999999999</v>
      </c>
      <c r="J133" s="5">
        <v>239.7</v>
      </c>
      <c r="K133" s="5">
        <v>222.36600000000001</v>
      </c>
      <c r="L133" s="5">
        <v>221.7</v>
      </c>
      <c r="M133" s="5">
        <v>254.96600000000001</v>
      </c>
      <c r="N133" s="5">
        <v>217.1</v>
      </c>
      <c r="O133" s="5">
        <v>228.56700000000001</v>
      </c>
      <c r="P133" s="5">
        <v>2706.9</v>
      </c>
    </row>
    <row r="134" spans="1:16" ht="12" x14ac:dyDescent="0.2">
      <c r="A134" s="342">
        <v>18</v>
      </c>
      <c r="B134" s="342" t="s">
        <v>81</v>
      </c>
      <c r="C134" s="4" t="s">
        <v>52</v>
      </c>
      <c r="D134" s="5">
        <v>201.1</v>
      </c>
      <c r="E134" s="5">
        <v>219.96700000000001</v>
      </c>
      <c r="F134" s="5">
        <v>244</v>
      </c>
      <c r="G134" s="5">
        <v>260.89999999999998</v>
      </c>
      <c r="H134" s="5">
        <v>224.333</v>
      </c>
      <c r="I134" s="5">
        <v>226</v>
      </c>
      <c r="J134" s="5">
        <v>237.56700000000001</v>
      </c>
      <c r="K134" s="5">
        <v>234.96600000000001</v>
      </c>
      <c r="L134" s="5">
        <v>235.7</v>
      </c>
      <c r="M134" s="5">
        <v>250</v>
      </c>
      <c r="N134" s="5">
        <v>224.167</v>
      </c>
      <c r="O134" s="5">
        <v>235</v>
      </c>
      <c r="P134" s="5">
        <v>2793.7</v>
      </c>
    </row>
    <row r="135" spans="1:16" ht="12" x14ac:dyDescent="0.2">
      <c r="A135" s="342">
        <v>18</v>
      </c>
      <c r="B135" s="342" t="s">
        <v>81</v>
      </c>
      <c r="C135" s="4" t="s">
        <v>64</v>
      </c>
      <c r="D135" s="5">
        <v>1</v>
      </c>
      <c r="E135" s="5">
        <v>1</v>
      </c>
      <c r="F135" s="5">
        <v>1</v>
      </c>
      <c r="G135" s="5">
        <v>1</v>
      </c>
      <c r="H135" s="5">
        <v>1</v>
      </c>
      <c r="I135" s="5"/>
      <c r="J135" s="5"/>
      <c r="K135" s="5"/>
      <c r="L135" s="5"/>
      <c r="M135" s="5"/>
      <c r="N135" s="5"/>
      <c r="O135" s="5"/>
      <c r="P135" s="5">
        <v>5</v>
      </c>
    </row>
    <row r="136" spans="1:16" ht="12" x14ac:dyDescent="0.2">
      <c r="A136" s="342">
        <v>18</v>
      </c>
      <c r="B136" s="342" t="s">
        <v>81</v>
      </c>
      <c r="C136" s="4" t="s">
        <v>53</v>
      </c>
      <c r="D136" s="5">
        <v>1</v>
      </c>
      <c r="E136" s="5">
        <v>1</v>
      </c>
      <c r="F136" s="5">
        <v>1</v>
      </c>
      <c r="G136" s="5">
        <v>1</v>
      </c>
      <c r="H136" s="5">
        <v>1</v>
      </c>
      <c r="I136" s="5">
        <v>1</v>
      </c>
      <c r="J136" s="5">
        <v>1</v>
      </c>
      <c r="K136" s="5">
        <v>1</v>
      </c>
      <c r="L136" s="5">
        <v>1</v>
      </c>
      <c r="M136" s="5">
        <v>1</v>
      </c>
      <c r="N136" s="5">
        <v>1</v>
      </c>
      <c r="O136" s="5">
        <v>1</v>
      </c>
      <c r="P136" s="5">
        <v>12</v>
      </c>
    </row>
    <row r="137" spans="1:16" ht="12" x14ac:dyDescent="0.2">
      <c r="A137" s="342">
        <v>18</v>
      </c>
      <c r="B137" s="342" t="s">
        <v>81</v>
      </c>
      <c r="C137" s="4" t="s">
        <v>55</v>
      </c>
      <c r="D137" s="5">
        <v>1</v>
      </c>
      <c r="E137" s="5">
        <v>1</v>
      </c>
      <c r="F137" s="5">
        <v>1</v>
      </c>
      <c r="G137" s="5">
        <v>1</v>
      </c>
      <c r="H137" s="5">
        <v>1</v>
      </c>
      <c r="I137" s="5">
        <v>1</v>
      </c>
      <c r="J137" s="5">
        <v>1</v>
      </c>
      <c r="K137" s="5">
        <v>1</v>
      </c>
      <c r="L137" s="5">
        <v>1</v>
      </c>
      <c r="M137" s="5">
        <v>1</v>
      </c>
      <c r="N137" s="5">
        <v>1</v>
      </c>
      <c r="O137" s="5">
        <v>1</v>
      </c>
      <c r="P137" s="5">
        <v>12</v>
      </c>
    </row>
    <row r="138" spans="1:16" ht="12" x14ac:dyDescent="0.2">
      <c r="A138" s="342">
        <v>18</v>
      </c>
      <c r="B138" s="342" t="s">
        <v>81</v>
      </c>
      <c r="C138" s="4" t="s">
        <v>56</v>
      </c>
      <c r="D138" s="5">
        <v>26.300999999999998</v>
      </c>
      <c r="E138" s="5">
        <v>60.900000000000006</v>
      </c>
      <c r="F138" s="5">
        <v>83.766999999999996</v>
      </c>
      <c r="G138" s="5">
        <v>71.766999999999996</v>
      </c>
      <c r="H138" s="5">
        <v>71.867000000000004</v>
      </c>
      <c r="I138" s="5">
        <v>78.2</v>
      </c>
      <c r="J138" s="5">
        <v>82.9</v>
      </c>
      <c r="K138" s="5">
        <v>81.033000000000001</v>
      </c>
      <c r="L138" s="5">
        <v>78.667000000000002</v>
      </c>
      <c r="M138" s="5">
        <v>89.7</v>
      </c>
      <c r="N138" s="5">
        <v>71.533000000000001</v>
      </c>
      <c r="O138" s="5">
        <v>80.667000000000002</v>
      </c>
      <c r="P138" s="5">
        <v>877.30200000000013</v>
      </c>
    </row>
    <row r="139" spans="1:16" ht="12" x14ac:dyDescent="0.2">
      <c r="A139" s="342">
        <v>18</v>
      </c>
      <c r="B139" s="342" t="s">
        <v>81</v>
      </c>
      <c r="C139" s="4" t="s">
        <v>57</v>
      </c>
      <c r="D139" s="5">
        <v>-8.1669999999999998</v>
      </c>
      <c r="E139" s="5">
        <v>40.533999999999999</v>
      </c>
      <c r="F139" s="5">
        <v>41</v>
      </c>
      <c r="G139" s="5">
        <v>41</v>
      </c>
      <c r="H139" s="5">
        <v>39.332999999999998</v>
      </c>
      <c r="I139" s="5">
        <v>38.299999999999997</v>
      </c>
      <c r="J139" s="5">
        <v>39</v>
      </c>
      <c r="K139" s="5">
        <v>38</v>
      </c>
      <c r="L139" s="5">
        <v>11.134</v>
      </c>
      <c r="M139" s="5">
        <v>39.567</v>
      </c>
      <c r="N139" s="5">
        <v>34.798999999999999</v>
      </c>
      <c r="O139" s="5">
        <v>42.098999999999997</v>
      </c>
      <c r="P139" s="5">
        <v>396.59899999999999</v>
      </c>
    </row>
    <row r="140" spans="1:16" ht="12" x14ac:dyDescent="0.2">
      <c r="A140" s="342">
        <v>18</v>
      </c>
      <c r="B140" s="342" t="s">
        <v>81</v>
      </c>
      <c r="C140" s="4" t="s">
        <v>35</v>
      </c>
      <c r="D140" s="5">
        <v>2</v>
      </c>
      <c r="E140" s="5">
        <v>13</v>
      </c>
      <c r="F140" s="5">
        <v>14</v>
      </c>
      <c r="G140" s="5">
        <v>14</v>
      </c>
      <c r="H140" s="5">
        <v>13.867000000000001</v>
      </c>
      <c r="I140" s="5">
        <v>14</v>
      </c>
      <c r="J140" s="5">
        <v>14</v>
      </c>
      <c r="K140" s="5">
        <v>14</v>
      </c>
      <c r="L140" s="5">
        <v>14</v>
      </c>
      <c r="M140" s="5">
        <v>17</v>
      </c>
      <c r="N140" s="5">
        <v>10.199999999999999</v>
      </c>
      <c r="O140" s="5">
        <v>12.8</v>
      </c>
      <c r="P140" s="5">
        <v>152.86700000000002</v>
      </c>
    </row>
    <row r="141" spans="1:16" ht="12" x14ac:dyDescent="0.2">
      <c r="A141" s="342">
        <v>18</v>
      </c>
      <c r="B141" s="342" t="s">
        <v>81</v>
      </c>
      <c r="C141" s="4" t="s">
        <v>36</v>
      </c>
      <c r="D141" s="5">
        <v>2.0329999999999999</v>
      </c>
      <c r="E141" s="5">
        <v>2</v>
      </c>
      <c r="F141" s="5">
        <v>2</v>
      </c>
      <c r="G141" s="5">
        <v>2</v>
      </c>
      <c r="H141" s="5">
        <v>2</v>
      </c>
      <c r="I141" s="5">
        <v>2</v>
      </c>
      <c r="J141" s="5">
        <v>2</v>
      </c>
      <c r="K141" s="5">
        <v>2</v>
      </c>
      <c r="L141" s="5">
        <v>2</v>
      </c>
      <c r="M141" s="5">
        <v>2</v>
      </c>
      <c r="N141" s="5">
        <v>1</v>
      </c>
      <c r="O141" s="5">
        <v>3.4329999999999998</v>
      </c>
      <c r="P141" s="5">
        <v>24.466000000000001</v>
      </c>
    </row>
    <row r="142" spans="1:16" ht="12" x14ac:dyDescent="0.2">
      <c r="A142" s="342">
        <v>18</v>
      </c>
      <c r="B142" s="342" t="s">
        <v>81</v>
      </c>
      <c r="C142" s="4" t="s">
        <v>41</v>
      </c>
      <c r="D142" s="5">
        <v>74.63300000000001</v>
      </c>
      <c r="E142" s="5">
        <v>36.733000000000004</v>
      </c>
      <c r="F142" s="5">
        <v>41.567</v>
      </c>
      <c r="G142" s="5">
        <v>24.766999999999999</v>
      </c>
      <c r="H142" s="5">
        <v>32.799999999999997</v>
      </c>
      <c r="I142" s="5">
        <v>41</v>
      </c>
      <c r="J142" s="5">
        <v>45.533000000000001</v>
      </c>
      <c r="K142" s="5">
        <v>14</v>
      </c>
      <c r="L142" s="5">
        <v>0.76700000000000002</v>
      </c>
      <c r="M142" s="5">
        <v>19</v>
      </c>
      <c r="N142" s="5">
        <v>127.233</v>
      </c>
      <c r="O142" s="5">
        <v>8.8330000000000002</v>
      </c>
      <c r="P142" s="5">
        <v>466.86600000000004</v>
      </c>
    </row>
    <row r="143" spans="1:16" ht="12" x14ac:dyDescent="0.2">
      <c r="A143" s="342">
        <v>18</v>
      </c>
      <c r="B143" s="342" t="s">
        <v>88</v>
      </c>
      <c r="C143" s="342"/>
      <c r="D143" s="343">
        <v>111219.80799999998</v>
      </c>
      <c r="E143" s="343">
        <v>108803.44399999999</v>
      </c>
      <c r="F143" s="343">
        <v>111582.90299999998</v>
      </c>
      <c r="G143" s="343">
        <v>114663.40400000004</v>
      </c>
      <c r="H143" s="343">
        <v>111568.16799999996</v>
      </c>
      <c r="I143" s="343">
        <v>111424.217</v>
      </c>
      <c r="J143" s="343">
        <v>119606.719</v>
      </c>
      <c r="K143" s="343">
        <v>111260.85499999997</v>
      </c>
      <c r="L143" s="343">
        <v>111442.57900000001</v>
      </c>
      <c r="M143" s="343">
        <v>126291.81899999999</v>
      </c>
      <c r="N143" s="343">
        <v>89197.482000000004</v>
      </c>
      <c r="O143" s="343">
        <v>113016.89200000001</v>
      </c>
      <c r="P143" s="343">
        <v>1340078.2900000003</v>
      </c>
    </row>
    <row r="144" spans="1:16" ht="12" x14ac:dyDescent="0.2">
      <c r="A144" s="341" t="s">
        <v>89</v>
      </c>
      <c r="B144" s="341"/>
      <c r="C144" s="341"/>
      <c r="D144" s="344">
        <v>113670.69499999999</v>
      </c>
      <c r="E144" s="344">
        <v>111013.30999999998</v>
      </c>
      <c r="F144" s="344">
        <v>113913.20299999998</v>
      </c>
      <c r="G144" s="344">
        <v>116961.06800000003</v>
      </c>
      <c r="H144" s="344">
        <v>113833.06699999997</v>
      </c>
      <c r="I144" s="344">
        <v>113685.012</v>
      </c>
      <c r="J144" s="344">
        <v>121921.11899999999</v>
      </c>
      <c r="K144" s="344">
        <v>113531.45499999997</v>
      </c>
      <c r="L144" s="344">
        <v>113748.87300000001</v>
      </c>
      <c r="M144" s="344">
        <v>128698.95099999999</v>
      </c>
      <c r="N144" s="344">
        <v>91138.941000000006</v>
      </c>
      <c r="O144" s="344">
        <v>115302.49</v>
      </c>
      <c r="P144" s="344">
        <v>1367418.1840000001</v>
      </c>
    </row>
    <row r="145" spans="1:16" ht="12" x14ac:dyDescent="0.2">
      <c r="A145" s="341" t="s">
        <v>30</v>
      </c>
      <c r="B145" s="341"/>
      <c r="C145" s="341"/>
      <c r="D145" s="344">
        <v>113670.69499999999</v>
      </c>
      <c r="E145" s="344">
        <v>111013.30999999998</v>
      </c>
      <c r="F145" s="344">
        <v>113913.20299999998</v>
      </c>
      <c r="G145" s="344">
        <v>116961.06800000003</v>
      </c>
      <c r="H145" s="344">
        <v>113833.06699999997</v>
      </c>
      <c r="I145" s="344">
        <v>113685.012</v>
      </c>
      <c r="J145" s="344">
        <v>121921.11899999999</v>
      </c>
      <c r="K145" s="344">
        <v>113531.45499999997</v>
      </c>
      <c r="L145" s="344">
        <v>113748.87300000001</v>
      </c>
      <c r="M145" s="344">
        <v>128698.95099999999</v>
      </c>
      <c r="N145" s="344">
        <v>91138.941000000006</v>
      </c>
      <c r="O145" s="344">
        <v>115302.49</v>
      </c>
      <c r="P145" s="344">
        <v>1367418.1840000001</v>
      </c>
    </row>
  </sheetData>
  <pageMargins left="0.7" right="0.7" top="1.427" bottom="0.75" header="0.3" footer="0.3"/>
  <pageSetup orientation="portrait" r:id="rId1"/>
  <headerFooter>
    <oddHeader>&amp;CMIDAMERICAN ENERGY COMPANY
2026 SOUTH DAKOTA GAS RATE CASE
Docket No. NG26-___
Statement O-Workpapers Support
FOR THE YEAR ENDING DECEMBER 31, 2025&amp;RStratton Direct Exhibit 1.2, WP1
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E2A9-8196-4199-B1F9-FEC1421CB3BF}">
  <dimension ref="A1:BX51"/>
  <sheetViews>
    <sheetView view="pageLayout" zoomScaleNormal="85" workbookViewId="0"/>
  </sheetViews>
  <sheetFormatPr defaultColWidth="9.140625" defaultRowHeight="12.75" x14ac:dyDescent="0.2"/>
  <cols>
    <col min="1" max="1" width="12.28515625" style="110" customWidth="1"/>
    <col min="2" max="2" width="10.85546875" style="110" bestFit="1" customWidth="1"/>
    <col min="3" max="3" width="29.28515625" style="110" customWidth="1"/>
    <col min="4" max="4" width="11.28515625" style="110" bestFit="1" customWidth="1"/>
    <col min="5" max="5" width="13.140625" style="110" bestFit="1" customWidth="1"/>
    <col min="6" max="6" width="9.85546875" style="110" customWidth="1"/>
    <col min="7" max="7" width="8.140625" style="112" bestFit="1" customWidth="1"/>
    <col min="8" max="10" width="10.7109375" style="110" bestFit="1" customWidth="1"/>
    <col min="11" max="11" width="8.140625" style="112" bestFit="1" customWidth="1"/>
    <col min="12" max="13" width="10.7109375" style="110" bestFit="1" customWidth="1"/>
    <col min="14" max="14" width="11.5703125" style="110" customWidth="1"/>
    <col min="15" max="15" width="8.140625" style="112" bestFit="1" customWidth="1"/>
    <col min="16" max="16" width="10.7109375" style="110" customWidth="1"/>
    <col min="17" max="17" width="12.28515625" style="110" bestFit="1" customWidth="1"/>
    <col min="18" max="18" width="11.5703125" style="110" customWidth="1"/>
    <col min="19" max="19" width="8.140625" style="112" bestFit="1" customWidth="1"/>
    <col min="20" max="20" width="10.7109375" style="110" customWidth="1"/>
    <col min="21" max="21" width="11.5703125" style="110" bestFit="1" customWidth="1"/>
    <col min="22" max="22" width="12.28515625" style="110" bestFit="1" customWidth="1"/>
    <col min="23" max="23" width="8.140625" style="112" bestFit="1" customWidth="1"/>
    <col min="24" max="24" width="10.7109375" style="110" bestFit="1" customWidth="1"/>
    <col min="25" max="26" width="12.28515625" style="110" bestFit="1" customWidth="1"/>
    <col min="27" max="27" width="8.140625" style="112" bestFit="1" customWidth="1"/>
    <col min="28" max="28" width="10.7109375" style="110" bestFit="1" customWidth="1"/>
    <col min="29" max="29" width="11.5703125" style="110" customWidth="1"/>
    <col min="30" max="30" width="12.28515625" style="110" bestFit="1" customWidth="1"/>
    <col min="31" max="31" width="8.140625" style="112" bestFit="1" customWidth="1"/>
    <col min="32" max="32" width="12.28515625" style="110" bestFit="1" customWidth="1"/>
    <col min="33" max="34" width="11.5703125" style="110" customWidth="1"/>
    <col min="35" max="35" width="8.140625" style="112" bestFit="1" customWidth="1"/>
    <col min="36" max="36" width="12.28515625" style="110" bestFit="1" customWidth="1"/>
    <col min="37" max="38" width="11.5703125" style="110" customWidth="1"/>
    <col min="39" max="39" width="8.140625" style="112" bestFit="1" customWidth="1"/>
    <col min="40" max="40" width="12.28515625" style="110" bestFit="1" customWidth="1"/>
    <col min="41" max="42" width="11.5703125" style="110" customWidth="1"/>
    <col min="43" max="43" width="9.28515625" style="112" bestFit="1" customWidth="1"/>
    <col min="44" max="44" width="13.42578125" style="110" bestFit="1" customWidth="1"/>
    <col min="45" max="45" width="11.5703125" style="110" bestFit="1" customWidth="1"/>
    <col min="46" max="46" width="12" style="110" bestFit="1" customWidth="1"/>
    <col min="47" max="47" width="9.28515625" style="112" bestFit="1" customWidth="1"/>
    <col min="48" max="48" width="13.42578125" style="110" bestFit="1" customWidth="1"/>
    <col min="49" max="50" width="12.28515625" style="110" bestFit="1" customWidth="1"/>
    <col min="51" max="51" width="9.28515625" style="112" bestFit="1" customWidth="1"/>
    <col min="52" max="52" width="13.42578125" style="110" bestFit="1" customWidth="1"/>
    <col min="53" max="54" width="12.28515625" style="110" bestFit="1" customWidth="1"/>
    <col min="55" max="55" width="12.42578125" style="112" bestFit="1" customWidth="1"/>
    <col min="56" max="56" width="13.42578125" style="112" bestFit="1" customWidth="1"/>
    <col min="57" max="57" width="12.5703125" style="112" bestFit="1" customWidth="1"/>
    <col min="58" max="58" width="14.42578125" style="110" bestFit="1" customWidth="1"/>
    <col min="59" max="59" width="3.85546875" style="110" customWidth="1"/>
    <col min="60" max="63" width="11.28515625" style="110" customWidth="1"/>
    <col min="64" max="64" width="4" style="110" customWidth="1"/>
    <col min="65" max="65" width="12.42578125" style="110" customWidth="1"/>
    <col min="66" max="66" width="15.85546875" style="110" customWidth="1"/>
    <col min="67" max="67" width="15.28515625" style="110" customWidth="1"/>
    <col min="68" max="69" width="12" style="110" customWidth="1"/>
    <col min="70" max="70" width="13.7109375" style="110" bestFit="1" customWidth="1"/>
    <col min="71" max="71" width="13.140625" style="110" customWidth="1"/>
    <col min="72" max="72" width="13.5703125" style="110" customWidth="1"/>
    <col min="73" max="73" width="13.5703125" style="110" bestFit="1" customWidth="1"/>
    <col min="74" max="74" width="13.140625" style="110" customWidth="1"/>
    <col min="75" max="75" width="13.5703125" style="110" customWidth="1"/>
    <col min="76" max="76" width="13.5703125" style="110" bestFit="1" customWidth="1"/>
    <col min="77" max="16384" width="9.140625" style="110"/>
  </cols>
  <sheetData>
    <row r="1" spans="1:76" x14ac:dyDescent="0.2">
      <c r="D1" s="111"/>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322"/>
      <c r="AU1" s="322"/>
      <c r="AV1" s="322"/>
      <c r="AW1" s="322"/>
      <c r="AX1" s="322"/>
      <c r="AY1" s="322"/>
      <c r="AZ1" s="322"/>
      <c r="BA1" s="322"/>
      <c r="BB1" s="322"/>
    </row>
    <row r="2" spans="1:76" x14ac:dyDescent="0.2">
      <c r="C2" s="113">
        <v>2026</v>
      </c>
      <c r="D2" s="114"/>
      <c r="E2" s="115"/>
      <c r="F2" s="116"/>
      <c r="G2" s="314" t="s">
        <v>90</v>
      </c>
      <c r="H2" s="320"/>
      <c r="I2" s="321"/>
      <c r="J2" s="316"/>
      <c r="K2" s="314" t="s">
        <v>91</v>
      </c>
      <c r="L2" s="320"/>
      <c r="M2" s="321"/>
      <c r="N2" s="316"/>
      <c r="O2" s="314" t="s">
        <v>92</v>
      </c>
      <c r="P2" s="320"/>
      <c r="Q2" s="321"/>
      <c r="R2" s="316"/>
      <c r="S2" s="314" t="s">
        <v>93</v>
      </c>
      <c r="T2" s="320"/>
      <c r="U2" s="321"/>
      <c r="V2" s="316"/>
      <c r="W2" s="314" t="s">
        <v>94</v>
      </c>
      <c r="X2" s="320"/>
      <c r="Y2" s="321"/>
      <c r="Z2" s="316"/>
      <c r="AA2" s="314" t="s">
        <v>95</v>
      </c>
      <c r="AB2" s="320"/>
      <c r="AC2" s="321"/>
      <c r="AD2" s="316"/>
      <c r="AE2" s="314" t="s">
        <v>96</v>
      </c>
      <c r="AF2" s="320"/>
      <c r="AG2" s="321"/>
      <c r="AH2" s="316"/>
      <c r="AI2" s="314" t="s">
        <v>97</v>
      </c>
      <c r="AJ2" s="320"/>
      <c r="AK2" s="321"/>
      <c r="AL2" s="316"/>
      <c r="AM2" s="314" t="s">
        <v>98</v>
      </c>
      <c r="AN2" s="320"/>
      <c r="AO2" s="321"/>
      <c r="AP2" s="316"/>
      <c r="AQ2" s="314" t="s">
        <v>99</v>
      </c>
      <c r="AR2" s="320"/>
      <c r="AS2" s="321"/>
      <c r="AT2" s="316"/>
      <c r="AU2" s="314" t="s">
        <v>100</v>
      </c>
      <c r="AV2" s="320"/>
      <c r="AW2" s="321"/>
      <c r="AX2" s="316"/>
      <c r="AY2" s="314" t="s">
        <v>101</v>
      </c>
      <c r="AZ2" s="320"/>
      <c r="BA2" s="321"/>
      <c r="BB2" s="316"/>
      <c r="BC2" s="314" t="s">
        <v>102</v>
      </c>
      <c r="BD2" s="315"/>
      <c r="BE2" s="315"/>
      <c r="BF2" s="316"/>
      <c r="BG2" s="117"/>
      <c r="BH2" s="117"/>
      <c r="BI2" s="117"/>
      <c r="BJ2" s="117"/>
      <c r="BK2" s="117"/>
    </row>
    <row r="3" spans="1:76" ht="30" customHeight="1" x14ac:dyDescent="0.2">
      <c r="A3" s="110" t="s">
        <v>103</v>
      </c>
      <c r="B3" s="110" t="s">
        <v>104</v>
      </c>
      <c r="C3" s="118" t="s">
        <v>105</v>
      </c>
      <c r="D3" s="119" t="s">
        <v>106</v>
      </c>
      <c r="E3" s="120" t="s">
        <v>107</v>
      </c>
      <c r="F3" s="120" t="s">
        <v>108</v>
      </c>
      <c r="G3" s="121" t="s">
        <v>109</v>
      </c>
      <c r="H3" s="122" t="s">
        <v>110</v>
      </c>
      <c r="I3" s="123" t="s">
        <v>111</v>
      </c>
      <c r="J3" s="124" t="s">
        <v>112</v>
      </c>
      <c r="K3" s="121" t="s">
        <v>109</v>
      </c>
      <c r="L3" s="122" t="s">
        <v>110</v>
      </c>
      <c r="M3" s="123" t="s">
        <v>111</v>
      </c>
      <c r="N3" s="124" t="s">
        <v>112</v>
      </c>
      <c r="O3" s="121" t="s">
        <v>109</v>
      </c>
      <c r="P3" s="122" t="s">
        <v>110</v>
      </c>
      <c r="Q3" s="123" t="s">
        <v>111</v>
      </c>
      <c r="R3" s="124" t="s">
        <v>112</v>
      </c>
      <c r="S3" s="121" t="s">
        <v>109</v>
      </c>
      <c r="T3" s="122" t="s">
        <v>110</v>
      </c>
      <c r="U3" s="123" t="s">
        <v>111</v>
      </c>
      <c r="V3" s="124" t="s">
        <v>112</v>
      </c>
      <c r="W3" s="121" t="s">
        <v>109</v>
      </c>
      <c r="X3" s="122" t="s">
        <v>110</v>
      </c>
      <c r="Y3" s="123" t="s">
        <v>111</v>
      </c>
      <c r="Z3" s="124" t="s">
        <v>112</v>
      </c>
      <c r="AA3" s="121" t="s">
        <v>109</v>
      </c>
      <c r="AB3" s="122" t="s">
        <v>110</v>
      </c>
      <c r="AC3" s="123" t="s">
        <v>111</v>
      </c>
      <c r="AD3" s="124" t="s">
        <v>112</v>
      </c>
      <c r="AE3" s="121" t="s">
        <v>109</v>
      </c>
      <c r="AF3" s="122" t="s">
        <v>110</v>
      </c>
      <c r="AG3" s="123" t="s">
        <v>111</v>
      </c>
      <c r="AH3" s="124" t="s">
        <v>112</v>
      </c>
      <c r="AI3" s="121" t="s">
        <v>109</v>
      </c>
      <c r="AJ3" s="122" t="s">
        <v>110</v>
      </c>
      <c r="AK3" s="123" t="s">
        <v>111</v>
      </c>
      <c r="AL3" s="124" t="s">
        <v>112</v>
      </c>
      <c r="AM3" s="121" t="s">
        <v>109</v>
      </c>
      <c r="AN3" s="122" t="s">
        <v>110</v>
      </c>
      <c r="AO3" s="123" t="s">
        <v>111</v>
      </c>
      <c r="AP3" s="124" t="s">
        <v>112</v>
      </c>
      <c r="AQ3" s="121" t="s">
        <v>109</v>
      </c>
      <c r="AR3" s="122" t="s">
        <v>110</v>
      </c>
      <c r="AS3" s="123" t="s">
        <v>111</v>
      </c>
      <c r="AT3" s="124" t="s">
        <v>112</v>
      </c>
      <c r="AU3" s="121" t="s">
        <v>109</v>
      </c>
      <c r="AV3" s="122" t="s">
        <v>110</v>
      </c>
      <c r="AW3" s="123" t="s">
        <v>111</v>
      </c>
      <c r="AX3" s="124" t="s">
        <v>112</v>
      </c>
      <c r="AY3" s="121" t="s">
        <v>109</v>
      </c>
      <c r="AZ3" s="122" t="s">
        <v>110</v>
      </c>
      <c r="BA3" s="123" t="s">
        <v>111</v>
      </c>
      <c r="BB3" s="124" t="s">
        <v>112</v>
      </c>
      <c r="BC3" s="125" t="s">
        <v>109</v>
      </c>
      <c r="BD3" s="122" t="s">
        <v>110</v>
      </c>
      <c r="BE3" s="123" t="s">
        <v>108</v>
      </c>
      <c r="BF3" s="126" t="s">
        <v>113</v>
      </c>
      <c r="BG3" s="104"/>
      <c r="BH3" s="104">
        <v>2026</v>
      </c>
      <c r="BI3" s="104">
        <v>2027</v>
      </c>
      <c r="BJ3" s="104">
        <v>2028</v>
      </c>
      <c r="BK3" s="104">
        <v>2029</v>
      </c>
      <c r="BM3" s="104" t="s">
        <v>114</v>
      </c>
      <c r="BN3" s="104" t="s">
        <v>115</v>
      </c>
      <c r="BO3" s="104">
        <v>2026</v>
      </c>
      <c r="BP3" s="104" t="s">
        <v>114</v>
      </c>
      <c r="BQ3" s="104" t="s">
        <v>115</v>
      </c>
      <c r="BR3" s="104">
        <v>2027</v>
      </c>
      <c r="BS3" s="104" t="s">
        <v>114</v>
      </c>
      <c r="BT3" s="104" t="s">
        <v>115</v>
      </c>
      <c r="BU3" s="104">
        <v>2028</v>
      </c>
      <c r="BV3" s="104" t="s">
        <v>114</v>
      </c>
      <c r="BW3" s="104" t="s">
        <v>115</v>
      </c>
      <c r="BX3" s="104">
        <v>2029</v>
      </c>
    </row>
    <row r="4" spans="1:76" ht="15.75" x14ac:dyDescent="0.25">
      <c r="A4" s="317" t="s">
        <v>116</v>
      </c>
      <c r="B4" s="317"/>
      <c r="C4" s="318"/>
      <c r="D4" s="127" t="s">
        <v>117</v>
      </c>
      <c r="E4" s="128"/>
      <c r="F4" s="129">
        <v>2026</v>
      </c>
      <c r="G4" s="130"/>
      <c r="H4" s="131"/>
      <c r="I4" s="131"/>
      <c r="J4" s="132"/>
      <c r="K4" s="130"/>
      <c r="L4" s="131"/>
      <c r="M4" s="131"/>
      <c r="N4" s="132"/>
      <c r="O4" s="130"/>
      <c r="P4" s="131"/>
      <c r="Q4" s="131"/>
      <c r="R4" s="132"/>
      <c r="S4" s="130"/>
      <c r="T4" s="131"/>
      <c r="U4" s="131"/>
      <c r="V4" s="132"/>
      <c r="W4" s="130"/>
      <c r="X4" s="131"/>
      <c r="Y4" s="131"/>
      <c r="Z4" s="132"/>
      <c r="AA4" s="130"/>
      <c r="AB4" s="131"/>
      <c r="AC4" s="131"/>
      <c r="AD4" s="132"/>
      <c r="AE4" s="130"/>
      <c r="AF4" s="131"/>
      <c r="AG4" s="131"/>
      <c r="AH4" s="132"/>
      <c r="AI4" s="130"/>
      <c r="AJ4" s="131"/>
      <c r="AK4" s="131"/>
      <c r="AL4" s="132"/>
      <c r="AM4" s="130"/>
      <c r="AN4" s="131"/>
      <c r="AO4" s="131"/>
      <c r="AP4" s="132"/>
      <c r="AQ4" s="130"/>
      <c r="AR4" s="131"/>
      <c r="AS4" s="131"/>
      <c r="AT4" s="132"/>
      <c r="AU4" s="130"/>
      <c r="AV4" s="131"/>
      <c r="AW4" s="131"/>
      <c r="AX4" s="132"/>
      <c r="AY4" s="130"/>
      <c r="AZ4" s="131"/>
      <c r="BA4" s="131"/>
      <c r="BB4" s="132"/>
      <c r="BC4" s="133"/>
      <c r="BD4" s="134"/>
      <c r="BE4" s="134"/>
      <c r="BF4" s="135"/>
      <c r="BG4" s="136"/>
      <c r="BH4" s="136"/>
      <c r="BI4" s="136"/>
      <c r="BJ4" s="136"/>
      <c r="BK4" s="136"/>
    </row>
    <row r="5" spans="1:76" x14ac:dyDescent="0.2">
      <c r="A5" s="110" t="s">
        <v>118</v>
      </c>
      <c r="B5" s="110" t="s">
        <v>119</v>
      </c>
      <c r="C5" s="137" t="s">
        <v>120</v>
      </c>
      <c r="D5" s="108">
        <v>115.33</v>
      </c>
      <c r="E5" s="108">
        <f>D5*1.07</f>
        <v>123.40310000000001</v>
      </c>
      <c r="F5" s="109">
        <v>257</v>
      </c>
      <c r="G5" s="138">
        <v>0</v>
      </c>
      <c r="H5" s="139">
        <f>G5*$E5</f>
        <v>0</v>
      </c>
      <c r="I5" s="140">
        <f>G5*$F5</f>
        <v>0</v>
      </c>
      <c r="J5" s="141">
        <f>SUM(H5:I5)</f>
        <v>0</v>
      </c>
      <c r="K5" s="138">
        <v>0</v>
      </c>
      <c r="L5" s="139">
        <f>K5*$E5</f>
        <v>0</v>
      </c>
      <c r="M5" s="140">
        <f>K5*$F5</f>
        <v>0</v>
      </c>
      <c r="N5" s="141">
        <f>SUM(L5:M5)</f>
        <v>0</v>
      </c>
      <c r="O5" s="138">
        <v>0</v>
      </c>
      <c r="P5" s="139">
        <f>O5*$E5</f>
        <v>0</v>
      </c>
      <c r="Q5" s="140">
        <f>O5*$F5</f>
        <v>0</v>
      </c>
      <c r="R5" s="141">
        <f>SUM(P5:Q5)</f>
        <v>0</v>
      </c>
      <c r="S5" s="138">
        <v>0</v>
      </c>
      <c r="T5" s="139">
        <f>S5*$E5</f>
        <v>0</v>
      </c>
      <c r="U5" s="140">
        <f>S5*$F5</f>
        <v>0</v>
      </c>
      <c r="V5" s="141">
        <f>SUM(T5:U5)</f>
        <v>0</v>
      </c>
      <c r="W5" s="138"/>
      <c r="X5" s="139">
        <f>W5*$E5</f>
        <v>0</v>
      </c>
      <c r="Y5" s="140">
        <f>W5*$F5</f>
        <v>0</v>
      </c>
      <c r="Z5" s="141">
        <f>SUM(X5:Y5)</f>
        <v>0</v>
      </c>
      <c r="AA5" s="138">
        <v>0</v>
      </c>
      <c r="AB5" s="139">
        <f>AA5*$E5</f>
        <v>0</v>
      </c>
      <c r="AC5" s="140">
        <f>AA5*$F5</f>
        <v>0</v>
      </c>
      <c r="AD5" s="141">
        <f>SUM(AB5:AC5)</f>
        <v>0</v>
      </c>
      <c r="AE5" s="138"/>
      <c r="AF5" s="139">
        <f>AE5*$E5</f>
        <v>0</v>
      </c>
      <c r="AG5" s="140">
        <f>AE5*$F5</f>
        <v>0</v>
      </c>
      <c r="AH5" s="141">
        <f>SUM(AF5:AG5)</f>
        <v>0</v>
      </c>
      <c r="AI5" s="138">
        <v>0</v>
      </c>
      <c r="AJ5" s="139">
        <f>AI5*$E5</f>
        <v>0</v>
      </c>
      <c r="AK5" s="140">
        <f>AI5*$F5</f>
        <v>0</v>
      </c>
      <c r="AL5" s="141">
        <f>SUM(AJ5:AK5)</f>
        <v>0</v>
      </c>
      <c r="AM5" s="138">
        <v>0</v>
      </c>
      <c r="AN5" s="139">
        <f>AM5*$E5</f>
        <v>0</v>
      </c>
      <c r="AO5" s="140">
        <f>AM5*$F5</f>
        <v>0</v>
      </c>
      <c r="AP5" s="141">
        <f>SUM(AN5:AO5)</f>
        <v>0</v>
      </c>
      <c r="AQ5" s="138"/>
      <c r="AR5" s="139">
        <f>AQ5*$E5</f>
        <v>0</v>
      </c>
      <c r="AS5" s="140">
        <f>AQ5*$F5</f>
        <v>0</v>
      </c>
      <c r="AT5" s="141">
        <f>SUM(AR5:AS5)</f>
        <v>0</v>
      </c>
      <c r="AU5" s="138">
        <v>0</v>
      </c>
      <c r="AV5" s="139">
        <f>AU5*$E5</f>
        <v>0</v>
      </c>
      <c r="AW5" s="140">
        <f>AU5*$F5</f>
        <v>0</v>
      </c>
      <c r="AX5" s="141">
        <f>SUM(AV5:AW5)</f>
        <v>0</v>
      </c>
      <c r="AY5" s="138"/>
      <c r="AZ5" s="139">
        <f>AY5*$E5</f>
        <v>0</v>
      </c>
      <c r="BA5" s="140">
        <f>AY5*$F5</f>
        <v>0</v>
      </c>
      <c r="BB5" s="141">
        <f>SUM(AZ5:BA5)</f>
        <v>0</v>
      </c>
      <c r="BC5" s="142">
        <f>SUM(G5,K5,O5,S5,W5,AA5,AE5,AI5,AM5,AQ5,AU5,AY5)</f>
        <v>0</v>
      </c>
      <c r="BD5" s="139">
        <f>SUM(AZ5,AV5,AR5,AN5,AJ5,AF5,AB5,X5,T5,P5,L5,H5)</f>
        <v>0</v>
      </c>
      <c r="BE5" s="139">
        <f>SUM(BA5,AW5,AS5,AO5,AK5,AG5,AC5,Y5,U5,Q5,M5,I5)</f>
        <v>0</v>
      </c>
      <c r="BF5" s="143">
        <f t="shared" ref="BF5:BF14" si="0">SUM(J5,N5,R5,V5,Z5,AD5,AH5,AL5,AP5,AT5,AX5,BB5)</f>
        <v>0</v>
      </c>
      <c r="BG5" s="144"/>
      <c r="BH5" s="106">
        <f>9000-9000</f>
        <v>0</v>
      </c>
      <c r="BI5" s="106">
        <v>21000</v>
      </c>
      <c r="BJ5" s="106">
        <v>18000</v>
      </c>
      <c r="BK5" s="106">
        <v>12000</v>
      </c>
      <c r="BL5" s="145"/>
      <c r="BM5" s="146">
        <f>BH5*$E5</f>
        <v>0</v>
      </c>
      <c r="BN5" s="146">
        <f>BH5*$F5</f>
        <v>0</v>
      </c>
      <c r="BO5" s="146">
        <f>SUM(BM5:BN5)</f>
        <v>0</v>
      </c>
      <c r="BP5" s="146">
        <f>BI5*$E5</f>
        <v>2591465.1</v>
      </c>
      <c r="BQ5" s="146">
        <f>BI5*$F5</f>
        <v>5397000</v>
      </c>
      <c r="BR5" s="146">
        <f>SUM(BP5:BQ5)</f>
        <v>7988465.0999999996</v>
      </c>
      <c r="BS5" s="146">
        <f>BJ5*$E5</f>
        <v>2221255.8000000003</v>
      </c>
      <c r="BT5" s="146">
        <f>BJ5*$F5</f>
        <v>4626000</v>
      </c>
      <c r="BU5" s="146">
        <f>SUM(BS5:BT5)</f>
        <v>6847255.8000000007</v>
      </c>
      <c r="BV5" s="146">
        <f>BK5*$E5</f>
        <v>1480837.2000000002</v>
      </c>
      <c r="BW5" s="146">
        <f>BK5*$F5</f>
        <v>3084000</v>
      </c>
      <c r="BX5" s="146">
        <f>SUM(BV5:BW5)</f>
        <v>4564837.2</v>
      </c>
    </row>
    <row r="6" spans="1:76" x14ac:dyDescent="0.2">
      <c r="A6" s="110" t="s">
        <v>121</v>
      </c>
      <c r="B6" s="110" t="s">
        <v>122</v>
      </c>
      <c r="C6" s="147" t="s">
        <v>123</v>
      </c>
      <c r="D6" s="105">
        <v>115.33</v>
      </c>
      <c r="E6" s="108">
        <f>D6*1.07</f>
        <v>123.40310000000001</v>
      </c>
      <c r="F6" s="109">
        <v>257</v>
      </c>
      <c r="G6" s="138">
        <v>0</v>
      </c>
      <c r="H6" s="139">
        <f t="shared" ref="H6:H14" si="1">G6*$E6</f>
        <v>0</v>
      </c>
      <c r="I6" s="140">
        <f t="shared" ref="I6:I14" si="2">G6*$F6</f>
        <v>0</v>
      </c>
      <c r="J6" s="141">
        <f t="shared" ref="J6:J14" si="3">SUM(H6:I6)</f>
        <v>0</v>
      </c>
      <c r="K6" s="138">
        <v>0</v>
      </c>
      <c r="L6" s="139">
        <f t="shared" ref="L6:L14" si="4">K6*$E6</f>
        <v>0</v>
      </c>
      <c r="M6" s="140">
        <f t="shared" ref="M6:M14" si="5">K6*$F6</f>
        <v>0</v>
      </c>
      <c r="N6" s="141">
        <f t="shared" ref="N6:N14" si="6">SUM(L6:M6)</f>
        <v>0</v>
      </c>
      <c r="O6" s="138">
        <v>0</v>
      </c>
      <c r="P6" s="139">
        <f t="shared" ref="P6:P14" si="7">O6*$E6</f>
        <v>0</v>
      </c>
      <c r="Q6" s="140">
        <f t="shared" ref="Q6:Q14" si="8">O6*$F6</f>
        <v>0</v>
      </c>
      <c r="R6" s="141">
        <f t="shared" ref="R6:R14" si="9">SUM(P6:Q6)</f>
        <v>0</v>
      </c>
      <c r="S6" s="138">
        <v>1500</v>
      </c>
      <c r="T6" s="139">
        <f t="shared" ref="T6:T14" si="10">S6*$E6</f>
        <v>185104.65000000002</v>
      </c>
      <c r="U6" s="140">
        <f t="shared" ref="U6:U14" si="11">S6*$F6</f>
        <v>385500</v>
      </c>
      <c r="V6" s="141">
        <f t="shared" ref="V6:V14" si="12">SUM(T6:U6)</f>
        <v>570604.65</v>
      </c>
      <c r="W6" s="138">
        <v>0</v>
      </c>
      <c r="X6" s="139">
        <f t="shared" ref="X6:X14" si="13">W6*$E6</f>
        <v>0</v>
      </c>
      <c r="Y6" s="140">
        <f t="shared" ref="Y6:Y14" si="14">W6*$F6</f>
        <v>0</v>
      </c>
      <c r="Z6" s="141">
        <f t="shared" ref="Z6:Z14" si="15">SUM(X6:Y6)</f>
        <v>0</v>
      </c>
      <c r="AA6" s="138">
        <v>0</v>
      </c>
      <c r="AB6" s="139">
        <f t="shared" ref="AB6:AB14" si="16">AA6*$E6</f>
        <v>0</v>
      </c>
      <c r="AC6" s="140">
        <f t="shared" ref="AC6:AC14" si="17">AA6*$F6</f>
        <v>0</v>
      </c>
      <c r="AD6" s="141">
        <f t="shared" ref="AD6:AD14" si="18">SUM(AB6:AC6)</f>
        <v>0</v>
      </c>
      <c r="AE6" s="138">
        <v>0</v>
      </c>
      <c r="AF6" s="139">
        <f t="shared" ref="AF6:AF14" si="19">AE6*$E6</f>
        <v>0</v>
      </c>
      <c r="AG6" s="140">
        <f t="shared" ref="AG6:AG14" si="20">AE6*$F6</f>
        <v>0</v>
      </c>
      <c r="AH6" s="141">
        <f t="shared" ref="AH6:AH14" si="21">SUM(AF6:AG6)</f>
        <v>0</v>
      </c>
      <c r="AI6" s="138">
        <v>0</v>
      </c>
      <c r="AJ6" s="139">
        <f t="shared" ref="AJ6:AJ14" si="22">AI6*$E6</f>
        <v>0</v>
      </c>
      <c r="AK6" s="140">
        <f t="shared" ref="AK6:AK14" si="23">AI6*$F6</f>
        <v>0</v>
      </c>
      <c r="AL6" s="141">
        <f t="shared" ref="AL6:AL14" si="24">SUM(AJ6:AK6)</f>
        <v>0</v>
      </c>
      <c r="AM6" s="138">
        <v>0</v>
      </c>
      <c r="AN6" s="139">
        <f t="shared" ref="AN6:AN14" si="25">AM6*$E6</f>
        <v>0</v>
      </c>
      <c r="AO6" s="140">
        <f t="shared" ref="AO6:AO14" si="26">AM6*$F6</f>
        <v>0</v>
      </c>
      <c r="AP6" s="141">
        <f t="shared" ref="AP6:AP14" si="27">SUM(AN6:AO6)</f>
        <v>0</v>
      </c>
      <c r="AQ6" s="138">
        <v>0</v>
      </c>
      <c r="AR6" s="139">
        <f t="shared" ref="AR6:AR14" si="28">AQ6*$E6</f>
        <v>0</v>
      </c>
      <c r="AS6" s="140">
        <f t="shared" ref="AS6:AS14" si="29">AQ6*$F6</f>
        <v>0</v>
      </c>
      <c r="AT6" s="141">
        <f t="shared" ref="AT6:AT14" si="30">SUM(AR6:AS6)</f>
        <v>0</v>
      </c>
      <c r="AU6" s="138">
        <v>0</v>
      </c>
      <c r="AV6" s="139">
        <f t="shared" ref="AV6:AV14" si="31">AU6*$E6</f>
        <v>0</v>
      </c>
      <c r="AW6" s="140">
        <f t="shared" ref="AW6:AW14" si="32">AU6*$F6</f>
        <v>0</v>
      </c>
      <c r="AX6" s="141">
        <f t="shared" ref="AX6:AX14" si="33">SUM(AV6:AW6)</f>
        <v>0</v>
      </c>
      <c r="AY6" s="138">
        <v>0</v>
      </c>
      <c r="AZ6" s="139">
        <f t="shared" ref="AZ6:AZ14" si="34">AY6*$E6</f>
        <v>0</v>
      </c>
      <c r="BA6" s="140">
        <f t="shared" ref="BA6:BA14" si="35">AY6*$F6</f>
        <v>0</v>
      </c>
      <c r="BB6" s="141">
        <f t="shared" ref="BB6:BB14" si="36">SUM(AZ6:BA6)</f>
        <v>0</v>
      </c>
      <c r="BC6" s="142">
        <f>SUM(G6,K6,O6,S6,W6,AA6,AE6,AI6,AM6,AQ6,AU6,AY6)</f>
        <v>1500</v>
      </c>
      <c r="BD6" s="139">
        <f t="shared" ref="BD6:BE14" si="37">SUM(AZ6,AV6,AR6,AN6,AJ6,AF6,AB6,X6,T6,P6,L6,H6)</f>
        <v>185104.65000000002</v>
      </c>
      <c r="BE6" s="139">
        <f t="shared" si="37"/>
        <v>385500</v>
      </c>
      <c r="BF6" s="143">
        <f t="shared" si="0"/>
        <v>570604.65</v>
      </c>
      <c r="BG6" s="144"/>
      <c r="BH6" s="106">
        <v>1500</v>
      </c>
      <c r="BI6" s="106">
        <v>1500</v>
      </c>
      <c r="BJ6" s="106">
        <v>1500</v>
      </c>
      <c r="BK6" s="106">
        <v>1500</v>
      </c>
      <c r="BM6" s="146">
        <f t="shared" ref="BM6:BM10" si="38">BH6*$E6</f>
        <v>185104.65000000002</v>
      </c>
      <c r="BN6" s="145">
        <f t="shared" ref="BN6:BN10" si="39">BH6*$F6</f>
        <v>385500</v>
      </c>
      <c r="BO6" s="146">
        <f t="shared" ref="BO6:BO10" si="40">SUM(BM6:BN6)</f>
        <v>570604.65</v>
      </c>
      <c r="BP6" s="145">
        <f t="shared" ref="BP6:BP10" si="41">BI6*$E6</f>
        <v>185104.65000000002</v>
      </c>
      <c r="BQ6" s="145">
        <f t="shared" ref="BQ6:BQ10" si="42">BI6*$F6</f>
        <v>385500</v>
      </c>
      <c r="BR6" s="146">
        <f t="shared" ref="BR6:BR10" si="43">SUM(BP6:BQ6)</f>
        <v>570604.65</v>
      </c>
      <c r="BS6" s="146">
        <f t="shared" ref="BS6:BS10" si="44">BJ6*$E6</f>
        <v>185104.65000000002</v>
      </c>
      <c r="BT6" s="146">
        <f t="shared" ref="BT6:BT10" si="45">BJ6*$F6</f>
        <v>385500</v>
      </c>
      <c r="BU6" s="146">
        <f t="shared" ref="BU6:BU10" si="46">SUM(BS6:BT6)</f>
        <v>570604.65</v>
      </c>
      <c r="BV6" s="146">
        <f>BK6*$E6</f>
        <v>185104.65000000002</v>
      </c>
      <c r="BW6" s="146">
        <f t="shared" ref="BW6:BW10" si="47">BK6*$F6</f>
        <v>385500</v>
      </c>
      <c r="BX6" s="146">
        <f t="shared" ref="BX6:BX10" si="48">SUM(BV6:BW6)</f>
        <v>570604.65</v>
      </c>
    </row>
    <row r="7" spans="1:76" x14ac:dyDescent="0.2">
      <c r="A7" s="110" t="s">
        <v>124</v>
      </c>
      <c r="B7" s="110" t="s">
        <v>125</v>
      </c>
      <c r="C7" s="147" t="s">
        <v>126</v>
      </c>
      <c r="D7" s="108">
        <v>224.07</v>
      </c>
      <c r="E7" s="107">
        <f t="shared" ref="E7:E36" si="49">D7*1.07</f>
        <v>239.75490000000002</v>
      </c>
      <c r="F7" s="148">
        <v>839</v>
      </c>
      <c r="G7" s="138">
        <v>700</v>
      </c>
      <c r="H7" s="139">
        <f t="shared" si="1"/>
        <v>167828.43000000002</v>
      </c>
      <c r="I7" s="140">
        <f t="shared" si="2"/>
        <v>587300</v>
      </c>
      <c r="J7" s="141">
        <f t="shared" si="3"/>
        <v>755128.43</v>
      </c>
      <c r="K7" s="138"/>
      <c r="L7" s="139">
        <f t="shared" si="4"/>
        <v>0</v>
      </c>
      <c r="M7" s="140">
        <f t="shared" si="5"/>
        <v>0</v>
      </c>
      <c r="N7" s="141">
        <f t="shared" si="6"/>
        <v>0</v>
      </c>
      <c r="O7" s="138">
        <v>700</v>
      </c>
      <c r="P7" s="139">
        <f t="shared" si="7"/>
        <v>167828.43000000002</v>
      </c>
      <c r="Q7" s="140">
        <f t="shared" si="8"/>
        <v>587300</v>
      </c>
      <c r="R7" s="141">
        <f t="shared" si="9"/>
        <v>755128.43</v>
      </c>
      <c r="S7" s="138">
        <v>700</v>
      </c>
      <c r="T7" s="139">
        <f t="shared" si="10"/>
        <v>167828.43000000002</v>
      </c>
      <c r="U7" s="140">
        <f t="shared" si="11"/>
        <v>587300</v>
      </c>
      <c r="V7" s="141">
        <f t="shared" si="12"/>
        <v>755128.43</v>
      </c>
      <c r="W7" s="138">
        <v>0</v>
      </c>
      <c r="X7" s="139">
        <f t="shared" si="13"/>
        <v>0</v>
      </c>
      <c r="Y7" s="140">
        <f t="shared" si="14"/>
        <v>0</v>
      </c>
      <c r="Z7" s="141">
        <f t="shared" si="15"/>
        <v>0</v>
      </c>
      <c r="AA7" s="138"/>
      <c r="AB7" s="139">
        <f t="shared" si="16"/>
        <v>0</v>
      </c>
      <c r="AC7" s="140">
        <f t="shared" si="17"/>
        <v>0</v>
      </c>
      <c r="AD7" s="141">
        <f t="shared" si="18"/>
        <v>0</v>
      </c>
      <c r="AE7" s="138">
        <v>700</v>
      </c>
      <c r="AF7" s="139">
        <f t="shared" si="19"/>
        <v>167828.43000000002</v>
      </c>
      <c r="AG7" s="140">
        <f t="shared" si="20"/>
        <v>587300</v>
      </c>
      <c r="AH7" s="141">
        <f t="shared" si="21"/>
        <v>755128.43</v>
      </c>
      <c r="AI7" s="138">
        <v>0</v>
      </c>
      <c r="AJ7" s="139">
        <f t="shared" si="22"/>
        <v>0</v>
      </c>
      <c r="AK7" s="140">
        <f t="shared" si="23"/>
        <v>0</v>
      </c>
      <c r="AL7" s="141">
        <f t="shared" si="24"/>
        <v>0</v>
      </c>
      <c r="AM7" s="138">
        <v>0</v>
      </c>
      <c r="AN7" s="139">
        <f t="shared" si="25"/>
        <v>0</v>
      </c>
      <c r="AO7" s="140">
        <f t="shared" si="26"/>
        <v>0</v>
      </c>
      <c r="AP7" s="141">
        <f t="shared" si="27"/>
        <v>0</v>
      </c>
      <c r="AQ7" s="138">
        <v>0</v>
      </c>
      <c r="AR7" s="139">
        <f t="shared" si="28"/>
        <v>0</v>
      </c>
      <c r="AS7" s="140">
        <f t="shared" si="29"/>
        <v>0</v>
      </c>
      <c r="AT7" s="141">
        <f t="shared" si="30"/>
        <v>0</v>
      </c>
      <c r="AU7" s="138">
        <v>3600</v>
      </c>
      <c r="AV7" s="139">
        <f t="shared" si="31"/>
        <v>863117.64000000013</v>
      </c>
      <c r="AW7" s="140">
        <f t="shared" si="32"/>
        <v>3020400</v>
      </c>
      <c r="AX7" s="141">
        <f t="shared" si="33"/>
        <v>3883517.64</v>
      </c>
      <c r="AY7" s="138">
        <v>0</v>
      </c>
      <c r="AZ7" s="139">
        <f t="shared" si="34"/>
        <v>0</v>
      </c>
      <c r="BA7" s="140">
        <f t="shared" si="35"/>
        <v>0</v>
      </c>
      <c r="BB7" s="141">
        <f t="shared" si="36"/>
        <v>0</v>
      </c>
      <c r="BC7" s="142">
        <f t="shared" ref="BC7:BC13" si="50">SUM(G7,K7,O7,S7,W7,AA7,AE7,AI7,AM7,AQ7,AU7,AY7)</f>
        <v>6400</v>
      </c>
      <c r="BD7" s="139">
        <f t="shared" si="37"/>
        <v>1534431.36</v>
      </c>
      <c r="BE7" s="139">
        <f t="shared" si="37"/>
        <v>5369600</v>
      </c>
      <c r="BF7" s="143">
        <f t="shared" si="0"/>
        <v>6904031.3600000003</v>
      </c>
      <c r="BG7" s="144"/>
      <c r="BH7" s="106">
        <v>6400</v>
      </c>
      <c r="BI7" s="106">
        <v>500</v>
      </c>
      <c r="BJ7" s="106">
        <v>1500</v>
      </c>
      <c r="BK7" s="106">
        <v>2800</v>
      </c>
      <c r="BL7" s="146"/>
      <c r="BM7" s="146">
        <f t="shared" si="38"/>
        <v>1534431.36</v>
      </c>
      <c r="BN7" s="145">
        <f t="shared" si="39"/>
        <v>5369600</v>
      </c>
      <c r="BO7" s="146">
        <f t="shared" si="40"/>
        <v>6904031.3600000003</v>
      </c>
      <c r="BP7" s="145">
        <f>BI7*(653*1.07)</f>
        <v>349355</v>
      </c>
      <c r="BQ7" s="145">
        <f t="shared" si="42"/>
        <v>419500</v>
      </c>
      <c r="BR7" s="146">
        <f t="shared" si="43"/>
        <v>768855</v>
      </c>
      <c r="BS7" s="146">
        <f>BJ7*(653*1.07)</f>
        <v>1048065</v>
      </c>
      <c r="BT7" s="146">
        <f t="shared" si="45"/>
        <v>1258500</v>
      </c>
      <c r="BU7" s="146">
        <f t="shared" si="46"/>
        <v>2306565</v>
      </c>
      <c r="BV7" s="146">
        <f>BK7*(653*1.07)</f>
        <v>1956388</v>
      </c>
      <c r="BW7" s="146">
        <f t="shared" si="47"/>
        <v>2349200</v>
      </c>
      <c r="BX7" s="146">
        <f t="shared" si="48"/>
        <v>4305588</v>
      </c>
    </row>
    <row r="8" spans="1:76" x14ac:dyDescent="0.2">
      <c r="A8" s="110" t="s">
        <v>127</v>
      </c>
      <c r="B8" s="110" t="s">
        <v>128</v>
      </c>
      <c r="C8" s="147" t="s">
        <v>129</v>
      </c>
      <c r="D8" s="105">
        <v>1339.28</v>
      </c>
      <c r="E8" s="107">
        <f>D8*1.07</f>
        <v>1433.0296000000001</v>
      </c>
      <c r="F8" s="148">
        <v>839</v>
      </c>
      <c r="G8" s="138">
        <v>0</v>
      </c>
      <c r="H8" s="139">
        <f t="shared" si="1"/>
        <v>0</v>
      </c>
      <c r="I8" s="140">
        <f t="shared" si="2"/>
        <v>0</v>
      </c>
      <c r="J8" s="141">
        <f t="shared" si="3"/>
        <v>0</v>
      </c>
      <c r="K8" s="138">
        <v>0</v>
      </c>
      <c r="L8" s="139">
        <f t="shared" si="4"/>
        <v>0</v>
      </c>
      <c r="M8" s="140">
        <f t="shared" si="5"/>
        <v>0</v>
      </c>
      <c r="N8" s="141">
        <f t="shared" si="6"/>
        <v>0</v>
      </c>
      <c r="O8" s="138"/>
      <c r="P8" s="139">
        <f t="shared" si="7"/>
        <v>0</v>
      </c>
      <c r="Q8" s="140">
        <f t="shared" si="8"/>
        <v>0</v>
      </c>
      <c r="R8" s="141">
        <f t="shared" si="9"/>
        <v>0</v>
      </c>
      <c r="S8" s="138">
        <v>0</v>
      </c>
      <c r="T8" s="139">
        <f t="shared" si="10"/>
        <v>0</v>
      </c>
      <c r="U8" s="140">
        <f t="shared" si="11"/>
        <v>0</v>
      </c>
      <c r="V8" s="141">
        <f t="shared" si="12"/>
        <v>0</v>
      </c>
      <c r="W8" s="138"/>
      <c r="X8" s="139">
        <f>W8*$E8</f>
        <v>0</v>
      </c>
      <c r="Y8" s="140">
        <f>W8*$F8</f>
        <v>0</v>
      </c>
      <c r="Z8" s="141">
        <f t="shared" si="15"/>
        <v>0</v>
      </c>
      <c r="AA8" s="138"/>
      <c r="AB8" s="139">
        <f t="shared" si="16"/>
        <v>0</v>
      </c>
      <c r="AC8" s="140">
        <f t="shared" si="17"/>
        <v>0</v>
      </c>
      <c r="AD8" s="141">
        <f t="shared" si="18"/>
        <v>0</v>
      </c>
      <c r="AE8" s="138">
        <v>450</v>
      </c>
      <c r="AF8" s="139">
        <f t="shared" si="19"/>
        <v>644863.32000000007</v>
      </c>
      <c r="AG8" s="140">
        <f t="shared" si="20"/>
        <v>377550</v>
      </c>
      <c r="AH8" s="141">
        <f t="shared" si="21"/>
        <v>1022413.3200000001</v>
      </c>
      <c r="AI8" s="138"/>
      <c r="AJ8" s="139">
        <f t="shared" si="22"/>
        <v>0</v>
      </c>
      <c r="AK8" s="140">
        <f t="shared" si="23"/>
        <v>0</v>
      </c>
      <c r="AL8" s="141">
        <f t="shared" si="24"/>
        <v>0</v>
      </c>
      <c r="AM8" s="138"/>
      <c r="AN8" s="139">
        <f t="shared" si="25"/>
        <v>0</v>
      </c>
      <c r="AO8" s="140">
        <f t="shared" si="26"/>
        <v>0</v>
      </c>
      <c r="AP8" s="141">
        <f t="shared" si="27"/>
        <v>0</v>
      </c>
      <c r="AQ8" s="138">
        <v>0</v>
      </c>
      <c r="AR8" s="139">
        <f t="shared" si="28"/>
        <v>0</v>
      </c>
      <c r="AS8" s="140">
        <f t="shared" si="29"/>
        <v>0</v>
      </c>
      <c r="AT8" s="141">
        <f t="shared" si="30"/>
        <v>0</v>
      </c>
      <c r="AU8" s="138">
        <v>450</v>
      </c>
      <c r="AV8" s="139">
        <f t="shared" si="31"/>
        <v>644863.32000000007</v>
      </c>
      <c r="AW8" s="140">
        <f t="shared" si="32"/>
        <v>377550</v>
      </c>
      <c r="AX8" s="141">
        <f t="shared" si="33"/>
        <v>1022413.3200000001</v>
      </c>
      <c r="AY8" s="138">
        <v>0</v>
      </c>
      <c r="AZ8" s="139">
        <f>AY8*$E8</f>
        <v>0</v>
      </c>
      <c r="BA8" s="140">
        <f t="shared" si="35"/>
        <v>0</v>
      </c>
      <c r="BB8" s="141">
        <f t="shared" si="36"/>
        <v>0</v>
      </c>
      <c r="BC8" s="142">
        <f>SUM(G8,K8,O8,S8,W8,AA8,AE8,AI8,AM8,AQ8,AU8,AY8)</f>
        <v>900</v>
      </c>
      <c r="BD8" s="139">
        <f t="shared" si="37"/>
        <v>1289726.6400000001</v>
      </c>
      <c r="BE8" s="139">
        <f t="shared" si="37"/>
        <v>755100</v>
      </c>
      <c r="BF8" s="143">
        <f t="shared" si="0"/>
        <v>2044826.6400000001</v>
      </c>
      <c r="BG8" s="144"/>
      <c r="BH8" s="106">
        <v>900</v>
      </c>
      <c r="BI8" s="106">
        <v>900</v>
      </c>
      <c r="BJ8" s="106">
        <v>900</v>
      </c>
      <c r="BK8" s="106">
        <v>900</v>
      </c>
      <c r="BL8" s="146"/>
      <c r="BM8" s="146">
        <f t="shared" si="38"/>
        <v>1289726.6400000001</v>
      </c>
      <c r="BN8" s="145">
        <f t="shared" si="39"/>
        <v>755100</v>
      </c>
      <c r="BO8" s="146">
        <f t="shared" si="40"/>
        <v>2044826.6400000001</v>
      </c>
      <c r="BP8" s="145">
        <f t="shared" si="41"/>
        <v>1289726.6400000001</v>
      </c>
      <c r="BQ8" s="145">
        <f t="shared" si="42"/>
        <v>755100</v>
      </c>
      <c r="BR8" s="146">
        <f t="shared" si="43"/>
        <v>2044826.6400000001</v>
      </c>
      <c r="BS8" s="146">
        <f t="shared" si="44"/>
        <v>1289726.6400000001</v>
      </c>
      <c r="BT8" s="146">
        <f t="shared" si="45"/>
        <v>755100</v>
      </c>
      <c r="BU8" s="146">
        <f t="shared" si="46"/>
        <v>2044826.6400000001</v>
      </c>
      <c r="BV8" s="146">
        <f>BK8*$E8</f>
        <v>1289726.6400000001</v>
      </c>
      <c r="BW8" s="146">
        <f t="shared" si="47"/>
        <v>755100</v>
      </c>
      <c r="BX8" s="146">
        <f t="shared" si="48"/>
        <v>2044826.6400000001</v>
      </c>
    </row>
    <row r="9" spans="1:76" x14ac:dyDescent="0.2">
      <c r="A9" s="110" t="s">
        <v>130</v>
      </c>
      <c r="B9" s="110" t="s">
        <v>131</v>
      </c>
      <c r="C9" s="147" t="s">
        <v>132</v>
      </c>
      <c r="D9" s="108">
        <v>821.69</v>
      </c>
      <c r="E9" s="107">
        <f t="shared" si="49"/>
        <v>879.20830000000012</v>
      </c>
      <c r="F9" s="148">
        <v>923</v>
      </c>
      <c r="G9" s="138">
        <v>0</v>
      </c>
      <c r="H9" s="139">
        <f t="shared" si="1"/>
        <v>0</v>
      </c>
      <c r="I9" s="140">
        <f t="shared" si="2"/>
        <v>0</v>
      </c>
      <c r="J9" s="141">
        <f t="shared" si="3"/>
        <v>0</v>
      </c>
      <c r="K9" s="138">
        <v>0</v>
      </c>
      <c r="L9" s="139">
        <f t="shared" si="4"/>
        <v>0</v>
      </c>
      <c r="M9" s="140">
        <f t="shared" si="5"/>
        <v>0</v>
      </c>
      <c r="N9" s="141">
        <f t="shared" si="6"/>
        <v>0</v>
      </c>
      <c r="O9" s="138">
        <v>0</v>
      </c>
      <c r="P9" s="139">
        <f>O9*$E9</f>
        <v>0</v>
      </c>
      <c r="Q9" s="140">
        <f t="shared" si="8"/>
        <v>0</v>
      </c>
      <c r="R9" s="141">
        <f t="shared" si="9"/>
        <v>0</v>
      </c>
      <c r="S9" s="138">
        <v>500</v>
      </c>
      <c r="T9" s="139">
        <f t="shared" si="10"/>
        <v>439604.15000000008</v>
      </c>
      <c r="U9" s="140">
        <f t="shared" si="11"/>
        <v>461500</v>
      </c>
      <c r="V9" s="141">
        <f t="shared" si="12"/>
        <v>901104.15000000014</v>
      </c>
      <c r="W9" s="138">
        <v>0</v>
      </c>
      <c r="X9" s="139">
        <f t="shared" si="13"/>
        <v>0</v>
      </c>
      <c r="Y9" s="140">
        <f t="shared" si="14"/>
        <v>0</v>
      </c>
      <c r="Z9" s="141">
        <f t="shared" si="15"/>
        <v>0</v>
      </c>
      <c r="AA9" s="138">
        <v>0</v>
      </c>
      <c r="AB9" s="139">
        <f t="shared" si="16"/>
        <v>0</v>
      </c>
      <c r="AC9" s="140">
        <f t="shared" si="17"/>
        <v>0</v>
      </c>
      <c r="AD9" s="141">
        <f t="shared" si="18"/>
        <v>0</v>
      </c>
      <c r="AE9" s="138">
        <v>0</v>
      </c>
      <c r="AF9" s="139">
        <f t="shared" si="19"/>
        <v>0</v>
      </c>
      <c r="AG9" s="140">
        <f t="shared" si="20"/>
        <v>0</v>
      </c>
      <c r="AH9" s="141">
        <f t="shared" si="21"/>
        <v>0</v>
      </c>
      <c r="AI9" s="138">
        <v>0</v>
      </c>
      <c r="AJ9" s="139">
        <f t="shared" si="22"/>
        <v>0</v>
      </c>
      <c r="AK9" s="140">
        <f t="shared" si="23"/>
        <v>0</v>
      </c>
      <c r="AL9" s="141">
        <f t="shared" si="24"/>
        <v>0</v>
      </c>
      <c r="AM9" s="138">
        <v>400</v>
      </c>
      <c r="AN9" s="139">
        <f t="shared" si="25"/>
        <v>351683.32000000007</v>
      </c>
      <c r="AO9" s="140">
        <f t="shared" si="26"/>
        <v>369200</v>
      </c>
      <c r="AP9" s="141">
        <f t="shared" si="27"/>
        <v>720883.32000000007</v>
      </c>
      <c r="AQ9" s="138">
        <v>0</v>
      </c>
      <c r="AR9" s="139">
        <f t="shared" si="28"/>
        <v>0</v>
      </c>
      <c r="AS9" s="140">
        <f t="shared" si="29"/>
        <v>0</v>
      </c>
      <c r="AT9" s="141">
        <f t="shared" si="30"/>
        <v>0</v>
      </c>
      <c r="AU9" s="138">
        <v>618</v>
      </c>
      <c r="AV9" s="139">
        <f t="shared" si="31"/>
        <v>543350.72940000007</v>
      </c>
      <c r="AW9" s="140">
        <f t="shared" si="32"/>
        <v>570414</v>
      </c>
      <c r="AX9" s="141">
        <f t="shared" si="33"/>
        <v>1113764.7294000001</v>
      </c>
      <c r="AY9" s="138">
        <v>0</v>
      </c>
      <c r="AZ9" s="139">
        <f t="shared" si="34"/>
        <v>0</v>
      </c>
      <c r="BA9" s="140">
        <f t="shared" si="35"/>
        <v>0</v>
      </c>
      <c r="BB9" s="141">
        <f t="shared" si="36"/>
        <v>0</v>
      </c>
      <c r="BC9" s="142">
        <f>SUM(G9,K9,O9,S9,W9,AA9,AE9,AI9,AM9,AQ9,AU9,AY9)</f>
        <v>1518</v>
      </c>
      <c r="BD9" s="139">
        <f t="shared" si="37"/>
        <v>1334638.1994000003</v>
      </c>
      <c r="BE9" s="139">
        <f>SUM(BA9,AW9,AS9,AO9,AK9,AG9,AC9,Y9,U9,Q9,M9,I9)</f>
        <v>1401114</v>
      </c>
      <c r="BF9" s="143">
        <f t="shared" si="0"/>
        <v>2735752.1994000003</v>
      </c>
      <c r="BG9" s="144"/>
      <c r="BH9" s="106">
        <v>2000</v>
      </c>
      <c r="BI9" s="106">
        <v>100</v>
      </c>
      <c r="BJ9" s="106">
        <v>600</v>
      </c>
      <c r="BK9" s="106">
        <v>900</v>
      </c>
      <c r="BL9" s="146"/>
      <c r="BM9" s="146">
        <f t="shared" si="38"/>
        <v>1758416.6000000003</v>
      </c>
      <c r="BN9" s="145">
        <f t="shared" si="39"/>
        <v>1846000</v>
      </c>
      <c r="BO9" s="146">
        <f t="shared" si="40"/>
        <v>3604416.6000000006</v>
      </c>
      <c r="BP9" s="145">
        <f>BI9*(2846*1.07)</f>
        <v>304522</v>
      </c>
      <c r="BQ9" s="145">
        <f t="shared" si="42"/>
        <v>92300</v>
      </c>
      <c r="BR9" s="146">
        <f t="shared" si="43"/>
        <v>396822</v>
      </c>
      <c r="BS9" s="146">
        <f>BJ9*(2846*1.07)</f>
        <v>1827132.0000000002</v>
      </c>
      <c r="BT9" s="146">
        <f t="shared" si="45"/>
        <v>553800</v>
      </c>
      <c r="BU9" s="146">
        <f t="shared" si="46"/>
        <v>2380932</v>
      </c>
      <c r="BV9" s="146">
        <f>BK9*(2846*1.07)</f>
        <v>2740698</v>
      </c>
      <c r="BW9" s="146">
        <f t="shared" si="47"/>
        <v>830700</v>
      </c>
      <c r="BX9" s="146">
        <f t="shared" si="48"/>
        <v>3571398</v>
      </c>
    </row>
    <row r="10" spans="1:76" x14ac:dyDescent="0.2">
      <c r="C10" s="147" t="s">
        <v>133</v>
      </c>
      <c r="D10" s="108">
        <v>65</v>
      </c>
      <c r="E10" s="107">
        <f>D10*1.07</f>
        <v>69.55</v>
      </c>
      <c r="F10" s="148">
        <v>257</v>
      </c>
      <c r="G10" s="138">
        <v>0</v>
      </c>
      <c r="H10" s="139">
        <f t="shared" si="1"/>
        <v>0</v>
      </c>
      <c r="I10" s="140">
        <f t="shared" si="2"/>
        <v>0</v>
      </c>
      <c r="J10" s="141">
        <f t="shared" si="3"/>
        <v>0</v>
      </c>
      <c r="K10" s="138">
        <v>0</v>
      </c>
      <c r="L10" s="139">
        <f t="shared" si="4"/>
        <v>0</v>
      </c>
      <c r="M10" s="140">
        <f t="shared" si="5"/>
        <v>0</v>
      </c>
      <c r="N10" s="141">
        <f t="shared" si="6"/>
        <v>0</v>
      </c>
      <c r="O10" s="138">
        <v>1800</v>
      </c>
      <c r="P10" s="139">
        <f t="shared" si="7"/>
        <v>125190</v>
      </c>
      <c r="Q10" s="140">
        <f t="shared" si="8"/>
        <v>462600</v>
      </c>
      <c r="R10" s="141">
        <f t="shared" si="9"/>
        <v>587790</v>
      </c>
      <c r="S10" s="138"/>
      <c r="T10" s="139">
        <f t="shared" si="10"/>
        <v>0</v>
      </c>
      <c r="U10" s="140">
        <f t="shared" si="11"/>
        <v>0</v>
      </c>
      <c r="V10" s="141">
        <f t="shared" si="12"/>
        <v>0</v>
      </c>
      <c r="W10" s="138">
        <v>0</v>
      </c>
      <c r="X10" s="139">
        <f t="shared" si="13"/>
        <v>0</v>
      </c>
      <c r="Y10" s="140">
        <f t="shared" si="14"/>
        <v>0</v>
      </c>
      <c r="Z10" s="141">
        <f t="shared" si="15"/>
        <v>0</v>
      </c>
      <c r="AA10" s="138">
        <v>1800</v>
      </c>
      <c r="AB10" s="139">
        <f t="shared" si="16"/>
        <v>125190</v>
      </c>
      <c r="AC10" s="140">
        <f t="shared" si="17"/>
        <v>462600</v>
      </c>
      <c r="AD10" s="141">
        <f t="shared" si="18"/>
        <v>587790</v>
      </c>
      <c r="AE10" s="138">
        <v>0</v>
      </c>
      <c r="AF10" s="139">
        <f t="shared" si="19"/>
        <v>0</v>
      </c>
      <c r="AG10" s="140">
        <f t="shared" si="20"/>
        <v>0</v>
      </c>
      <c r="AH10" s="141">
        <f t="shared" si="21"/>
        <v>0</v>
      </c>
      <c r="AI10" s="138">
        <v>0</v>
      </c>
      <c r="AJ10" s="139">
        <f t="shared" si="22"/>
        <v>0</v>
      </c>
      <c r="AK10" s="140">
        <f t="shared" si="23"/>
        <v>0</v>
      </c>
      <c r="AL10" s="141">
        <f t="shared" si="24"/>
        <v>0</v>
      </c>
      <c r="AM10" s="138">
        <v>1800</v>
      </c>
      <c r="AN10" s="139">
        <f t="shared" si="25"/>
        <v>125190</v>
      </c>
      <c r="AO10" s="140">
        <f t="shared" si="26"/>
        <v>462600</v>
      </c>
      <c r="AP10" s="141">
        <f t="shared" si="27"/>
        <v>587790</v>
      </c>
      <c r="AQ10" s="138">
        <v>0</v>
      </c>
      <c r="AR10" s="139">
        <f t="shared" si="28"/>
        <v>0</v>
      </c>
      <c r="AS10" s="140">
        <f t="shared" si="29"/>
        <v>0</v>
      </c>
      <c r="AT10" s="141">
        <f t="shared" si="30"/>
        <v>0</v>
      </c>
      <c r="AU10" s="138"/>
      <c r="AV10" s="139">
        <f t="shared" si="31"/>
        <v>0</v>
      </c>
      <c r="AW10" s="140">
        <f t="shared" si="32"/>
        <v>0</v>
      </c>
      <c r="AX10" s="141">
        <f t="shared" si="33"/>
        <v>0</v>
      </c>
      <c r="AY10" s="138">
        <v>0</v>
      </c>
      <c r="AZ10" s="139">
        <f t="shared" si="34"/>
        <v>0</v>
      </c>
      <c r="BA10" s="140">
        <f t="shared" si="35"/>
        <v>0</v>
      </c>
      <c r="BB10" s="141">
        <f t="shared" si="36"/>
        <v>0</v>
      </c>
      <c r="BC10" s="142">
        <f>SUM(G10,K10,O10,S10,W10,AA10,AE10,AI10,AM10,AQ10,AU10,AY10)</f>
        <v>5400</v>
      </c>
      <c r="BD10" s="139">
        <f t="shared" si="37"/>
        <v>375570</v>
      </c>
      <c r="BE10" s="139">
        <f t="shared" si="37"/>
        <v>1387800</v>
      </c>
      <c r="BF10" s="143">
        <f t="shared" si="0"/>
        <v>1763370</v>
      </c>
      <c r="BG10" s="144"/>
      <c r="BH10" s="106">
        <f>7200-1800</f>
        <v>5400</v>
      </c>
      <c r="BI10" s="106">
        <f>7200+1800</f>
        <v>9000</v>
      </c>
      <c r="BJ10" s="106">
        <v>7200</v>
      </c>
      <c r="BK10" s="106">
        <v>7200</v>
      </c>
      <c r="BM10" s="146">
        <f t="shared" si="38"/>
        <v>375570</v>
      </c>
      <c r="BN10" s="145">
        <f t="shared" si="39"/>
        <v>1387800</v>
      </c>
      <c r="BO10" s="146">
        <f t="shared" si="40"/>
        <v>1763370</v>
      </c>
      <c r="BP10" s="145">
        <f t="shared" si="41"/>
        <v>625950</v>
      </c>
      <c r="BQ10" s="145">
        <f t="shared" si="42"/>
        <v>2313000</v>
      </c>
      <c r="BR10" s="146">
        <f t="shared" si="43"/>
        <v>2938950</v>
      </c>
      <c r="BS10" s="146">
        <f t="shared" si="44"/>
        <v>500760</v>
      </c>
      <c r="BT10" s="146">
        <f t="shared" si="45"/>
        <v>1850400</v>
      </c>
      <c r="BU10" s="146">
        <f t="shared" si="46"/>
        <v>2351160</v>
      </c>
      <c r="BV10" s="146">
        <f>BK10*$E10</f>
        <v>500760</v>
      </c>
      <c r="BW10" s="146">
        <f t="shared" si="47"/>
        <v>1850400</v>
      </c>
      <c r="BX10" s="146">
        <f t="shared" si="48"/>
        <v>2351160</v>
      </c>
    </row>
    <row r="11" spans="1:76" x14ac:dyDescent="0.2">
      <c r="C11" s="147" t="s">
        <v>134</v>
      </c>
      <c r="D11" s="108">
        <v>102.33</v>
      </c>
      <c r="E11" s="108">
        <f t="shared" si="49"/>
        <v>109.4931</v>
      </c>
      <c r="F11" s="109">
        <v>257</v>
      </c>
      <c r="G11" s="138">
        <v>0</v>
      </c>
      <c r="H11" s="139">
        <f t="shared" si="1"/>
        <v>0</v>
      </c>
      <c r="I11" s="140">
        <f t="shared" si="2"/>
        <v>0</v>
      </c>
      <c r="J11" s="141">
        <f t="shared" si="3"/>
        <v>0</v>
      </c>
      <c r="K11" s="138">
        <v>0</v>
      </c>
      <c r="L11" s="139">
        <f t="shared" si="4"/>
        <v>0</v>
      </c>
      <c r="M11" s="140">
        <f t="shared" si="5"/>
        <v>0</v>
      </c>
      <c r="N11" s="141">
        <f t="shared" si="6"/>
        <v>0</v>
      </c>
      <c r="O11" s="138">
        <v>0</v>
      </c>
      <c r="P11" s="139">
        <f t="shared" si="7"/>
        <v>0</v>
      </c>
      <c r="Q11" s="140">
        <f t="shared" si="8"/>
        <v>0</v>
      </c>
      <c r="R11" s="141">
        <f t="shared" si="9"/>
        <v>0</v>
      </c>
      <c r="S11" s="138">
        <v>0</v>
      </c>
      <c r="T11" s="139">
        <f t="shared" si="10"/>
        <v>0</v>
      </c>
      <c r="U11" s="140">
        <f t="shared" si="11"/>
        <v>0</v>
      </c>
      <c r="V11" s="141">
        <f t="shared" si="12"/>
        <v>0</v>
      </c>
      <c r="W11" s="138">
        <v>0</v>
      </c>
      <c r="X11" s="139">
        <f t="shared" si="13"/>
        <v>0</v>
      </c>
      <c r="Y11" s="140">
        <f t="shared" si="14"/>
        <v>0</v>
      </c>
      <c r="Z11" s="141">
        <f t="shared" si="15"/>
        <v>0</v>
      </c>
      <c r="AA11" s="138">
        <v>0</v>
      </c>
      <c r="AB11" s="139">
        <f t="shared" si="16"/>
        <v>0</v>
      </c>
      <c r="AC11" s="140">
        <f t="shared" si="17"/>
        <v>0</v>
      </c>
      <c r="AD11" s="141">
        <f t="shared" si="18"/>
        <v>0</v>
      </c>
      <c r="AE11" s="138">
        <v>0</v>
      </c>
      <c r="AF11" s="139">
        <f t="shared" si="19"/>
        <v>0</v>
      </c>
      <c r="AG11" s="140">
        <f t="shared" si="20"/>
        <v>0</v>
      </c>
      <c r="AH11" s="141">
        <f t="shared" si="21"/>
        <v>0</v>
      </c>
      <c r="AI11" s="138">
        <v>0</v>
      </c>
      <c r="AJ11" s="139">
        <f t="shared" si="22"/>
        <v>0</v>
      </c>
      <c r="AK11" s="140">
        <f t="shared" si="23"/>
        <v>0</v>
      </c>
      <c r="AL11" s="141">
        <f t="shared" si="24"/>
        <v>0</v>
      </c>
      <c r="AM11" s="138">
        <v>0</v>
      </c>
      <c r="AN11" s="139">
        <f t="shared" si="25"/>
        <v>0</v>
      </c>
      <c r="AO11" s="140">
        <f t="shared" si="26"/>
        <v>0</v>
      </c>
      <c r="AP11" s="141">
        <f t="shared" si="27"/>
        <v>0</v>
      </c>
      <c r="AQ11" s="138">
        <v>0</v>
      </c>
      <c r="AR11" s="139">
        <f t="shared" si="28"/>
        <v>0</v>
      </c>
      <c r="AS11" s="140">
        <f t="shared" si="29"/>
        <v>0</v>
      </c>
      <c r="AT11" s="141">
        <f t="shared" si="30"/>
        <v>0</v>
      </c>
      <c r="AU11" s="138">
        <v>0</v>
      </c>
      <c r="AV11" s="139">
        <f t="shared" si="31"/>
        <v>0</v>
      </c>
      <c r="AW11" s="140">
        <f t="shared" si="32"/>
        <v>0</v>
      </c>
      <c r="AX11" s="141">
        <f t="shared" si="33"/>
        <v>0</v>
      </c>
      <c r="AY11" s="138">
        <v>0</v>
      </c>
      <c r="AZ11" s="139">
        <f t="shared" si="34"/>
        <v>0</v>
      </c>
      <c r="BA11" s="140">
        <f t="shared" si="35"/>
        <v>0</v>
      </c>
      <c r="BB11" s="141">
        <f t="shared" si="36"/>
        <v>0</v>
      </c>
      <c r="BC11" s="142">
        <f t="shared" si="50"/>
        <v>0</v>
      </c>
      <c r="BD11" s="139">
        <f t="shared" si="37"/>
        <v>0</v>
      </c>
      <c r="BE11" s="139">
        <f t="shared" si="37"/>
        <v>0</v>
      </c>
      <c r="BF11" s="143">
        <f t="shared" si="0"/>
        <v>0</v>
      </c>
      <c r="BG11" s="144"/>
      <c r="BH11" s="149">
        <v>0</v>
      </c>
      <c r="BI11" s="149"/>
      <c r="BJ11" s="149"/>
      <c r="BK11" s="149"/>
    </row>
    <row r="12" spans="1:76" x14ac:dyDescent="0.2">
      <c r="C12" s="147" t="s">
        <v>135</v>
      </c>
      <c r="D12" s="108">
        <v>115.02</v>
      </c>
      <c r="E12" s="108">
        <f t="shared" si="49"/>
        <v>123.0714</v>
      </c>
      <c r="F12" s="109">
        <v>839</v>
      </c>
      <c r="G12" s="138">
        <v>0</v>
      </c>
      <c r="H12" s="139">
        <f t="shared" si="1"/>
        <v>0</v>
      </c>
      <c r="I12" s="140">
        <f t="shared" si="2"/>
        <v>0</v>
      </c>
      <c r="J12" s="141">
        <f t="shared" si="3"/>
        <v>0</v>
      </c>
      <c r="K12" s="138">
        <v>0</v>
      </c>
      <c r="L12" s="139">
        <f t="shared" si="4"/>
        <v>0</v>
      </c>
      <c r="M12" s="140">
        <f t="shared" si="5"/>
        <v>0</v>
      </c>
      <c r="N12" s="141">
        <f t="shared" si="6"/>
        <v>0</v>
      </c>
      <c r="O12" s="138">
        <v>0</v>
      </c>
      <c r="P12" s="139">
        <f t="shared" si="7"/>
        <v>0</v>
      </c>
      <c r="Q12" s="140">
        <f t="shared" si="8"/>
        <v>0</v>
      </c>
      <c r="R12" s="141">
        <f t="shared" si="9"/>
        <v>0</v>
      </c>
      <c r="S12" s="138">
        <v>0</v>
      </c>
      <c r="T12" s="139">
        <f t="shared" si="10"/>
        <v>0</v>
      </c>
      <c r="U12" s="140">
        <f t="shared" si="11"/>
        <v>0</v>
      </c>
      <c r="V12" s="141">
        <f t="shared" si="12"/>
        <v>0</v>
      </c>
      <c r="W12" s="138">
        <v>0</v>
      </c>
      <c r="X12" s="139">
        <f t="shared" si="13"/>
        <v>0</v>
      </c>
      <c r="Y12" s="140">
        <f t="shared" si="14"/>
        <v>0</v>
      </c>
      <c r="Z12" s="141">
        <f t="shared" si="15"/>
        <v>0</v>
      </c>
      <c r="AA12" s="138">
        <v>0</v>
      </c>
      <c r="AB12" s="139">
        <f t="shared" si="16"/>
        <v>0</v>
      </c>
      <c r="AC12" s="140">
        <f t="shared" si="17"/>
        <v>0</v>
      </c>
      <c r="AD12" s="141">
        <f t="shared" si="18"/>
        <v>0</v>
      </c>
      <c r="AE12" s="138">
        <v>0</v>
      </c>
      <c r="AF12" s="139">
        <f t="shared" si="19"/>
        <v>0</v>
      </c>
      <c r="AG12" s="140">
        <f t="shared" si="20"/>
        <v>0</v>
      </c>
      <c r="AH12" s="141">
        <f t="shared" si="21"/>
        <v>0</v>
      </c>
      <c r="AI12" s="138">
        <v>0</v>
      </c>
      <c r="AJ12" s="139">
        <f t="shared" si="22"/>
        <v>0</v>
      </c>
      <c r="AK12" s="140">
        <f t="shared" si="23"/>
        <v>0</v>
      </c>
      <c r="AL12" s="141">
        <f t="shared" si="24"/>
        <v>0</v>
      </c>
      <c r="AM12" s="138">
        <v>0</v>
      </c>
      <c r="AN12" s="139">
        <f t="shared" si="25"/>
        <v>0</v>
      </c>
      <c r="AO12" s="140">
        <f t="shared" si="26"/>
        <v>0</v>
      </c>
      <c r="AP12" s="141">
        <f t="shared" si="27"/>
        <v>0</v>
      </c>
      <c r="AQ12" s="138">
        <v>0</v>
      </c>
      <c r="AR12" s="139">
        <f t="shared" si="28"/>
        <v>0</v>
      </c>
      <c r="AS12" s="140">
        <f t="shared" si="29"/>
        <v>0</v>
      </c>
      <c r="AT12" s="141">
        <f t="shared" si="30"/>
        <v>0</v>
      </c>
      <c r="AU12" s="138">
        <v>0</v>
      </c>
      <c r="AV12" s="139">
        <f t="shared" si="31"/>
        <v>0</v>
      </c>
      <c r="AW12" s="140">
        <f t="shared" si="32"/>
        <v>0</v>
      </c>
      <c r="AX12" s="141">
        <f t="shared" si="33"/>
        <v>0</v>
      </c>
      <c r="AY12" s="138">
        <v>0</v>
      </c>
      <c r="AZ12" s="139">
        <f t="shared" si="34"/>
        <v>0</v>
      </c>
      <c r="BA12" s="140">
        <f t="shared" si="35"/>
        <v>0</v>
      </c>
      <c r="BB12" s="141">
        <f t="shared" si="36"/>
        <v>0</v>
      </c>
      <c r="BC12" s="142">
        <f t="shared" si="50"/>
        <v>0</v>
      </c>
      <c r="BD12" s="139">
        <f t="shared" si="37"/>
        <v>0</v>
      </c>
      <c r="BE12" s="139">
        <f t="shared" si="37"/>
        <v>0</v>
      </c>
      <c r="BF12" s="143">
        <f t="shared" si="0"/>
        <v>0</v>
      </c>
      <c r="BG12" s="144"/>
      <c r="BH12" s="149">
        <v>0</v>
      </c>
      <c r="BI12" s="149"/>
      <c r="BJ12" s="149"/>
      <c r="BK12" s="149"/>
    </row>
    <row r="13" spans="1:76" x14ac:dyDescent="0.2">
      <c r="C13" s="147" t="s">
        <v>136</v>
      </c>
      <c r="D13" s="108">
        <v>115.02</v>
      </c>
      <c r="E13" s="108">
        <f t="shared" si="49"/>
        <v>123.0714</v>
      </c>
      <c r="F13" s="109">
        <v>839</v>
      </c>
      <c r="G13" s="138">
        <v>0</v>
      </c>
      <c r="H13" s="139">
        <f t="shared" si="1"/>
        <v>0</v>
      </c>
      <c r="I13" s="140">
        <f t="shared" si="2"/>
        <v>0</v>
      </c>
      <c r="J13" s="141">
        <f t="shared" si="3"/>
        <v>0</v>
      </c>
      <c r="K13" s="138">
        <v>0</v>
      </c>
      <c r="L13" s="139">
        <f t="shared" si="4"/>
        <v>0</v>
      </c>
      <c r="M13" s="140">
        <f t="shared" si="5"/>
        <v>0</v>
      </c>
      <c r="N13" s="141">
        <f t="shared" si="6"/>
        <v>0</v>
      </c>
      <c r="O13" s="138">
        <v>0</v>
      </c>
      <c r="P13" s="139">
        <f t="shared" si="7"/>
        <v>0</v>
      </c>
      <c r="Q13" s="140">
        <f t="shared" si="8"/>
        <v>0</v>
      </c>
      <c r="R13" s="141">
        <f t="shared" si="9"/>
        <v>0</v>
      </c>
      <c r="S13" s="138">
        <v>0</v>
      </c>
      <c r="T13" s="139">
        <f t="shared" si="10"/>
        <v>0</v>
      </c>
      <c r="U13" s="140">
        <f t="shared" si="11"/>
        <v>0</v>
      </c>
      <c r="V13" s="141">
        <f t="shared" si="12"/>
        <v>0</v>
      </c>
      <c r="W13" s="138">
        <v>0</v>
      </c>
      <c r="X13" s="139">
        <f t="shared" si="13"/>
        <v>0</v>
      </c>
      <c r="Y13" s="140">
        <f t="shared" si="14"/>
        <v>0</v>
      </c>
      <c r="Z13" s="141">
        <f t="shared" si="15"/>
        <v>0</v>
      </c>
      <c r="AA13" s="138">
        <v>0</v>
      </c>
      <c r="AB13" s="139">
        <f t="shared" si="16"/>
        <v>0</v>
      </c>
      <c r="AC13" s="140">
        <f t="shared" si="17"/>
        <v>0</v>
      </c>
      <c r="AD13" s="141">
        <f t="shared" si="18"/>
        <v>0</v>
      </c>
      <c r="AE13" s="138">
        <v>0</v>
      </c>
      <c r="AF13" s="139">
        <f t="shared" si="19"/>
        <v>0</v>
      </c>
      <c r="AG13" s="140">
        <f t="shared" si="20"/>
        <v>0</v>
      </c>
      <c r="AH13" s="141">
        <f t="shared" si="21"/>
        <v>0</v>
      </c>
      <c r="AI13" s="138">
        <v>0</v>
      </c>
      <c r="AJ13" s="139">
        <f t="shared" si="22"/>
        <v>0</v>
      </c>
      <c r="AK13" s="140">
        <f t="shared" si="23"/>
        <v>0</v>
      </c>
      <c r="AL13" s="141">
        <f t="shared" si="24"/>
        <v>0</v>
      </c>
      <c r="AM13" s="138">
        <v>0</v>
      </c>
      <c r="AN13" s="139">
        <f t="shared" si="25"/>
        <v>0</v>
      </c>
      <c r="AO13" s="140">
        <f t="shared" si="26"/>
        <v>0</v>
      </c>
      <c r="AP13" s="141">
        <f t="shared" si="27"/>
        <v>0</v>
      </c>
      <c r="AQ13" s="138">
        <v>0</v>
      </c>
      <c r="AR13" s="139">
        <f t="shared" si="28"/>
        <v>0</v>
      </c>
      <c r="AS13" s="140">
        <f t="shared" si="29"/>
        <v>0</v>
      </c>
      <c r="AT13" s="141">
        <f t="shared" si="30"/>
        <v>0</v>
      </c>
      <c r="AU13" s="138">
        <v>0</v>
      </c>
      <c r="AV13" s="139">
        <f t="shared" si="31"/>
        <v>0</v>
      </c>
      <c r="AW13" s="140">
        <f t="shared" si="32"/>
        <v>0</v>
      </c>
      <c r="AX13" s="141">
        <f t="shared" si="33"/>
        <v>0</v>
      </c>
      <c r="AY13" s="138">
        <v>0</v>
      </c>
      <c r="AZ13" s="139">
        <f t="shared" si="34"/>
        <v>0</v>
      </c>
      <c r="BA13" s="140">
        <f t="shared" si="35"/>
        <v>0</v>
      </c>
      <c r="BB13" s="141">
        <f t="shared" si="36"/>
        <v>0</v>
      </c>
      <c r="BC13" s="142">
        <f t="shared" si="50"/>
        <v>0</v>
      </c>
      <c r="BD13" s="139">
        <f t="shared" si="37"/>
        <v>0</v>
      </c>
      <c r="BE13" s="139">
        <f t="shared" si="37"/>
        <v>0</v>
      </c>
      <c r="BF13" s="143">
        <f t="shared" si="0"/>
        <v>0</v>
      </c>
      <c r="BG13" s="144"/>
      <c r="BH13" s="149">
        <v>0</v>
      </c>
      <c r="BI13" s="149"/>
      <c r="BJ13" s="149"/>
      <c r="BK13" s="149"/>
    </row>
    <row r="14" spans="1:76" x14ac:dyDescent="0.2">
      <c r="C14" s="147" t="s">
        <v>137</v>
      </c>
      <c r="D14" s="108">
        <v>318.38</v>
      </c>
      <c r="E14" s="108">
        <f t="shared" si="49"/>
        <v>340.66660000000002</v>
      </c>
      <c r="F14" s="109">
        <v>923</v>
      </c>
      <c r="G14" s="138">
        <v>0</v>
      </c>
      <c r="H14" s="139">
        <f t="shared" si="1"/>
        <v>0</v>
      </c>
      <c r="I14" s="140">
        <f t="shared" si="2"/>
        <v>0</v>
      </c>
      <c r="J14" s="141">
        <f t="shared" si="3"/>
        <v>0</v>
      </c>
      <c r="K14" s="138">
        <v>0</v>
      </c>
      <c r="L14" s="139">
        <f t="shared" si="4"/>
        <v>0</v>
      </c>
      <c r="M14" s="140">
        <f t="shared" si="5"/>
        <v>0</v>
      </c>
      <c r="N14" s="141">
        <f t="shared" si="6"/>
        <v>0</v>
      </c>
      <c r="O14" s="138">
        <v>0</v>
      </c>
      <c r="P14" s="139">
        <f t="shared" si="7"/>
        <v>0</v>
      </c>
      <c r="Q14" s="140">
        <f t="shared" si="8"/>
        <v>0</v>
      </c>
      <c r="R14" s="141">
        <f t="shared" si="9"/>
        <v>0</v>
      </c>
      <c r="S14" s="138">
        <v>0</v>
      </c>
      <c r="T14" s="139">
        <f t="shared" si="10"/>
        <v>0</v>
      </c>
      <c r="U14" s="140">
        <f t="shared" si="11"/>
        <v>0</v>
      </c>
      <c r="V14" s="141">
        <f t="shared" si="12"/>
        <v>0</v>
      </c>
      <c r="W14" s="138">
        <v>0</v>
      </c>
      <c r="X14" s="139">
        <f t="shared" si="13"/>
        <v>0</v>
      </c>
      <c r="Y14" s="140">
        <f t="shared" si="14"/>
        <v>0</v>
      </c>
      <c r="Z14" s="141">
        <f t="shared" si="15"/>
        <v>0</v>
      </c>
      <c r="AA14" s="138">
        <v>0</v>
      </c>
      <c r="AB14" s="139">
        <f t="shared" si="16"/>
        <v>0</v>
      </c>
      <c r="AC14" s="140">
        <f t="shared" si="17"/>
        <v>0</v>
      </c>
      <c r="AD14" s="141">
        <f t="shared" si="18"/>
        <v>0</v>
      </c>
      <c r="AE14" s="138">
        <v>0</v>
      </c>
      <c r="AF14" s="139">
        <f t="shared" si="19"/>
        <v>0</v>
      </c>
      <c r="AG14" s="140">
        <f t="shared" si="20"/>
        <v>0</v>
      </c>
      <c r="AH14" s="141">
        <f t="shared" si="21"/>
        <v>0</v>
      </c>
      <c r="AI14" s="138">
        <v>0</v>
      </c>
      <c r="AJ14" s="139">
        <f t="shared" si="22"/>
        <v>0</v>
      </c>
      <c r="AK14" s="140">
        <f t="shared" si="23"/>
        <v>0</v>
      </c>
      <c r="AL14" s="141">
        <f t="shared" si="24"/>
        <v>0</v>
      </c>
      <c r="AM14" s="138">
        <v>0</v>
      </c>
      <c r="AN14" s="139">
        <f t="shared" si="25"/>
        <v>0</v>
      </c>
      <c r="AO14" s="140">
        <f t="shared" si="26"/>
        <v>0</v>
      </c>
      <c r="AP14" s="141">
        <f t="shared" si="27"/>
        <v>0</v>
      </c>
      <c r="AQ14" s="138">
        <v>0</v>
      </c>
      <c r="AR14" s="139">
        <f t="shared" si="28"/>
        <v>0</v>
      </c>
      <c r="AS14" s="140">
        <f t="shared" si="29"/>
        <v>0</v>
      </c>
      <c r="AT14" s="141">
        <f t="shared" si="30"/>
        <v>0</v>
      </c>
      <c r="AU14" s="138">
        <v>0</v>
      </c>
      <c r="AV14" s="139">
        <f t="shared" si="31"/>
        <v>0</v>
      </c>
      <c r="AW14" s="140">
        <f t="shared" si="32"/>
        <v>0</v>
      </c>
      <c r="AX14" s="141">
        <f t="shared" si="33"/>
        <v>0</v>
      </c>
      <c r="AY14" s="138">
        <v>0</v>
      </c>
      <c r="AZ14" s="139">
        <f t="shared" si="34"/>
        <v>0</v>
      </c>
      <c r="BA14" s="140">
        <f t="shared" si="35"/>
        <v>0</v>
      </c>
      <c r="BB14" s="141">
        <f t="shared" si="36"/>
        <v>0</v>
      </c>
      <c r="BC14" s="142">
        <f>SUM(G14,K14,O14,S14,W14,AA14,AE14,AI14,AM14,AQ14,AU14,AY14)</f>
        <v>0</v>
      </c>
      <c r="BD14" s="139">
        <f t="shared" si="37"/>
        <v>0</v>
      </c>
      <c r="BE14" s="139">
        <f t="shared" si="37"/>
        <v>0</v>
      </c>
      <c r="BF14" s="143">
        <f t="shared" si="0"/>
        <v>0</v>
      </c>
      <c r="BG14" s="144"/>
      <c r="BH14" s="150">
        <v>0</v>
      </c>
      <c r="BI14" s="150"/>
      <c r="BJ14" s="150"/>
      <c r="BK14" s="149"/>
    </row>
    <row r="15" spans="1:76" s="151" customFormat="1" x14ac:dyDescent="0.2">
      <c r="C15" s="152" t="s">
        <v>138</v>
      </c>
      <c r="D15" s="153"/>
      <c r="E15" s="154"/>
      <c r="F15" s="155"/>
      <c r="G15" s="156">
        <f t="shared" ref="G15:BF15" si="51">SUM(G5:G14)</f>
        <v>700</v>
      </c>
      <c r="H15" s="157">
        <f>SUM(H5:H14)</f>
        <v>167828.43000000002</v>
      </c>
      <c r="I15" s="157">
        <f>SUM(I5:I14)</f>
        <v>587300</v>
      </c>
      <c r="J15" s="158">
        <f t="shared" si="51"/>
        <v>755128.43</v>
      </c>
      <c r="K15" s="156">
        <f t="shared" si="51"/>
        <v>0</v>
      </c>
      <c r="L15" s="157">
        <f>SUM(L5:L14)</f>
        <v>0</v>
      </c>
      <c r="M15" s="157">
        <f>SUM(M5:M14)</f>
        <v>0</v>
      </c>
      <c r="N15" s="158">
        <f t="shared" ref="N15" si="52">SUM(N5:N14)</f>
        <v>0</v>
      </c>
      <c r="O15" s="156">
        <f t="shared" si="51"/>
        <v>2500</v>
      </c>
      <c r="P15" s="157">
        <f t="shared" si="51"/>
        <v>293018.43000000005</v>
      </c>
      <c r="Q15" s="157">
        <f>SUM(Q5:Q14)</f>
        <v>1049900</v>
      </c>
      <c r="R15" s="158">
        <f t="shared" ref="R15" si="53">SUM(R5:R14)</f>
        <v>1342918.4300000002</v>
      </c>
      <c r="S15" s="156">
        <f t="shared" si="51"/>
        <v>2700</v>
      </c>
      <c r="T15" s="157">
        <f t="shared" si="51"/>
        <v>792537.23000000021</v>
      </c>
      <c r="U15" s="157">
        <f>SUM(U5:U14)</f>
        <v>1434300</v>
      </c>
      <c r="V15" s="158">
        <f t="shared" ref="V15" si="54">SUM(V5:V14)</f>
        <v>2226837.2300000004</v>
      </c>
      <c r="W15" s="156">
        <f t="shared" si="51"/>
        <v>0</v>
      </c>
      <c r="X15" s="157">
        <f t="shared" si="51"/>
        <v>0</v>
      </c>
      <c r="Y15" s="157">
        <f>SUM(Y5:Y14)</f>
        <v>0</v>
      </c>
      <c r="Z15" s="158">
        <f t="shared" ref="Z15" si="55">SUM(Z5:Z14)</f>
        <v>0</v>
      </c>
      <c r="AA15" s="156">
        <f t="shared" si="51"/>
        <v>1800</v>
      </c>
      <c r="AB15" s="157">
        <f t="shared" si="51"/>
        <v>125190</v>
      </c>
      <c r="AC15" s="157">
        <f>SUM(AC5:AC14)</f>
        <v>462600</v>
      </c>
      <c r="AD15" s="158">
        <f t="shared" ref="AD15" si="56">SUM(AD5:AD14)</f>
        <v>587790</v>
      </c>
      <c r="AE15" s="156">
        <f t="shared" si="51"/>
        <v>1150</v>
      </c>
      <c r="AF15" s="157">
        <f t="shared" si="51"/>
        <v>812691.75000000012</v>
      </c>
      <c r="AG15" s="157">
        <f>SUM(AG5:AG14)</f>
        <v>964850</v>
      </c>
      <c r="AH15" s="158">
        <f t="shared" ref="AH15" si="57">SUM(AH5:AH14)</f>
        <v>1777541.75</v>
      </c>
      <c r="AI15" s="156">
        <f t="shared" si="51"/>
        <v>0</v>
      </c>
      <c r="AJ15" s="157">
        <f t="shared" si="51"/>
        <v>0</v>
      </c>
      <c r="AK15" s="157">
        <f>SUM(AK5:AK14)</f>
        <v>0</v>
      </c>
      <c r="AL15" s="158">
        <f t="shared" ref="AL15" si="58">SUM(AL5:AL14)</f>
        <v>0</v>
      </c>
      <c r="AM15" s="156">
        <f t="shared" si="51"/>
        <v>2200</v>
      </c>
      <c r="AN15" s="157">
        <f t="shared" si="51"/>
        <v>476873.32000000007</v>
      </c>
      <c r="AO15" s="157">
        <f>SUM(AO5:AO14)</f>
        <v>831800</v>
      </c>
      <c r="AP15" s="158">
        <f t="shared" ref="AP15" si="59">SUM(AP5:AP14)</f>
        <v>1308673.32</v>
      </c>
      <c r="AQ15" s="156">
        <f t="shared" si="51"/>
        <v>0</v>
      </c>
      <c r="AR15" s="157">
        <f t="shared" si="51"/>
        <v>0</v>
      </c>
      <c r="AS15" s="157">
        <f>SUM(AS5:AS14)</f>
        <v>0</v>
      </c>
      <c r="AT15" s="158">
        <f t="shared" ref="AT15" si="60">SUM(AT5:AT14)</f>
        <v>0</v>
      </c>
      <c r="AU15" s="156">
        <f t="shared" si="51"/>
        <v>4668</v>
      </c>
      <c r="AV15" s="157">
        <f t="shared" si="51"/>
        <v>2051331.6894000003</v>
      </c>
      <c r="AW15" s="157">
        <f>SUM(AW5:AW14)</f>
        <v>3968364</v>
      </c>
      <c r="AX15" s="158">
        <f t="shared" ref="AX15" si="61">SUM(AX5:AX14)</f>
        <v>6019695.6894000005</v>
      </c>
      <c r="AY15" s="156">
        <f t="shared" si="51"/>
        <v>0</v>
      </c>
      <c r="AZ15" s="157">
        <f t="shared" si="51"/>
        <v>0</v>
      </c>
      <c r="BA15" s="157">
        <f>SUM(BA5:BA14)</f>
        <v>0</v>
      </c>
      <c r="BB15" s="158">
        <f t="shared" ref="BB15" si="62">SUM(BB5:BB14)</f>
        <v>0</v>
      </c>
      <c r="BC15" s="159">
        <f t="shared" si="51"/>
        <v>15718</v>
      </c>
      <c r="BD15" s="160">
        <f t="shared" si="51"/>
        <v>4719470.8494000006</v>
      </c>
      <c r="BE15" s="160">
        <f t="shared" si="51"/>
        <v>9299114</v>
      </c>
      <c r="BF15" s="161">
        <f t="shared" si="51"/>
        <v>14018584.849400001</v>
      </c>
      <c r="BG15" s="136"/>
      <c r="BH15" s="162">
        <f>SUM(BH5:BH14)</f>
        <v>16200</v>
      </c>
      <c r="BI15" s="162">
        <f>SUM(BI5:BI14)</f>
        <v>33000</v>
      </c>
      <c r="BJ15" s="162">
        <f>SUM(BJ5:BJ14)</f>
        <v>29700</v>
      </c>
      <c r="BK15" s="162">
        <f>SUM(BK5:BK14)</f>
        <v>25300</v>
      </c>
      <c r="BM15" s="163">
        <f>SUM(BM5:BM14)</f>
        <v>5143249.2500000009</v>
      </c>
      <c r="BN15" s="163">
        <f>SUM(BN5:BN14)</f>
        <v>9744000</v>
      </c>
      <c r="BO15" s="136">
        <f>SUM(BO5:BO14)</f>
        <v>14887249.25</v>
      </c>
      <c r="BP15" s="163">
        <f t="shared" ref="BP15:BQ15" si="63">SUM(BP5:BP14)</f>
        <v>5346123.3900000006</v>
      </c>
      <c r="BQ15" s="163">
        <f t="shared" si="63"/>
        <v>9362400</v>
      </c>
      <c r="BR15" s="136">
        <f>SUM(BR5:BR14)</f>
        <v>14708523.390000001</v>
      </c>
      <c r="BS15" s="163">
        <f t="shared" ref="BS15:BT15" si="64">SUM(BS5:BS14)</f>
        <v>7072044.0899999999</v>
      </c>
      <c r="BT15" s="163">
        <f t="shared" si="64"/>
        <v>9429300</v>
      </c>
      <c r="BU15" s="136">
        <f>SUM(BU5:BU14)</f>
        <v>16501344.090000002</v>
      </c>
      <c r="BV15" s="163">
        <f t="shared" ref="BV15:BW15" si="65">SUM(BV5:BV14)</f>
        <v>8153514.4900000002</v>
      </c>
      <c r="BW15" s="163">
        <f t="shared" si="65"/>
        <v>9254900</v>
      </c>
      <c r="BX15" s="136">
        <f>SUM(BX5:BX14)</f>
        <v>17408414.490000002</v>
      </c>
    </row>
    <row r="16" spans="1:76" s="151" customFormat="1" x14ac:dyDescent="0.2">
      <c r="C16" s="164"/>
      <c r="D16" s="165"/>
      <c r="E16" s="166"/>
      <c r="F16" s="167"/>
      <c r="G16" s="168"/>
      <c r="H16" s="169"/>
      <c r="I16" s="170"/>
      <c r="J16" s="171"/>
      <c r="K16" s="168"/>
      <c r="L16" s="169"/>
      <c r="M16" s="170"/>
      <c r="N16" s="171"/>
      <c r="O16" s="168"/>
      <c r="P16" s="169"/>
      <c r="Q16" s="170"/>
      <c r="R16" s="171"/>
      <c r="S16" s="168"/>
      <c r="T16" s="169"/>
      <c r="U16" s="170"/>
      <c r="V16" s="171"/>
      <c r="W16" s="168"/>
      <c r="X16" s="169"/>
      <c r="Y16" s="170"/>
      <c r="Z16" s="171"/>
      <c r="AA16" s="168"/>
      <c r="AB16" s="169"/>
      <c r="AC16" s="170"/>
      <c r="AD16" s="171"/>
      <c r="AE16" s="168"/>
      <c r="AF16" s="169"/>
      <c r="AG16" s="170"/>
      <c r="AH16" s="171"/>
      <c r="AI16" s="168"/>
      <c r="AJ16" s="169"/>
      <c r="AK16" s="170"/>
      <c r="AL16" s="171"/>
      <c r="AM16" s="168"/>
      <c r="AN16" s="169"/>
      <c r="AO16" s="170"/>
      <c r="AP16" s="171"/>
      <c r="AQ16" s="168"/>
      <c r="AR16" s="169"/>
      <c r="AS16" s="170"/>
      <c r="AT16" s="171"/>
      <c r="AU16" s="168"/>
      <c r="AV16" s="169"/>
      <c r="AW16" s="170"/>
      <c r="AX16" s="171"/>
      <c r="AY16" s="168"/>
      <c r="AZ16" s="169"/>
      <c r="BA16" s="170"/>
      <c r="BB16" s="171"/>
      <c r="BC16" s="172"/>
      <c r="BD16" s="169"/>
      <c r="BE16" s="169"/>
      <c r="BF16" s="173"/>
      <c r="BG16" s="136"/>
      <c r="BH16" s="136"/>
      <c r="BI16" s="136"/>
      <c r="BJ16" s="136"/>
      <c r="BK16" s="136"/>
    </row>
    <row r="17" spans="1:76" x14ac:dyDescent="0.2">
      <c r="A17" s="110" t="s">
        <v>139</v>
      </c>
      <c r="B17" s="110" t="s">
        <v>140</v>
      </c>
      <c r="C17" s="147" t="s">
        <v>141</v>
      </c>
      <c r="D17" s="105">
        <v>1475</v>
      </c>
      <c r="E17" s="107">
        <f>D17*1.07</f>
        <v>1578.25</v>
      </c>
      <c r="F17" s="148">
        <v>3757</v>
      </c>
      <c r="G17" s="138">
        <v>0</v>
      </c>
      <c r="H17" s="139">
        <f>G17*$E17</f>
        <v>0</v>
      </c>
      <c r="I17" s="140">
        <f>G17*$F17</f>
        <v>0</v>
      </c>
      <c r="J17" s="141">
        <f>SUM(H17:I17)</f>
        <v>0</v>
      </c>
      <c r="K17" s="138">
        <v>0</v>
      </c>
      <c r="L17" s="139">
        <f>K17*$E17</f>
        <v>0</v>
      </c>
      <c r="M17" s="140">
        <f>K17*$F17</f>
        <v>0</v>
      </c>
      <c r="N17" s="141">
        <f>SUM(L17:M17)</f>
        <v>0</v>
      </c>
      <c r="O17" s="138">
        <v>0</v>
      </c>
      <c r="P17" s="139">
        <f>O17*$E17</f>
        <v>0</v>
      </c>
      <c r="Q17" s="140">
        <f>O17*$F17</f>
        <v>0</v>
      </c>
      <c r="R17" s="141">
        <f>SUM(P17:Q17)</f>
        <v>0</v>
      </c>
      <c r="S17" s="138">
        <v>50</v>
      </c>
      <c r="T17" s="139">
        <f>S17*$E17</f>
        <v>78912.5</v>
      </c>
      <c r="U17" s="140">
        <f>S17*$F17</f>
        <v>187850</v>
      </c>
      <c r="V17" s="141">
        <f>SUM(T17:U17)</f>
        <v>266762.5</v>
      </c>
      <c r="W17" s="138">
        <v>0</v>
      </c>
      <c r="X17" s="139">
        <f>W17*$E17</f>
        <v>0</v>
      </c>
      <c r="Y17" s="140">
        <f>W17*$F17</f>
        <v>0</v>
      </c>
      <c r="Z17" s="141">
        <f>SUM(X17:Y17)</f>
        <v>0</v>
      </c>
      <c r="AA17" s="138">
        <v>0</v>
      </c>
      <c r="AB17" s="139">
        <f>AA17*$E17</f>
        <v>0</v>
      </c>
      <c r="AC17" s="140">
        <f>AA17*$F17</f>
        <v>0</v>
      </c>
      <c r="AD17" s="141">
        <f>SUM(AB17:AC17)</f>
        <v>0</v>
      </c>
      <c r="AE17" s="138">
        <v>0</v>
      </c>
      <c r="AF17" s="139">
        <f>AE17*$E17</f>
        <v>0</v>
      </c>
      <c r="AG17" s="140">
        <f>AE17*$F17</f>
        <v>0</v>
      </c>
      <c r="AH17" s="141">
        <f>SUM(AF17:AG17)</f>
        <v>0</v>
      </c>
      <c r="AI17" s="138">
        <v>0</v>
      </c>
      <c r="AJ17" s="139">
        <f>AI17*$E17</f>
        <v>0</v>
      </c>
      <c r="AK17" s="140">
        <f>AI17*$F17</f>
        <v>0</v>
      </c>
      <c r="AL17" s="141">
        <f>SUM(AJ17:AK17)</f>
        <v>0</v>
      </c>
      <c r="AM17" s="138">
        <v>0</v>
      </c>
      <c r="AN17" s="139">
        <f>AM17*$E17</f>
        <v>0</v>
      </c>
      <c r="AO17" s="140">
        <f>AM17*$F17</f>
        <v>0</v>
      </c>
      <c r="AP17" s="141">
        <f>SUM(AN17:AO17)</f>
        <v>0</v>
      </c>
      <c r="AQ17" s="138">
        <v>0</v>
      </c>
      <c r="AR17" s="139">
        <f>AQ17*$E17</f>
        <v>0</v>
      </c>
      <c r="AS17" s="140">
        <f>AQ17*$F17</f>
        <v>0</v>
      </c>
      <c r="AT17" s="141">
        <f>SUM(AR17:AS17)</f>
        <v>0</v>
      </c>
      <c r="AU17" s="138">
        <v>0</v>
      </c>
      <c r="AV17" s="139">
        <f>AU17*$E17</f>
        <v>0</v>
      </c>
      <c r="AW17" s="140">
        <f>AU17*$F17</f>
        <v>0</v>
      </c>
      <c r="AX17" s="141">
        <f>SUM(AV17:AW17)</f>
        <v>0</v>
      </c>
      <c r="AY17" s="138">
        <v>25</v>
      </c>
      <c r="AZ17" s="139">
        <f>AY17*$E17</f>
        <v>39456.25</v>
      </c>
      <c r="BA17" s="140">
        <f>AY17*$F17</f>
        <v>93925</v>
      </c>
      <c r="BB17" s="141">
        <f>SUM(AZ17:BA17)</f>
        <v>133381.25</v>
      </c>
      <c r="BC17" s="142">
        <f t="shared" ref="BC17:BC29" si="66">SUM(G17,K17,O17,S17,W17,AA17,AE17,AI17,AM17,AQ17,AU17,AY17)</f>
        <v>75</v>
      </c>
      <c r="BD17" s="139">
        <f t="shared" ref="BD17:BD29" si="67">SUM(AZ17,AV17,AR17,AN17,AJ17,AF17,AB17,X17,T17,P17,L17,H17)</f>
        <v>118368.75</v>
      </c>
      <c r="BE17" s="139">
        <f t="shared" ref="BE17:BE29" si="68">BF17-BD17</f>
        <v>281775</v>
      </c>
      <c r="BF17" s="143">
        <f t="shared" ref="BF17:BF29" si="69">SUM(J17,N17,R17,V17,Z17,AD17,AH17,AL17,AP17,AT17,AX17,BB17)</f>
        <v>400143.75</v>
      </c>
      <c r="BG17" s="144"/>
      <c r="BH17" s="106">
        <v>75</v>
      </c>
      <c r="BI17" s="106">
        <f>BH17</f>
        <v>75</v>
      </c>
      <c r="BJ17" s="106">
        <f>BI17</f>
        <v>75</v>
      </c>
      <c r="BK17" s="106">
        <f>BJ17</f>
        <v>75</v>
      </c>
      <c r="BM17" s="145">
        <f>+BD17</f>
        <v>118368.75</v>
      </c>
      <c r="BN17" s="146">
        <f>BE17</f>
        <v>281775</v>
      </c>
      <c r="BO17" s="146">
        <f t="shared" ref="BO17:BO26" si="70">SUM(BM17:BN17)</f>
        <v>400143.75</v>
      </c>
      <c r="BP17" s="174">
        <f>BM17</f>
        <v>118368.75</v>
      </c>
      <c r="BQ17" s="174">
        <f>BN17</f>
        <v>281775</v>
      </c>
      <c r="BR17" s="174">
        <f>SUM(BP17:BQ17)</f>
        <v>400143.75</v>
      </c>
      <c r="BS17" s="174">
        <f t="shared" ref="BS17:BX29" si="71">BP17</f>
        <v>118368.75</v>
      </c>
      <c r="BT17" s="174">
        <f t="shared" si="71"/>
        <v>281775</v>
      </c>
      <c r="BU17" s="174">
        <f t="shared" si="71"/>
        <v>400143.75</v>
      </c>
      <c r="BV17" s="174">
        <f t="shared" si="71"/>
        <v>118368.75</v>
      </c>
      <c r="BW17" s="174">
        <f t="shared" si="71"/>
        <v>281775</v>
      </c>
      <c r="BX17" s="174">
        <f t="shared" si="71"/>
        <v>400143.75</v>
      </c>
    </row>
    <row r="18" spans="1:76" x14ac:dyDescent="0.2">
      <c r="A18" s="110" t="s">
        <v>142</v>
      </c>
      <c r="B18" s="110" t="s">
        <v>143</v>
      </c>
      <c r="C18" s="147" t="s">
        <v>144</v>
      </c>
      <c r="D18" s="105">
        <v>1524</v>
      </c>
      <c r="E18" s="108">
        <f t="shared" si="49"/>
        <v>1630.68</v>
      </c>
      <c r="F18" s="109">
        <v>3757</v>
      </c>
      <c r="G18" s="138">
        <v>0</v>
      </c>
      <c r="H18" s="139">
        <f t="shared" ref="H18:H29" si="72">G18*$E18</f>
        <v>0</v>
      </c>
      <c r="I18" s="140">
        <f t="shared" ref="I18:I29" si="73">G18*$F18</f>
        <v>0</v>
      </c>
      <c r="J18" s="141">
        <f t="shared" ref="J18:J29" si="74">SUM(H18:I18)</f>
        <v>0</v>
      </c>
      <c r="K18" s="138">
        <v>0</v>
      </c>
      <c r="L18" s="139">
        <f t="shared" ref="L18:L29" si="75">K18*$E18</f>
        <v>0</v>
      </c>
      <c r="M18" s="140">
        <f t="shared" ref="M18:M29" si="76">K18*$F18</f>
        <v>0</v>
      </c>
      <c r="N18" s="141">
        <f t="shared" ref="N18:N29" si="77">SUM(L18:M18)</f>
        <v>0</v>
      </c>
      <c r="O18" s="138">
        <v>0</v>
      </c>
      <c r="P18" s="139">
        <f t="shared" ref="P18:P29" si="78">O18*$E18</f>
        <v>0</v>
      </c>
      <c r="Q18" s="140">
        <f t="shared" ref="Q18:Q29" si="79">O18*$F18</f>
        <v>0</v>
      </c>
      <c r="R18" s="141">
        <f t="shared" ref="R18:R29" si="80">SUM(P18:Q18)</f>
        <v>0</v>
      </c>
      <c r="S18" s="138">
        <v>0</v>
      </c>
      <c r="T18" s="139">
        <f t="shared" ref="T18:T29" si="81">S18*$E18</f>
        <v>0</v>
      </c>
      <c r="U18" s="140">
        <f t="shared" ref="U18:U29" si="82">S18*$F18</f>
        <v>0</v>
      </c>
      <c r="V18" s="141">
        <f t="shared" ref="V18:V29" si="83">SUM(T18:U18)</f>
        <v>0</v>
      </c>
      <c r="W18" s="138">
        <v>0</v>
      </c>
      <c r="X18" s="139">
        <f t="shared" ref="X18:X29" si="84">W18*$E18</f>
        <v>0</v>
      </c>
      <c r="Y18" s="140">
        <f t="shared" ref="Y18:Y29" si="85">W18*$F18</f>
        <v>0</v>
      </c>
      <c r="Z18" s="141">
        <f t="shared" ref="Z18:Z29" si="86">SUM(X18:Y18)</f>
        <v>0</v>
      </c>
      <c r="AA18" s="138">
        <v>20</v>
      </c>
      <c r="AB18" s="139">
        <f t="shared" ref="AB18:AB29" si="87">AA18*$E18</f>
        <v>32613.600000000002</v>
      </c>
      <c r="AC18" s="140">
        <f t="shared" ref="AC18:AC29" si="88">AA18*$F18</f>
        <v>75140</v>
      </c>
      <c r="AD18" s="141">
        <f t="shared" ref="AD18:AD29" si="89">SUM(AB18:AC18)</f>
        <v>107753.60000000001</v>
      </c>
      <c r="AE18" s="138">
        <v>0</v>
      </c>
      <c r="AF18" s="139">
        <f t="shared" ref="AF18:AF29" si="90">AE18*$E18</f>
        <v>0</v>
      </c>
      <c r="AG18" s="140">
        <f t="shared" ref="AG18:AG29" si="91">AE18*$F18</f>
        <v>0</v>
      </c>
      <c r="AH18" s="141">
        <f t="shared" ref="AH18:AH29" si="92">SUM(AF18:AG18)</f>
        <v>0</v>
      </c>
      <c r="AI18" s="138">
        <v>0</v>
      </c>
      <c r="AJ18" s="139">
        <f t="shared" ref="AJ18:AJ29" si="93">AI18*$E18</f>
        <v>0</v>
      </c>
      <c r="AK18" s="140">
        <f t="shared" ref="AK18:AK29" si="94">AI18*$F18</f>
        <v>0</v>
      </c>
      <c r="AL18" s="141">
        <f t="shared" ref="AL18:AL29" si="95">SUM(AJ18:AK18)</f>
        <v>0</v>
      </c>
      <c r="AM18" s="138">
        <v>0</v>
      </c>
      <c r="AN18" s="139">
        <f t="shared" ref="AN18:AN29" si="96">AM18*$E18</f>
        <v>0</v>
      </c>
      <c r="AO18" s="140">
        <f t="shared" ref="AO18:AO29" si="97">AM18*$F18</f>
        <v>0</v>
      </c>
      <c r="AP18" s="141">
        <f t="shared" ref="AP18:AP29" si="98">SUM(AN18:AO18)</f>
        <v>0</v>
      </c>
      <c r="AQ18" s="138">
        <v>0</v>
      </c>
      <c r="AR18" s="139">
        <f t="shared" ref="AR18:AR29" si="99">AQ18*$E18</f>
        <v>0</v>
      </c>
      <c r="AS18" s="140">
        <f t="shared" ref="AS18:AS29" si="100">AQ18*$F18</f>
        <v>0</v>
      </c>
      <c r="AT18" s="141">
        <f t="shared" ref="AT18:AT29" si="101">SUM(AR18:AS18)</f>
        <v>0</v>
      </c>
      <c r="AU18" s="138">
        <v>0</v>
      </c>
      <c r="AV18" s="139">
        <f t="shared" ref="AV18:AV29" si="102">AU18*$E18</f>
        <v>0</v>
      </c>
      <c r="AW18" s="140">
        <f t="shared" ref="AW18:AW29" si="103">AU18*$F18</f>
        <v>0</v>
      </c>
      <c r="AX18" s="141">
        <f t="shared" ref="AX18:AX29" si="104">SUM(AV18:AW18)</f>
        <v>0</v>
      </c>
      <c r="AY18" s="138">
        <v>0</v>
      </c>
      <c r="AZ18" s="139">
        <f t="shared" ref="AZ18:AZ29" si="105">AY18*$E18</f>
        <v>0</v>
      </c>
      <c r="BA18" s="140">
        <f t="shared" ref="BA18:BA29" si="106">AY18*$F18</f>
        <v>0</v>
      </c>
      <c r="BB18" s="141">
        <f t="shared" ref="BB18:BB29" si="107">SUM(AZ18:BA18)</f>
        <v>0</v>
      </c>
      <c r="BC18" s="142">
        <f t="shared" si="66"/>
        <v>20</v>
      </c>
      <c r="BD18" s="139">
        <f t="shared" si="67"/>
        <v>32613.600000000002</v>
      </c>
      <c r="BE18" s="139">
        <f t="shared" si="68"/>
        <v>75140</v>
      </c>
      <c r="BF18" s="143">
        <f t="shared" si="69"/>
        <v>107753.60000000001</v>
      </c>
      <c r="BG18" s="144"/>
      <c r="BH18" s="106">
        <v>20</v>
      </c>
      <c r="BI18" s="106">
        <f t="shared" ref="BI18:BK30" si="108">BH18</f>
        <v>20</v>
      </c>
      <c r="BJ18" s="106">
        <f t="shared" si="108"/>
        <v>20</v>
      </c>
      <c r="BK18" s="106">
        <f t="shared" si="108"/>
        <v>20</v>
      </c>
      <c r="BM18" s="145">
        <f t="shared" ref="BM18:BM26" si="109">+BD18</f>
        <v>32613.600000000002</v>
      </c>
      <c r="BN18" s="145">
        <f t="shared" ref="BN18:BN26" si="110">BE18</f>
        <v>75140</v>
      </c>
      <c r="BO18" s="145">
        <f t="shared" si="70"/>
        <v>107753.60000000001</v>
      </c>
      <c r="BP18" s="174">
        <f t="shared" ref="BP18:BQ26" si="111">BM18</f>
        <v>32613.600000000002</v>
      </c>
      <c r="BQ18" s="174">
        <f t="shared" si="111"/>
        <v>75140</v>
      </c>
      <c r="BR18" s="174">
        <f t="shared" ref="BR18:BR26" si="112">SUM(BP18:BQ18)</f>
        <v>107753.60000000001</v>
      </c>
      <c r="BS18" s="174">
        <f t="shared" si="71"/>
        <v>32613.600000000002</v>
      </c>
      <c r="BT18" s="174">
        <f t="shared" si="71"/>
        <v>75140</v>
      </c>
      <c r="BU18" s="174">
        <f t="shared" si="71"/>
        <v>107753.60000000001</v>
      </c>
      <c r="BV18" s="174">
        <f t="shared" si="71"/>
        <v>32613.600000000002</v>
      </c>
      <c r="BW18" s="174">
        <f t="shared" si="71"/>
        <v>75140</v>
      </c>
      <c r="BX18" s="174">
        <f t="shared" si="71"/>
        <v>107753.60000000001</v>
      </c>
    </row>
    <row r="19" spans="1:76" x14ac:dyDescent="0.2">
      <c r="A19" s="110" t="s">
        <v>145</v>
      </c>
      <c r="B19" s="110" t="s">
        <v>146</v>
      </c>
      <c r="C19" s="147" t="s">
        <v>147</v>
      </c>
      <c r="D19" s="105">
        <v>1913</v>
      </c>
      <c r="E19" s="107">
        <f t="shared" si="49"/>
        <v>2046.91</v>
      </c>
      <c r="F19" s="148">
        <v>5161</v>
      </c>
      <c r="G19" s="138">
        <v>0</v>
      </c>
      <c r="H19" s="139">
        <f t="shared" si="72"/>
        <v>0</v>
      </c>
      <c r="I19" s="140">
        <f t="shared" si="73"/>
        <v>0</v>
      </c>
      <c r="J19" s="141">
        <f t="shared" si="74"/>
        <v>0</v>
      </c>
      <c r="K19" s="138">
        <v>35</v>
      </c>
      <c r="L19" s="139">
        <f t="shared" si="75"/>
        <v>71641.850000000006</v>
      </c>
      <c r="M19" s="140">
        <f t="shared" si="76"/>
        <v>180635</v>
      </c>
      <c r="N19" s="141">
        <f t="shared" si="77"/>
        <v>252276.85</v>
      </c>
      <c r="O19" s="138">
        <v>0</v>
      </c>
      <c r="P19" s="139">
        <f t="shared" si="78"/>
        <v>0</v>
      </c>
      <c r="Q19" s="140">
        <f t="shared" si="79"/>
        <v>0</v>
      </c>
      <c r="R19" s="141">
        <f t="shared" si="80"/>
        <v>0</v>
      </c>
      <c r="S19" s="138">
        <v>0</v>
      </c>
      <c r="T19" s="139">
        <f t="shared" si="81"/>
        <v>0</v>
      </c>
      <c r="U19" s="140">
        <f t="shared" si="82"/>
        <v>0</v>
      </c>
      <c r="V19" s="141">
        <f t="shared" si="83"/>
        <v>0</v>
      </c>
      <c r="W19" s="138">
        <v>11</v>
      </c>
      <c r="X19" s="139">
        <f t="shared" si="84"/>
        <v>22516.010000000002</v>
      </c>
      <c r="Y19" s="140">
        <f t="shared" si="85"/>
        <v>56771</v>
      </c>
      <c r="Z19" s="141">
        <f t="shared" si="86"/>
        <v>79287.010000000009</v>
      </c>
      <c r="AA19" s="138">
        <v>0</v>
      </c>
      <c r="AB19" s="139">
        <f t="shared" si="87"/>
        <v>0</v>
      </c>
      <c r="AC19" s="140">
        <f t="shared" si="88"/>
        <v>0</v>
      </c>
      <c r="AD19" s="141">
        <f t="shared" si="89"/>
        <v>0</v>
      </c>
      <c r="AE19" s="138">
        <v>11</v>
      </c>
      <c r="AF19" s="139">
        <f t="shared" si="90"/>
        <v>22516.010000000002</v>
      </c>
      <c r="AG19" s="140">
        <f t="shared" si="91"/>
        <v>56771</v>
      </c>
      <c r="AH19" s="141">
        <f t="shared" si="92"/>
        <v>79287.010000000009</v>
      </c>
      <c r="AI19" s="138">
        <v>0</v>
      </c>
      <c r="AJ19" s="139">
        <f t="shared" si="93"/>
        <v>0</v>
      </c>
      <c r="AK19" s="140">
        <f t="shared" si="94"/>
        <v>0</v>
      </c>
      <c r="AL19" s="141">
        <f t="shared" si="95"/>
        <v>0</v>
      </c>
      <c r="AM19" s="138">
        <v>11</v>
      </c>
      <c r="AN19" s="139">
        <f t="shared" si="96"/>
        <v>22516.010000000002</v>
      </c>
      <c r="AO19" s="140">
        <f t="shared" si="97"/>
        <v>56771</v>
      </c>
      <c r="AP19" s="141">
        <f t="shared" si="98"/>
        <v>79287.010000000009</v>
      </c>
      <c r="AQ19" s="138">
        <v>0</v>
      </c>
      <c r="AR19" s="139">
        <f t="shared" si="99"/>
        <v>0</v>
      </c>
      <c r="AS19" s="140">
        <f t="shared" si="100"/>
        <v>0</v>
      </c>
      <c r="AT19" s="141">
        <f t="shared" si="101"/>
        <v>0</v>
      </c>
      <c r="AU19" s="138">
        <v>11</v>
      </c>
      <c r="AV19" s="139">
        <f t="shared" si="102"/>
        <v>22516.010000000002</v>
      </c>
      <c r="AW19" s="140">
        <f t="shared" si="103"/>
        <v>56771</v>
      </c>
      <c r="AX19" s="141">
        <f t="shared" si="104"/>
        <v>79287.010000000009</v>
      </c>
      <c r="AY19" s="138">
        <v>0</v>
      </c>
      <c r="AZ19" s="139">
        <f t="shared" si="105"/>
        <v>0</v>
      </c>
      <c r="BA19" s="140">
        <f t="shared" si="106"/>
        <v>0</v>
      </c>
      <c r="BB19" s="141">
        <f t="shared" si="107"/>
        <v>0</v>
      </c>
      <c r="BC19" s="142">
        <f t="shared" si="66"/>
        <v>79</v>
      </c>
      <c r="BD19" s="139">
        <f t="shared" si="67"/>
        <v>161705.89000000001</v>
      </c>
      <c r="BE19" s="139">
        <f t="shared" si="68"/>
        <v>407719</v>
      </c>
      <c r="BF19" s="143">
        <f t="shared" si="69"/>
        <v>569424.89</v>
      </c>
      <c r="BG19" s="144"/>
      <c r="BH19" s="106">
        <v>44</v>
      </c>
      <c r="BI19" s="106">
        <f t="shared" si="108"/>
        <v>44</v>
      </c>
      <c r="BJ19" s="106">
        <f t="shared" si="108"/>
        <v>44</v>
      </c>
      <c r="BK19" s="106">
        <f t="shared" si="108"/>
        <v>44</v>
      </c>
      <c r="BM19" s="145">
        <f t="shared" si="109"/>
        <v>161705.89000000001</v>
      </c>
      <c r="BN19" s="145">
        <f t="shared" si="110"/>
        <v>407719</v>
      </c>
      <c r="BO19" s="145">
        <f t="shared" si="70"/>
        <v>569424.89</v>
      </c>
      <c r="BP19" s="174">
        <f t="shared" si="111"/>
        <v>161705.89000000001</v>
      </c>
      <c r="BQ19" s="174">
        <f t="shared" si="111"/>
        <v>407719</v>
      </c>
      <c r="BR19" s="174">
        <f t="shared" si="112"/>
        <v>569424.89</v>
      </c>
      <c r="BS19" s="174">
        <f t="shared" si="71"/>
        <v>161705.89000000001</v>
      </c>
      <c r="BT19" s="174">
        <f t="shared" si="71"/>
        <v>407719</v>
      </c>
      <c r="BU19" s="174">
        <f t="shared" si="71"/>
        <v>569424.89</v>
      </c>
      <c r="BV19" s="174">
        <f t="shared" si="71"/>
        <v>161705.89000000001</v>
      </c>
      <c r="BW19" s="174">
        <f t="shared" si="71"/>
        <v>407719</v>
      </c>
      <c r="BX19" s="174">
        <f t="shared" si="71"/>
        <v>569424.89</v>
      </c>
    </row>
    <row r="20" spans="1:76" x14ac:dyDescent="0.2">
      <c r="A20" s="110" t="s">
        <v>148</v>
      </c>
      <c r="B20" s="110" t="s">
        <v>149</v>
      </c>
      <c r="C20" s="147" t="s">
        <v>150</v>
      </c>
      <c r="D20" s="105">
        <v>2204</v>
      </c>
      <c r="E20" s="108">
        <f t="shared" si="49"/>
        <v>2358.2800000000002</v>
      </c>
      <c r="F20" s="109">
        <v>5161</v>
      </c>
      <c r="G20" s="138">
        <v>0</v>
      </c>
      <c r="H20" s="139">
        <f t="shared" si="72"/>
        <v>0</v>
      </c>
      <c r="I20" s="140">
        <f t="shared" si="73"/>
        <v>0</v>
      </c>
      <c r="J20" s="141">
        <f t="shared" si="74"/>
        <v>0</v>
      </c>
      <c r="K20" s="138">
        <v>0</v>
      </c>
      <c r="L20" s="139">
        <f t="shared" si="75"/>
        <v>0</v>
      </c>
      <c r="M20" s="140">
        <f t="shared" si="76"/>
        <v>0</v>
      </c>
      <c r="N20" s="141">
        <f t="shared" si="77"/>
        <v>0</v>
      </c>
      <c r="O20" s="138">
        <v>0</v>
      </c>
      <c r="P20" s="139">
        <f t="shared" si="78"/>
        <v>0</v>
      </c>
      <c r="Q20" s="140">
        <f t="shared" si="79"/>
        <v>0</v>
      </c>
      <c r="R20" s="141">
        <f t="shared" si="80"/>
        <v>0</v>
      </c>
      <c r="S20" s="138">
        <v>7</v>
      </c>
      <c r="T20" s="139">
        <f t="shared" si="81"/>
        <v>16507.960000000003</v>
      </c>
      <c r="U20" s="140">
        <f t="shared" si="82"/>
        <v>36127</v>
      </c>
      <c r="V20" s="141">
        <f t="shared" si="83"/>
        <v>52634.960000000006</v>
      </c>
      <c r="W20" s="138">
        <v>0</v>
      </c>
      <c r="X20" s="139">
        <f t="shared" si="84"/>
        <v>0</v>
      </c>
      <c r="Y20" s="140">
        <f t="shared" si="85"/>
        <v>0</v>
      </c>
      <c r="Z20" s="141">
        <f t="shared" si="86"/>
        <v>0</v>
      </c>
      <c r="AA20" s="138">
        <v>0</v>
      </c>
      <c r="AB20" s="139">
        <f t="shared" si="87"/>
        <v>0</v>
      </c>
      <c r="AC20" s="140">
        <f t="shared" si="88"/>
        <v>0</v>
      </c>
      <c r="AD20" s="141">
        <f t="shared" si="89"/>
        <v>0</v>
      </c>
      <c r="AE20" s="138">
        <v>0</v>
      </c>
      <c r="AF20" s="139">
        <f t="shared" si="90"/>
        <v>0</v>
      </c>
      <c r="AG20" s="140">
        <f t="shared" si="91"/>
        <v>0</v>
      </c>
      <c r="AH20" s="141">
        <f t="shared" si="92"/>
        <v>0</v>
      </c>
      <c r="AI20" s="138">
        <v>0</v>
      </c>
      <c r="AJ20" s="139">
        <f t="shared" si="93"/>
        <v>0</v>
      </c>
      <c r="AK20" s="140">
        <f t="shared" si="94"/>
        <v>0</v>
      </c>
      <c r="AL20" s="141">
        <f t="shared" si="95"/>
        <v>0</v>
      </c>
      <c r="AM20" s="138">
        <v>5</v>
      </c>
      <c r="AN20" s="139">
        <f t="shared" si="96"/>
        <v>11791.400000000001</v>
      </c>
      <c r="AO20" s="140">
        <f t="shared" si="97"/>
        <v>25805</v>
      </c>
      <c r="AP20" s="141">
        <f t="shared" si="98"/>
        <v>37596.400000000001</v>
      </c>
      <c r="AQ20" s="138">
        <v>0</v>
      </c>
      <c r="AR20" s="139">
        <f t="shared" si="99"/>
        <v>0</v>
      </c>
      <c r="AS20" s="140">
        <f t="shared" si="100"/>
        <v>0</v>
      </c>
      <c r="AT20" s="141">
        <f t="shared" si="101"/>
        <v>0</v>
      </c>
      <c r="AU20" s="138">
        <v>0</v>
      </c>
      <c r="AV20" s="139">
        <f t="shared" si="102"/>
        <v>0</v>
      </c>
      <c r="AW20" s="140">
        <f t="shared" si="103"/>
        <v>0</v>
      </c>
      <c r="AX20" s="141">
        <f t="shared" si="104"/>
        <v>0</v>
      </c>
      <c r="AY20" s="138">
        <v>0</v>
      </c>
      <c r="AZ20" s="139">
        <f t="shared" si="105"/>
        <v>0</v>
      </c>
      <c r="BA20" s="140">
        <f t="shared" si="106"/>
        <v>0</v>
      </c>
      <c r="BB20" s="141">
        <f t="shared" si="107"/>
        <v>0</v>
      </c>
      <c r="BC20" s="142">
        <f t="shared" si="66"/>
        <v>12</v>
      </c>
      <c r="BD20" s="139">
        <f t="shared" si="67"/>
        <v>28299.360000000004</v>
      </c>
      <c r="BE20" s="139">
        <f t="shared" si="68"/>
        <v>61932.000000000015</v>
      </c>
      <c r="BF20" s="143">
        <f t="shared" si="69"/>
        <v>90231.360000000015</v>
      </c>
      <c r="BG20" s="144"/>
      <c r="BH20" s="106">
        <v>12</v>
      </c>
      <c r="BI20" s="106">
        <f t="shared" si="108"/>
        <v>12</v>
      </c>
      <c r="BJ20" s="106">
        <f t="shared" si="108"/>
        <v>12</v>
      </c>
      <c r="BK20" s="106">
        <f t="shared" si="108"/>
        <v>12</v>
      </c>
      <c r="BM20" s="145">
        <f t="shared" si="109"/>
        <v>28299.360000000004</v>
      </c>
      <c r="BN20" s="145">
        <f t="shared" si="110"/>
        <v>61932.000000000015</v>
      </c>
      <c r="BO20" s="145">
        <f t="shared" si="70"/>
        <v>90231.360000000015</v>
      </c>
      <c r="BP20" s="174">
        <f t="shared" si="111"/>
        <v>28299.360000000004</v>
      </c>
      <c r="BQ20" s="174">
        <f t="shared" si="111"/>
        <v>61932.000000000015</v>
      </c>
      <c r="BR20" s="174">
        <f t="shared" si="112"/>
        <v>90231.360000000015</v>
      </c>
      <c r="BS20" s="174">
        <f t="shared" si="71"/>
        <v>28299.360000000004</v>
      </c>
      <c r="BT20" s="174">
        <f t="shared" si="71"/>
        <v>61932.000000000015</v>
      </c>
      <c r="BU20" s="174">
        <f t="shared" si="71"/>
        <v>90231.360000000015</v>
      </c>
      <c r="BV20" s="174">
        <f t="shared" si="71"/>
        <v>28299.360000000004</v>
      </c>
      <c r="BW20" s="174">
        <f t="shared" si="71"/>
        <v>61932.000000000015</v>
      </c>
      <c r="BX20" s="174">
        <f t="shared" si="71"/>
        <v>90231.360000000015</v>
      </c>
    </row>
    <row r="21" spans="1:76" x14ac:dyDescent="0.2">
      <c r="A21" s="110" t="s">
        <v>151</v>
      </c>
      <c r="B21" s="110" t="s">
        <v>152</v>
      </c>
      <c r="C21" s="147" t="s">
        <v>153</v>
      </c>
      <c r="D21" s="105">
        <v>2410</v>
      </c>
      <c r="E21" s="107">
        <f t="shared" si="49"/>
        <v>2578.7000000000003</v>
      </c>
      <c r="F21" s="148">
        <v>5161</v>
      </c>
      <c r="G21" s="138">
        <v>0</v>
      </c>
      <c r="H21" s="139">
        <f t="shared" si="72"/>
        <v>0</v>
      </c>
      <c r="I21" s="140">
        <f t="shared" si="73"/>
        <v>0</v>
      </c>
      <c r="J21" s="141">
        <f t="shared" si="74"/>
        <v>0</v>
      </c>
      <c r="K21" s="138"/>
      <c r="L21" s="139">
        <f t="shared" si="75"/>
        <v>0</v>
      </c>
      <c r="M21" s="140">
        <f t="shared" si="76"/>
        <v>0</v>
      </c>
      <c r="N21" s="141">
        <f t="shared" si="77"/>
        <v>0</v>
      </c>
      <c r="O21" s="138">
        <v>14</v>
      </c>
      <c r="P21" s="139">
        <f t="shared" si="78"/>
        <v>36101.800000000003</v>
      </c>
      <c r="Q21" s="140">
        <f t="shared" si="79"/>
        <v>72254</v>
      </c>
      <c r="R21" s="141">
        <f t="shared" si="80"/>
        <v>108355.8</v>
      </c>
      <c r="S21" s="138">
        <v>6</v>
      </c>
      <c r="T21" s="139">
        <f t="shared" si="81"/>
        <v>15472.2</v>
      </c>
      <c r="U21" s="140">
        <f t="shared" si="82"/>
        <v>30966</v>
      </c>
      <c r="V21" s="141">
        <f t="shared" si="83"/>
        <v>46438.2</v>
      </c>
      <c r="W21" s="138">
        <v>7</v>
      </c>
      <c r="X21" s="139">
        <f t="shared" si="84"/>
        <v>18050.900000000001</v>
      </c>
      <c r="Y21" s="140">
        <f t="shared" si="85"/>
        <v>36127</v>
      </c>
      <c r="Z21" s="141">
        <f t="shared" si="86"/>
        <v>54177.9</v>
      </c>
      <c r="AA21" s="138">
        <v>0</v>
      </c>
      <c r="AB21" s="139">
        <f t="shared" si="87"/>
        <v>0</v>
      </c>
      <c r="AC21" s="140">
        <f t="shared" si="88"/>
        <v>0</v>
      </c>
      <c r="AD21" s="141">
        <f t="shared" si="89"/>
        <v>0</v>
      </c>
      <c r="AE21" s="138">
        <v>0</v>
      </c>
      <c r="AF21" s="139">
        <f t="shared" si="90"/>
        <v>0</v>
      </c>
      <c r="AG21" s="140">
        <f t="shared" si="91"/>
        <v>0</v>
      </c>
      <c r="AH21" s="141">
        <f t="shared" si="92"/>
        <v>0</v>
      </c>
      <c r="AI21" s="138">
        <v>0</v>
      </c>
      <c r="AJ21" s="139">
        <f t="shared" si="93"/>
        <v>0</v>
      </c>
      <c r="AK21" s="140">
        <f t="shared" si="94"/>
        <v>0</v>
      </c>
      <c r="AL21" s="141">
        <f t="shared" si="95"/>
        <v>0</v>
      </c>
      <c r="AM21" s="138">
        <v>0</v>
      </c>
      <c r="AN21" s="139">
        <f t="shared" si="96"/>
        <v>0</v>
      </c>
      <c r="AO21" s="140">
        <f t="shared" si="97"/>
        <v>0</v>
      </c>
      <c r="AP21" s="141">
        <f t="shared" si="98"/>
        <v>0</v>
      </c>
      <c r="AQ21" s="138">
        <v>0</v>
      </c>
      <c r="AR21" s="139">
        <f t="shared" si="99"/>
        <v>0</v>
      </c>
      <c r="AS21" s="140">
        <f t="shared" si="100"/>
        <v>0</v>
      </c>
      <c r="AT21" s="141">
        <f t="shared" si="101"/>
        <v>0</v>
      </c>
      <c r="AU21" s="138">
        <v>6</v>
      </c>
      <c r="AV21" s="139">
        <f t="shared" si="102"/>
        <v>15472.2</v>
      </c>
      <c r="AW21" s="140">
        <f t="shared" si="103"/>
        <v>30966</v>
      </c>
      <c r="AX21" s="141">
        <f t="shared" si="104"/>
        <v>46438.2</v>
      </c>
      <c r="AY21" s="138">
        <v>0</v>
      </c>
      <c r="AZ21" s="139">
        <f t="shared" si="105"/>
        <v>0</v>
      </c>
      <c r="BA21" s="140">
        <f t="shared" si="106"/>
        <v>0</v>
      </c>
      <c r="BB21" s="141">
        <f t="shared" si="107"/>
        <v>0</v>
      </c>
      <c r="BC21" s="142">
        <f t="shared" si="66"/>
        <v>33</v>
      </c>
      <c r="BD21" s="139">
        <f t="shared" si="67"/>
        <v>85097.1</v>
      </c>
      <c r="BE21" s="139">
        <f t="shared" si="68"/>
        <v>170312.99999999997</v>
      </c>
      <c r="BF21" s="143">
        <f t="shared" si="69"/>
        <v>255410.09999999998</v>
      </c>
      <c r="BG21" s="144"/>
      <c r="BH21" s="106">
        <v>19</v>
      </c>
      <c r="BI21" s="106">
        <f t="shared" si="108"/>
        <v>19</v>
      </c>
      <c r="BJ21" s="106">
        <f t="shared" si="108"/>
        <v>19</v>
      </c>
      <c r="BK21" s="106">
        <f t="shared" si="108"/>
        <v>19</v>
      </c>
      <c r="BM21" s="145">
        <f t="shared" si="109"/>
        <v>85097.1</v>
      </c>
      <c r="BN21" s="145">
        <f t="shared" si="110"/>
        <v>170312.99999999997</v>
      </c>
      <c r="BO21" s="145">
        <f t="shared" si="70"/>
        <v>255410.09999999998</v>
      </c>
      <c r="BP21" s="174">
        <f t="shared" si="111"/>
        <v>85097.1</v>
      </c>
      <c r="BQ21" s="174">
        <f t="shared" si="111"/>
        <v>170312.99999999997</v>
      </c>
      <c r="BR21" s="174">
        <f t="shared" si="112"/>
        <v>255410.09999999998</v>
      </c>
      <c r="BS21" s="174">
        <f t="shared" si="71"/>
        <v>85097.1</v>
      </c>
      <c r="BT21" s="174">
        <f t="shared" si="71"/>
        <v>170312.99999999997</v>
      </c>
      <c r="BU21" s="174">
        <f t="shared" si="71"/>
        <v>255410.09999999998</v>
      </c>
      <c r="BV21" s="174">
        <f t="shared" si="71"/>
        <v>85097.1</v>
      </c>
      <c r="BW21" s="174">
        <f t="shared" si="71"/>
        <v>170312.99999999997</v>
      </c>
      <c r="BX21" s="174">
        <f t="shared" si="71"/>
        <v>255410.09999999998</v>
      </c>
    </row>
    <row r="22" spans="1:76" x14ac:dyDescent="0.2">
      <c r="A22" s="110" t="s">
        <v>154</v>
      </c>
      <c r="B22" s="110" t="s">
        <v>155</v>
      </c>
      <c r="C22" s="147" t="s">
        <v>156</v>
      </c>
      <c r="D22" s="105">
        <v>2507</v>
      </c>
      <c r="E22" s="108">
        <f t="shared" si="49"/>
        <v>2682.4900000000002</v>
      </c>
      <c r="F22" s="109">
        <v>5161</v>
      </c>
      <c r="G22" s="138">
        <v>0</v>
      </c>
      <c r="H22" s="139">
        <f t="shared" si="72"/>
        <v>0</v>
      </c>
      <c r="I22" s="140">
        <f t="shared" si="73"/>
        <v>0</v>
      </c>
      <c r="J22" s="141">
        <f t="shared" si="74"/>
        <v>0</v>
      </c>
      <c r="K22" s="138">
        <v>5</v>
      </c>
      <c r="L22" s="139">
        <f t="shared" si="75"/>
        <v>13412.45</v>
      </c>
      <c r="M22" s="140">
        <f t="shared" si="76"/>
        <v>25805</v>
      </c>
      <c r="N22" s="141">
        <f t="shared" si="77"/>
        <v>39217.449999999997</v>
      </c>
      <c r="O22" s="138">
        <v>3</v>
      </c>
      <c r="P22" s="139">
        <f t="shared" si="78"/>
        <v>8047.4700000000012</v>
      </c>
      <c r="Q22" s="140">
        <f t="shared" si="79"/>
        <v>15483</v>
      </c>
      <c r="R22" s="141">
        <f t="shared" si="80"/>
        <v>23530.47</v>
      </c>
      <c r="S22" s="138">
        <v>0</v>
      </c>
      <c r="T22" s="139">
        <f t="shared" si="81"/>
        <v>0</v>
      </c>
      <c r="U22" s="140">
        <f t="shared" si="82"/>
        <v>0</v>
      </c>
      <c r="V22" s="141">
        <f t="shared" si="83"/>
        <v>0</v>
      </c>
      <c r="W22" s="138">
        <v>0</v>
      </c>
      <c r="X22" s="139">
        <f t="shared" si="84"/>
        <v>0</v>
      </c>
      <c r="Y22" s="140">
        <f t="shared" si="85"/>
        <v>0</v>
      </c>
      <c r="Z22" s="141">
        <f t="shared" si="86"/>
        <v>0</v>
      </c>
      <c r="AA22" s="138">
        <v>0</v>
      </c>
      <c r="AB22" s="139">
        <f t="shared" si="87"/>
        <v>0</v>
      </c>
      <c r="AC22" s="140">
        <f t="shared" si="88"/>
        <v>0</v>
      </c>
      <c r="AD22" s="141">
        <f t="shared" si="89"/>
        <v>0</v>
      </c>
      <c r="AE22" s="138">
        <v>0</v>
      </c>
      <c r="AF22" s="139">
        <f t="shared" si="90"/>
        <v>0</v>
      </c>
      <c r="AG22" s="140">
        <f t="shared" si="91"/>
        <v>0</v>
      </c>
      <c r="AH22" s="141">
        <f t="shared" si="92"/>
        <v>0</v>
      </c>
      <c r="AI22" s="138">
        <v>2</v>
      </c>
      <c r="AJ22" s="139">
        <f t="shared" si="93"/>
        <v>5364.9800000000005</v>
      </c>
      <c r="AK22" s="140">
        <f t="shared" si="94"/>
        <v>10322</v>
      </c>
      <c r="AL22" s="141">
        <f t="shared" si="95"/>
        <v>15686.98</v>
      </c>
      <c r="AM22" s="138">
        <v>0</v>
      </c>
      <c r="AN22" s="139">
        <f t="shared" si="96"/>
        <v>0</v>
      </c>
      <c r="AO22" s="140">
        <f t="shared" si="97"/>
        <v>0</v>
      </c>
      <c r="AP22" s="141">
        <f t="shared" si="98"/>
        <v>0</v>
      </c>
      <c r="AQ22" s="138">
        <v>0</v>
      </c>
      <c r="AR22" s="139">
        <f t="shared" si="99"/>
        <v>0</v>
      </c>
      <c r="AS22" s="140">
        <f t="shared" si="100"/>
        <v>0</v>
      </c>
      <c r="AT22" s="141">
        <f t="shared" si="101"/>
        <v>0</v>
      </c>
      <c r="AU22" s="138">
        <v>0</v>
      </c>
      <c r="AV22" s="139">
        <f t="shared" si="102"/>
        <v>0</v>
      </c>
      <c r="AW22" s="140">
        <f t="shared" si="103"/>
        <v>0</v>
      </c>
      <c r="AX22" s="141">
        <f t="shared" si="104"/>
        <v>0</v>
      </c>
      <c r="AY22" s="138">
        <v>5</v>
      </c>
      <c r="AZ22" s="139">
        <f t="shared" si="105"/>
        <v>13412.45</v>
      </c>
      <c r="BA22" s="140">
        <f t="shared" si="106"/>
        <v>25805</v>
      </c>
      <c r="BB22" s="141">
        <f t="shared" si="107"/>
        <v>39217.449999999997</v>
      </c>
      <c r="BC22" s="142">
        <f t="shared" si="66"/>
        <v>15</v>
      </c>
      <c r="BD22" s="139">
        <f t="shared" si="67"/>
        <v>40237.350000000006</v>
      </c>
      <c r="BE22" s="139">
        <f t="shared" si="68"/>
        <v>77414.999999999985</v>
      </c>
      <c r="BF22" s="143">
        <f t="shared" si="69"/>
        <v>117652.34999999999</v>
      </c>
      <c r="BG22" s="144"/>
      <c r="BH22" s="106">
        <v>10</v>
      </c>
      <c r="BI22" s="106">
        <f t="shared" si="108"/>
        <v>10</v>
      </c>
      <c r="BJ22" s="106">
        <f t="shared" si="108"/>
        <v>10</v>
      </c>
      <c r="BK22" s="106">
        <f t="shared" si="108"/>
        <v>10</v>
      </c>
      <c r="BM22" s="145">
        <f t="shared" si="109"/>
        <v>40237.350000000006</v>
      </c>
      <c r="BN22" s="145">
        <f t="shared" si="110"/>
        <v>77414.999999999985</v>
      </c>
      <c r="BO22" s="145">
        <f t="shared" si="70"/>
        <v>117652.34999999999</v>
      </c>
      <c r="BP22" s="174">
        <f t="shared" si="111"/>
        <v>40237.350000000006</v>
      </c>
      <c r="BQ22" s="174">
        <f t="shared" si="111"/>
        <v>77414.999999999985</v>
      </c>
      <c r="BR22" s="174">
        <f t="shared" si="112"/>
        <v>117652.34999999999</v>
      </c>
      <c r="BS22" s="174">
        <f t="shared" si="71"/>
        <v>40237.350000000006</v>
      </c>
      <c r="BT22" s="174">
        <f t="shared" si="71"/>
        <v>77414.999999999985</v>
      </c>
      <c r="BU22" s="174">
        <f t="shared" si="71"/>
        <v>117652.34999999999</v>
      </c>
      <c r="BV22" s="174">
        <f t="shared" si="71"/>
        <v>40237.350000000006</v>
      </c>
      <c r="BW22" s="174">
        <f t="shared" si="71"/>
        <v>77414.999999999985</v>
      </c>
      <c r="BX22" s="174">
        <f t="shared" si="71"/>
        <v>117652.34999999999</v>
      </c>
    </row>
    <row r="23" spans="1:76" x14ac:dyDescent="0.2">
      <c r="A23" s="110" t="s">
        <v>157</v>
      </c>
      <c r="B23" s="110" t="s">
        <v>158</v>
      </c>
      <c r="C23" s="147" t="s">
        <v>159</v>
      </c>
      <c r="D23" s="105">
        <v>2955</v>
      </c>
      <c r="E23" s="107">
        <f t="shared" si="49"/>
        <v>3161.8500000000004</v>
      </c>
      <c r="F23" s="148">
        <v>7844</v>
      </c>
      <c r="G23" s="138">
        <v>0</v>
      </c>
      <c r="H23" s="139">
        <f t="shared" si="72"/>
        <v>0</v>
      </c>
      <c r="I23" s="140">
        <f t="shared" si="73"/>
        <v>0</v>
      </c>
      <c r="J23" s="141">
        <f t="shared" si="74"/>
        <v>0</v>
      </c>
      <c r="K23" s="138">
        <v>4</v>
      </c>
      <c r="L23" s="139">
        <f t="shared" si="75"/>
        <v>12647.400000000001</v>
      </c>
      <c r="M23" s="140">
        <f t="shared" si="76"/>
        <v>31376</v>
      </c>
      <c r="N23" s="141">
        <f t="shared" si="77"/>
        <v>44023.4</v>
      </c>
      <c r="O23" s="138">
        <v>0</v>
      </c>
      <c r="P23" s="139">
        <f t="shared" si="78"/>
        <v>0</v>
      </c>
      <c r="Q23" s="140">
        <f t="shared" si="79"/>
        <v>0</v>
      </c>
      <c r="R23" s="141">
        <f t="shared" si="80"/>
        <v>0</v>
      </c>
      <c r="S23" s="138">
        <v>0</v>
      </c>
      <c r="T23" s="139">
        <f t="shared" si="81"/>
        <v>0</v>
      </c>
      <c r="U23" s="140">
        <f t="shared" si="82"/>
        <v>0</v>
      </c>
      <c r="V23" s="141">
        <f t="shared" si="83"/>
        <v>0</v>
      </c>
      <c r="W23" s="138">
        <v>4</v>
      </c>
      <c r="X23" s="139">
        <f t="shared" si="84"/>
        <v>12647.400000000001</v>
      </c>
      <c r="Y23" s="140">
        <f t="shared" si="85"/>
        <v>31376</v>
      </c>
      <c r="Z23" s="141">
        <f t="shared" si="86"/>
        <v>44023.4</v>
      </c>
      <c r="AA23" s="138">
        <v>0</v>
      </c>
      <c r="AB23" s="139">
        <f t="shared" si="87"/>
        <v>0</v>
      </c>
      <c r="AC23" s="140">
        <f t="shared" si="88"/>
        <v>0</v>
      </c>
      <c r="AD23" s="141">
        <f t="shared" si="89"/>
        <v>0</v>
      </c>
      <c r="AE23" s="138">
        <v>0</v>
      </c>
      <c r="AF23" s="139">
        <f t="shared" si="90"/>
        <v>0</v>
      </c>
      <c r="AG23" s="140">
        <f t="shared" si="91"/>
        <v>0</v>
      </c>
      <c r="AH23" s="141">
        <f t="shared" si="92"/>
        <v>0</v>
      </c>
      <c r="AI23" s="138">
        <v>7</v>
      </c>
      <c r="AJ23" s="139">
        <f t="shared" si="93"/>
        <v>22132.950000000004</v>
      </c>
      <c r="AK23" s="140">
        <f t="shared" si="94"/>
        <v>54908</v>
      </c>
      <c r="AL23" s="141">
        <f t="shared" si="95"/>
        <v>77040.950000000012</v>
      </c>
      <c r="AM23" s="138">
        <v>0</v>
      </c>
      <c r="AN23" s="139">
        <f t="shared" si="96"/>
        <v>0</v>
      </c>
      <c r="AO23" s="140">
        <f t="shared" si="97"/>
        <v>0</v>
      </c>
      <c r="AP23" s="141">
        <f t="shared" si="98"/>
        <v>0</v>
      </c>
      <c r="AQ23" s="138">
        <v>6</v>
      </c>
      <c r="AR23" s="139">
        <f t="shared" si="99"/>
        <v>18971.100000000002</v>
      </c>
      <c r="AS23" s="140">
        <f t="shared" si="100"/>
        <v>47064</v>
      </c>
      <c r="AT23" s="141">
        <f t="shared" si="101"/>
        <v>66035.100000000006</v>
      </c>
      <c r="AU23" s="138">
        <v>0</v>
      </c>
      <c r="AV23" s="139">
        <f t="shared" si="102"/>
        <v>0</v>
      </c>
      <c r="AW23" s="140">
        <f t="shared" si="103"/>
        <v>0</v>
      </c>
      <c r="AX23" s="141">
        <f t="shared" si="104"/>
        <v>0</v>
      </c>
      <c r="AY23" s="138">
        <v>0</v>
      </c>
      <c r="AZ23" s="139">
        <f t="shared" si="105"/>
        <v>0</v>
      </c>
      <c r="BA23" s="140">
        <f t="shared" si="106"/>
        <v>0</v>
      </c>
      <c r="BB23" s="141">
        <f t="shared" si="107"/>
        <v>0</v>
      </c>
      <c r="BC23" s="142">
        <f t="shared" si="66"/>
        <v>21</v>
      </c>
      <c r="BD23" s="139">
        <f t="shared" si="67"/>
        <v>66398.850000000006</v>
      </c>
      <c r="BE23" s="139">
        <f t="shared" si="68"/>
        <v>164724</v>
      </c>
      <c r="BF23" s="143">
        <f t="shared" si="69"/>
        <v>231122.85</v>
      </c>
      <c r="BG23" s="144"/>
      <c r="BH23" s="106">
        <v>17</v>
      </c>
      <c r="BI23" s="106">
        <f t="shared" si="108"/>
        <v>17</v>
      </c>
      <c r="BJ23" s="106">
        <f t="shared" si="108"/>
        <v>17</v>
      </c>
      <c r="BK23" s="106">
        <f t="shared" si="108"/>
        <v>17</v>
      </c>
      <c r="BM23" s="145">
        <f t="shared" si="109"/>
        <v>66398.850000000006</v>
      </c>
      <c r="BN23" s="145">
        <f t="shared" si="110"/>
        <v>164724</v>
      </c>
      <c r="BO23" s="145">
        <f t="shared" si="70"/>
        <v>231122.85</v>
      </c>
      <c r="BP23" s="174">
        <f t="shared" si="111"/>
        <v>66398.850000000006</v>
      </c>
      <c r="BQ23" s="174">
        <f t="shared" si="111"/>
        <v>164724</v>
      </c>
      <c r="BR23" s="174">
        <f t="shared" si="112"/>
        <v>231122.85</v>
      </c>
      <c r="BS23" s="174">
        <f t="shared" si="71"/>
        <v>66398.850000000006</v>
      </c>
      <c r="BT23" s="174">
        <f t="shared" si="71"/>
        <v>164724</v>
      </c>
      <c r="BU23" s="174">
        <f t="shared" si="71"/>
        <v>231122.85</v>
      </c>
      <c r="BV23" s="174">
        <f t="shared" si="71"/>
        <v>66398.850000000006</v>
      </c>
      <c r="BW23" s="174">
        <f t="shared" si="71"/>
        <v>164724</v>
      </c>
      <c r="BX23" s="174">
        <f t="shared" si="71"/>
        <v>231122.85</v>
      </c>
    </row>
    <row r="24" spans="1:76" x14ac:dyDescent="0.2">
      <c r="A24" s="110" t="s">
        <v>160</v>
      </c>
      <c r="B24" s="110" t="s">
        <v>161</v>
      </c>
      <c r="C24" s="147" t="s">
        <v>162</v>
      </c>
      <c r="D24" s="105">
        <v>3587</v>
      </c>
      <c r="E24" s="108">
        <f t="shared" si="49"/>
        <v>3838.09</v>
      </c>
      <c r="F24" s="109">
        <v>7844</v>
      </c>
      <c r="G24" s="138">
        <v>5</v>
      </c>
      <c r="H24" s="139">
        <f t="shared" si="72"/>
        <v>19190.45</v>
      </c>
      <c r="I24" s="140">
        <f t="shared" si="73"/>
        <v>39220</v>
      </c>
      <c r="J24" s="141">
        <f t="shared" si="74"/>
        <v>58410.45</v>
      </c>
      <c r="K24" s="138">
        <v>0</v>
      </c>
      <c r="L24" s="139">
        <f t="shared" si="75"/>
        <v>0</v>
      </c>
      <c r="M24" s="140">
        <f t="shared" si="76"/>
        <v>0</v>
      </c>
      <c r="N24" s="141">
        <f t="shared" si="77"/>
        <v>0</v>
      </c>
      <c r="O24" s="138">
        <v>0</v>
      </c>
      <c r="P24" s="139">
        <f t="shared" si="78"/>
        <v>0</v>
      </c>
      <c r="Q24" s="140">
        <f t="shared" si="79"/>
        <v>0</v>
      </c>
      <c r="R24" s="141">
        <f t="shared" si="80"/>
        <v>0</v>
      </c>
      <c r="S24" s="138">
        <v>0</v>
      </c>
      <c r="T24" s="139">
        <f t="shared" si="81"/>
        <v>0</v>
      </c>
      <c r="U24" s="140">
        <f t="shared" si="82"/>
        <v>0</v>
      </c>
      <c r="V24" s="141">
        <f t="shared" si="83"/>
        <v>0</v>
      </c>
      <c r="W24" s="138">
        <v>0</v>
      </c>
      <c r="X24" s="139">
        <f t="shared" si="84"/>
        <v>0</v>
      </c>
      <c r="Y24" s="140">
        <f t="shared" si="85"/>
        <v>0</v>
      </c>
      <c r="Z24" s="141">
        <f t="shared" si="86"/>
        <v>0</v>
      </c>
      <c r="AA24" s="138">
        <v>0</v>
      </c>
      <c r="AB24" s="139">
        <f t="shared" si="87"/>
        <v>0</v>
      </c>
      <c r="AC24" s="140">
        <f t="shared" si="88"/>
        <v>0</v>
      </c>
      <c r="AD24" s="141">
        <f t="shared" si="89"/>
        <v>0</v>
      </c>
      <c r="AE24" s="138">
        <v>5</v>
      </c>
      <c r="AF24" s="139">
        <f t="shared" si="90"/>
        <v>19190.45</v>
      </c>
      <c r="AG24" s="140">
        <f t="shared" si="91"/>
        <v>39220</v>
      </c>
      <c r="AH24" s="141">
        <f t="shared" si="92"/>
        <v>58410.45</v>
      </c>
      <c r="AI24" s="138">
        <v>0</v>
      </c>
      <c r="AJ24" s="139">
        <f t="shared" si="93"/>
        <v>0</v>
      </c>
      <c r="AK24" s="140">
        <f t="shared" si="94"/>
        <v>0</v>
      </c>
      <c r="AL24" s="141">
        <f t="shared" si="95"/>
        <v>0</v>
      </c>
      <c r="AM24" s="138">
        <v>0</v>
      </c>
      <c r="AN24" s="139">
        <f t="shared" si="96"/>
        <v>0</v>
      </c>
      <c r="AO24" s="140">
        <f t="shared" si="97"/>
        <v>0</v>
      </c>
      <c r="AP24" s="141">
        <f t="shared" si="98"/>
        <v>0</v>
      </c>
      <c r="AQ24" s="138">
        <v>5</v>
      </c>
      <c r="AR24" s="139">
        <f t="shared" si="99"/>
        <v>19190.45</v>
      </c>
      <c r="AS24" s="140">
        <f t="shared" si="100"/>
        <v>39220</v>
      </c>
      <c r="AT24" s="141">
        <f t="shared" si="101"/>
        <v>58410.45</v>
      </c>
      <c r="AU24" s="138">
        <v>0</v>
      </c>
      <c r="AV24" s="139">
        <f t="shared" si="102"/>
        <v>0</v>
      </c>
      <c r="AW24" s="140">
        <f t="shared" si="103"/>
        <v>0</v>
      </c>
      <c r="AX24" s="141">
        <f t="shared" si="104"/>
        <v>0</v>
      </c>
      <c r="AY24" s="138">
        <v>0</v>
      </c>
      <c r="AZ24" s="139">
        <f t="shared" si="105"/>
        <v>0</v>
      </c>
      <c r="BA24" s="140">
        <f t="shared" si="106"/>
        <v>0</v>
      </c>
      <c r="BB24" s="141">
        <f t="shared" si="107"/>
        <v>0</v>
      </c>
      <c r="BC24" s="142">
        <f t="shared" si="66"/>
        <v>15</v>
      </c>
      <c r="BD24" s="139">
        <f t="shared" si="67"/>
        <v>57571.350000000006</v>
      </c>
      <c r="BE24" s="139">
        <f t="shared" si="68"/>
        <v>117659.99999999997</v>
      </c>
      <c r="BF24" s="143">
        <f t="shared" si="69"/>
        <v>175231.34999999998</v>
      </c>
      <c r="BG24" s="144"/>
      <c r="BH24" s="106">
        <v>10</v>
      </c>
      <c r="BI24" s="106">
        <f t="shared" si="108"/>
        <v>10</v>
      </c>
      <c r="BJ24" s="106">
        <f t="shared" si="108"/>
        <v>10</v>
      </c>
      <c r="BK24" s="106">
        <f t="shared" si="108"/>
        <v>10</v>
      </c>
      <c r="BM24" s="145">
        <f t="shared" si="109"/>
        <v>57571.350000000006</v>
      </c>
      <c r="BN24" s="145">
        <f t="shared" si="110"/>
        <v>117659.99999999997</v>
      </c>
      <c r="BO24" s="145">
        <f t="shared" si="70"/>
        <v>175231.34999999998</v>
      </c>
      <c r="BP24" s="174">
        <f t="shared" si="111"/>
        <v>57571.350000000006</v>
      </c>
      <c r="BQ24" s="174">
        <f t="shared" si="111"/>
        <v>117659.99999999997</v>
      </c>
      <c r="BR24" s="174">
        <f t="shared" si="112"/>
        <v>175231.34999999998</v>
      </c>
      <c r="BS24" s="174">
        <f t="shared" si="71"/>
        <v>57571.350000000006</v>
      </c>
      <c r="BT24" s="174">
        <f t="shared" si="71"/>
        <v>117659.99999999997</v>
      </c>
      <c r="BU24" s="174">
        <f t="shared" si="71"/>
        <v>175231.34999999998</v>
      </c>
      <c r="BV24" s="174">
        <f t="shared" si="71"/>
        <v>57571.350000000006</v>
      </c>
      <c r="BW24" s="174">
        <f t="shared" si="71"/>
        <v>117659.99999999997</v>
      </c>
      <c r="BX24" s="174">
        <f t="shared" si="71"/>
        <v>175231.34999999998</v>
      </c>
    </row>
    <row r="25" spans="1:76" x14ac:dyDescent="0.2">
      <c r="A25" s="110" t="s">
        <v>163</v>
      </c>
      <c r="B25" s="110" t="s">
        <v>164</v>
      </c>
      <c r="C25" s="147" t="s">
        <v>165</v>
      </c>
      <c r="D25" s="105">
        <v>3672</v>
      </c>
      <c r="E25" s="107">
        <f t="shared" si="49"/>
        <v>3929.0400000000004</v>
      </c>
      <c r="F25" s="148">
        <v>7844</v>
      </c>
      <c r="G25" s="138">
        <v>0</v>
      </c>
      <c r="H25" s="139">
        <f t="shared" si="72"/>
        <v>0</v>
      </c>
      <c r="I25" s="140">
        <f t="shared" si="73"/>
        <v>0</v>
      </c>
      <c r="J25" s="141">
        <f t="shared" si="74"/>
        <v>0</v>
      </c>
      <c r="K25" s="138">
        <v>0</v>
      </c>
      <c r="L25" s="139">
        <f t="shared" si="75"/>
        <v>0</v>
      </c>
      <c r="M25" s="140">
        <f t="shared" si="76"/>
        <v>0</v>
      </c>
      <c r="N25" s="141">
        <f t="shared" si="77"/>
        <v>0</v>
      </c>
      <c r="O25" s="138">
        <v>0</v>
      </c>
      <c r="P25" s="139">
        <f t="shared" si="78"/>
        <v>0</v>
      </c>
      <c r="Q25" s="140">
        <f t="shared" si="79"/>
        <v>0</v>
      </c>
      <c r="R25" s="141">
        <f t="shared" si="80"/>
        <v>0</v>
      </c>
      <c r="S25" s="138">
        <v>0</v>
      </c>
      <c r="T25" s="139">
        <f t="shared" si="81"/>
        <v>0</v>
      </c>
      <c r="U25" s="140">
        <f t="shared" si="82"/>
        <v>0</v>
      </c>
      <c r="V25" s="141">
        <f t="shared" si="83"/>
        <v>0</v>
      </c>
      <c r="W25" s="138">
        <v>0</v>
      </c>
      <c r="X25" s="139">
        <f t="shared" si="84"/>
        <v>0</v>
      </c>
      <c r="Y25" s="140">
        <f t="shared" si="85"/>
        <v>0</v>
      </c>
      <c r="Z25" s="141">
        <f t="shared" si="86"/>
        <v>0</v>
      </c>
      <c r="AA25" s="138">
        <v>0</v>
      </c>
      <c r="AB25" s="139">
        <f t="shared" si="87"/>
        <v>0</v>
      </c>
      <c r="AC25" s="140">
        <f t="shared" si="88"/>
        <v>0</v>
      </c>
      <c r="AD25" s="141">
        <f t="shared" si="89"/>
        <v>0</v>
      </c>
      <c r="AE25" s="138">
        <v>0</v>
      </c>
      <c r="AF25" s="139">
        <f t="shared" si="90"/>
        <v>0</v>
      </c>
      <c r="AG25" s="140">
        <f t="shared" si="91"/>
        <v>0</v>
      </c>
      <c r="AH25" s="141">
        <f t="shared" si="92"/>
        <v>0</v>
      </c>
      <c r="AI25" s="138">
        <v>5</v>
      </c>
      <c r="AJ25" s="139">
        <f t="shared" si="93"/>
        <v>19645.2</v>
      </c>
      <c r="AK25" s="140">
        <f t="shared" si="94"/>
        <v>39220</v>
      </c>
      <c r="AL25" s="141">
        <f t="shared" si="95"/>
        <v>58865.2</v>
      </c>
      <c r="AM25" s="138">
        <v>0</v>
      </c>
      <c r="AN25" s="139">
        <f t="shared" si="96"/>
        <v>0</v>
      </c>
      <c r="AO25" s="140">
        <f t="shared" si="97"/>
        <v>0</v>
      </c>
      <c r="AP25" s="141">
        <f t="shared" si="98"/>
        <v>0</v>
      </c>
      <c r="AQ25" s="138">
        <v>0</v>
      </c>
      <c r="AR25" s="139">
        <f t="shared" si="99"/>
        <v>0</v>
      </c>
      <c r="AS25" s="140">
        <f t="shared" si="100"/>
        <v>0</v>
      </c>
      <c r="AT25" s="141">
        <f t="shared" si="101"/>
        <v>0</v>
      </c>
      <c r="AU25" s="138">
        <v>0</v>
      </c>
      <c r="AV25" s="139">
        <f t="shared" si="102"/>
        <v>0</v>
      </c>
      <c r="AW25" s="140">
        <f t="shared" si="103"/>
        <v>0</v>
      </c>
      <c r="AX25" s="141">
        <f t="shared" si="104"/>
        <v>0</v>
      </c>
      <c r="AY25" s="138">
        <v>0</v>
      </c>
      <c r="AZ25" s="139">
        <f t="shared" si="105"/>
        <v>0</v>
      </c>
      <c r="BA25" s="140">
        <f t="shared" si="106"/>
        <v>0</v>
      </c>
      <c r="BB25" s="141">
        <f t="shared" si="107"/>
        <v>0</v>
      </c>
      <c r="BC25" s="142">
        <f t="shared" si="66"/>
        <v>5</v>
      </c>
      <c r="BD25" s="139">
        <f t="shared" si="67"/>
        <v>19645.2</v>
      </c>
      <c r="BE25" s="139">
        <f t="shared" si="68"/>
        <v>39220</v>
      </c>
      <c r="BF25" s="143">
        <f t="shared" si="69"/>
        <v>58865.2</v>
      </c>
      <c r="BG25" s="144"/>
      <c r="BH25" s="106">
        <v>5</v>
      </c>
      <c r="BI25" s="106">
        <f t="shared" si="108"/>
        <v>5</v>
      </c>
      <c r="BJ25" s="106">
        <f t="shared" si="108"/>
        <v>5</v>
      </c>
      <c r="BK25" s="106">
        <f t="shared" si="108"/>
        <v>5</v>
      </c>
      <c r="BM25" s="145">
        <f t="shared" si="109"/>
        <v>19645.2</v>
      </c>
      <c r="BN25" s="145">
        <f t="shared" si="110"/>
        <v>39220</v>
      </c>
      <c r="BO25" s="145">
        <f t="shared" si="70"/>
        <v>58865.2</v>
      </c>
      <c r="BP25" s="174">
        <f t="shared" si="111"/>
        <v>19645.2</v>
      </c>
      <c r="BQ25" s="174">
        <f t="shared" si="111"/>
        <v>39220</v>
      </c>
      <c r="BR25" s="174">
        <f t="shared" si="112"/>
        <v>58865.2</v>
      </c>
      <c r="BS25" s="174">
        <f t="shared" si="71"/>
        <v>19645.2</v>
      </c>
      <c r="BT25" s="174">
        <f t="shared" si="71"/>
        <v>39220</v>
      </c>
      <c r="BU25" s="174">
        <f t="shared" si="71"/>
        <v>58865.2</v>
      </c>
      <c r="BV25" s="174">
        <f t="shared" si="71"/>
        <v>19645.2</v>
      </c>
      <c r="BW25" s="174">
        <f t="shared" si="71"/>
        <v>39220</v>
      </c>
      <c r="BX25" s="174">
        <f t="shared" si="71"/>
        <v>58865.2</v>
      </c>
    </row>
    <row r="26" spans="1:76" x14ac:dyDescent="0.2">
      <c r="A26" s="110" t="s">
        <v>166</v>
      </c>
      <c r="B26" s="110" t="s">
        <v>167</v>
      </c>
      <c r="C26" s="147" t="s">
        <v>168</v>
      </c>
      <c r="D26" s="105">
        <v>3481</v>
      </c>
      <c r="E26" s="108">
        <f t="shared" si="49"/>
        <v>3724.67</v>
      </c>
      <c r="F26" s="109">
        <v>7844</v>
      </c>
      <c r="G26" s="138">
        <v>0</v>
      </c>
      <c r="H26" s="139">
        <f t="shared" si="72"/>
        <v>0</v>
      </c>
      <c r="I26" s="140">
        <f t="shared" si="73"/>
        <v>0</v>
      </c>
      <c r="J26" s="141">
        <f t="shared" si="74"/>
        <v>0</v>
      </c>
      <c r="K26" s="138">
        <v>0</v>
      </c>
      <c r="L26" s="139">
        <f t="shared" si="75"/>
        <v>0</v>
      </c>
      <c r="M26" s="140">
        <f t="shared" si="76"/>
        <v>0</v>
      </c>
      <c r="N26" s="141">
        <f t="shared" si="77"/>
        <v>0</v>
      </c>
      <c r="O26" s="138">
        <v>0</v>
      </c>
      <c r="P26" s="139">
        <f t="shared" si="78"/>
        <v>0</v>
      </c>
      <c r="Q26" s="140">
        <f t="shared" si="79"/>
        <v>0</v>
      </c>
      <c r="R26" s="141">
        <f t="shared" si="80"/>
        <v>0</v>
      </c>
      <c r="S26" s="138">
        <v>0</v>
      </c>
      <c r="T26" s="139">
        <f t="shared" si="81"/>
        <v>0</v>
      </c>
      <c r="U26" s="140">
        <f t="shared" si="82"/>
        <v>0</v>
      </c>
      <c r="V26" s="141">
        <f t="shared" si="83"/>
        <v>0</v>
      </c>
      <c r="W26" s="138">
        <v>0</v>
      </c>
      <c r="X26" s="139">
        <f t="shared" si="84"/>
        <v>0</v>
      </c>
      <c r="Y26" s="140">
        <f t="shared" si="85"/>
        <v>0</v>
      </c>
      <c r="Z26" s="141">
        <f t="shared" si="86"/>
        <v>0</v>
      </c>
      <c r="AA26" s="138">
        <v>0</v>
      </c>
      <c r="AB26" s="139">
        <f t="shared" si="87"/>
        <v>0</v>
      </c>
      <c r="AC26" s="140">
        <f t="shared" si="88"/>
        <v>0</v>
      </c>
      <c r="AD26" s="141">
        <f t="shared" si="89"/>
        <v>0</v>
      </c>
      <c r="AE26" s="138">
        <v>0</v>
      </c>
      <c r="AF26" s="139">
        <f t="shared" si="90"/>
        <v>0</v>
      </c>
      <c r="AG26" s="140">
        <f t="shared" si="91"/>
        <v>0</v>
      </c>
      <c r="AH26" s="141">
        <f t="shared" si="92"/>
        <v>0</v>
      </c>
      <c r="AI26" s="138">
        <v>5</v>
      </c>
      <c r="AJ26" s="139">
        <f t="shared" si="93"/>
        <v>18623.349999999999</v>
      </c>
      <c r="AK26" s="140">
        <f t="shared" si="94"/>
        <v>39220</v>
      </c>
      <c r="AL26" s="141">
        <f t="shared" si="95"/>
        <v>57843.35</v>
      </c>
      <c r="AM26" s="138">
        <v>0</v>
      </c>
      <c r="AN26" s="139">
        <f t="shared" si="96"/>
        <v>0</v>
      </c>
      <c r="AO26" s="140">
        <f t="shared" si="97"/>
        <v>0</v>
      </c>
      <c r="AP26" s="141">
        <f t="shared" si="98"/>
        <v>0</v>
      </c>
      <c r="AQ26" s="138">
        <v>0</v>
      </c>
      <c r="AR26" s="139">
        <f t="shared" si="99"/>
        <v>0</v>
      </c>
      <c r="AS26" s="140">
        <f t="shared" si="100"/>
        <v>0</v>
      </c>
      <c r="AT26" s="141">
        <f t="shared" si="101"/>
        <v>0</v>
      </c>
      <c r="AU26" s="138">
        <v>0</v>
      </c>
      <c r="AV26" s="139">
        <f t="shared" si="102"/>
        <v>0</v>
      </c>
      <c r="AW26" s="140">
        <f t="shared" si="103"/>
        <v>0</v>
      </c>
      <c r="AX26" s="141">
        <f t="shared" si="104"/>
        <v>0</v>
      </c>
      <c r="AY26" s="138">
        <v>0</v>
      </c>
      <c r="AZ26" s="139">
        <f t="shared" si="105"/>
        <v>0</v>
      </c>
      <c r="BA26" s="140">
        <f t="shared" si="106"/>
        <v>0</v>
      </c>
      <c r="BB26" s="141">
        <f t="shared" si="107"/>
        <v>0</v>
      </c>
      <c r="BC26" s="142">
        <f t="shared" si="66"/>
        <v>5</v>
      </c>
      <c r="BD26" s="139">
        <f t="shared" si="67"/>
        <v>18623.349999999999</v>
      </c>
      <c r="BE26" s="139">
        <f t="shared" si="68"/>
        <v>39220</v>
      </c>
      <c r="BF26" s="143">
        <f t="shared" si="69"/>
        <v>57843.35</v>
      </c>
      <c r="BG26" s="144"/>
      <c r="BH26" s="106">
        <v>5</v>
      </c>
      <c r="BI26" s="106">
        <f t="shared" si="108"/>
        <v>5</v>
      </c>
      <c r="BJ26" s="106">
        <f t="shared" si="108"/>
        <v>5</v>
      </c>
      <c r="BK26" s="106">
        <f t="shared" si="108"/>
        <v>5</v>
      </c>
      <c r="BM26" s="145">
        <f t="shared" si="109"/>
        <v>18623.349999999999</v>
      </c>
      <c r="BN26" s="145">
        <f t="shared" si="110"/>
        <v>39220</v>
      </c>
      <c r="BO26" s="145">
        <f t="shared" si="70"/>
        <v>57843.35</v>
      </c>
      <c r="BP26" s="174">
        <f t="shared" si="111"/>
        <v>18623.349999999999</v>
      </c>
      <c r="BQ26" s="174">
        <f t="shared" si="111"/>
        <v>39220</v>
      </c>
      <c r="BR26" s="174">
        <f t="shared" si="112"/>
        <v>57843.35</v>
      </c>
      <c r="BS26" s="174">
        <f t="shared" si="71"/>
        <v>18623.349999999999</v>
      </c>
      <c r="BT26" s="174">
        <f t="shared" si="71"/>
        <v>39220</v>
      </c>
      <c r="BU26" s="174">
        <f t="shared" si="71"/>
        <v>57843.35</v>
      </c>
      <c r="BV26" s="174">
        <f t="shared" si="71"/>
        <v>18623.349999999999</v>
      </c>
      <c r="BW26" s="174">
        <f t="shared" si="71"/>
        <v>39220</v>
      </c>
      <c r="BX26" s="174">
        <f t="shared" si="71"/>
        <v>57843.35</v>
      </c>
    </row>
    <row r="27" spans="1:76" x14ac:dyDescent="0.2">
      <c r="A27" s="110" t="s">
        <v>169</v>
      </c>
      <c r="B27" s="110" t="s">
        <v>170</v>
      </c>
      <c r="C27" s="147" t="s">
        <v>171</v>
      </c>
      <c r="D27" s="108">
        <v>8385</v>
      </c>
      <c r="E27" s="107">
        <f>D27*1.07</f>
        <v>8971.9500000000007</v>
      </c>
      <c r="F27" s="109">
        <v>0</v>
      </c>
      <c r="G27" s="138">
        <v>0</v>
      </c>
      <c r="H27" s="139">
        <f t="shared" si="72"/>
        <v>0</v>
      </c>
      <c r="I27" s="140">
        <f t="shared" si="73"/>
        <v>0</v>
      </c>
      <c r="J27" s="141">
        <f t="shared" si="74"/>
        <v>0</v>
      </c>
      <c r="K27" s="138">
        <v>0</v>
      </c>
      <c r="L27" s="139">
        <f t="shared" si="75"/>
        <v>0</v>
      </c>
      <c r="M27" s="140">
        <f t="shared" si="76"/>
        <v>0</v>
      </c>
      <c r="N27" s="141">
        <f t="shared" si="77"/>
        <v>0</v>
      </c>
      <c r="O27" s="138">
        <v>0</v>
      </c>
      <c r="P27" s="139">
        <f t="shared" si="78"/>
        <v>0</v>
      </c>
      <c r="Q27" s="140">
        <f t="shared" si="79"/>
        <v>0</v>
      </c>
      <c r="R27" s="141">
        <f t="shared" si="80"/>
        <v>0</v>
      </c>
      <c r="S27" s="138">
        <v>0</v>
      </c>
      <c r="T27" s="139">
        <f t="shared" si="81"/>
        <v>0</v>
      </c>
      <c r="U27" s="140">
        <f t="shared" si="82"/>
        <v>0</v>
      </c>
      <c r="V27" s="141">
        <f t="shared" si="83"/>
        <v>0</v>
      </c>
      <c r="W27" s="138">
        <v>0</v>
      </c>
      <c r="X27" s="139">
        <f t="shared" si="84"/>
        <v>0</v>
      </c>
      <c r="Y27" s="140">
        <f t="shared" si="85"/>
        <v>0</v>
      </c>
      <c r="Z27" s="141">
        <f t="shared" si="86"/>
        <v>0</v>
      </c>
      <c r="AA27" s="138">
        <v>0</v>
      </c>
      <c r="AB27" s="139">
        <f t="shared" si="87"/>
        <v>0</v>
      </c>
      <c r="AC27" s="140">
        <f t="shared" si="88"/>
        <v>0</v>
      </c>
      <c r="AD27" s="141">
        <f t="shared" si="89"/>
        <v>0</v>
      </c>
      <c r="AE27" s="138">
        <v>0</v>
      </c>
      <c r="AF27" s="139">
        <f t="shared" si="90"/>
        <v>0</v>
      </c>
      <c r="AG27" s="140">
        <f t="shared" si="91"/>
        <v>0</v>
      </c>
      <c r="AH27" s="141">
        <f t="shared" si="92"/>
        <v>0</v>
      </c>
      <c r="AI27" s="138">
        <v>0</v>
      </c>
      <c r="AJ27" s="139">
        <f t="shared" si="93"/>
        <v>0</v>
      </c>
      <c r="AK27" s="140">
        <f t="shared" si="94"/>
        <v>0</v>
      </c>
      <c r="AL27" s="141">
        <f t="shared" si="95"/>
        <v>0</v>
      </c>
      <c r="AM27" s="138">
        <v>0</v>
      </c>
      <c r="AN27" s="139">
        <f t="shared" si="96"/>
        <v>0</v>
      </c>
      <c r="AO27" s="140">
        <f t="shared" si="97"/>
        <v>0</v>
      </c>
      <c r="AP27" s="141">
        <f t="shared" si="98"/>
        <v>0</v>
      </c>
      <c r="AQ27" s="138">
        <v>0</v>
      </c>
      <c r="AR27" s="139">
        <f t="shared" si="99"/>
        <v>0</v>
      </c>
      <c r="AS27" s="140">
        <f t="shared" si="100"/>
        <v>0</v>
      </c>
      <c r="AT27" s="141">
        <f t="shared" si="101"/>
        <v>0</v>
      </c>
      <c r="AU27" s="138">
        <v>0</v>
      </c>
      <c r="AV27" s="139">
        <f t="shared" si="102"/>
        <v>0</v>
      </c>
      <c r="AW27" s="140">
        <f t="shared" si="103"/>
        <v>0</v>
      </c>
      <c r="AX27" s="141">
        <f t="shared" si="104"/>
        <v>0</v>
      </c>
      <c r="AY27" s="138">
        <v>0</v>
      </c>
      <c r="AZ27" s="139">
        <f t="shared" si="105"/>
        <v>0</v>
      </c>
      <c r="BA27" s="140">
        <f t="shared" si="106"/>
        <v>0</v>
      </c>
      <c r="BB27" s="141">
        <f t="shared" si="107"/>
        <v>0</v>
      </c>
      <c r="BC27" s="142">
        <f t="shared" si="66"/>
        <v>0</v>
      </c>
      <c r="BD27" s="139">
        <f t="shared" si="67"/>
        <v>0</v>
      </c>
      <c r="BE27" s="139">
        <f t="shared" si="68"/>
        <v>0</v>
      </c>
      <c r="BF27" s="143">
        <f t="shared" si="69"/>
        <v>0</v>
      </c>
      <c r="BG27" s="144"/>
      <c r="BH27" s="106">
        <v>0</v>
      </c>
      <c r="BI27" s="106">
        <f t="shared" si="108"/>
        <v>0</v>
      </c>
      <c r="BJ27" s="106">
        <f t="shared" si="108"/>
        <v>0</v>
      </c>
      <c r="BK27" s="106">
        <f t="shared" si="108"/>
        <v>0</v>
      </c>
      <c r="BM27" s="145">
        <f>BF27</f>
        <v>0</v>
      </c>
      <c r="BN27" s="145"/>
      <c r="BO27" s="145"/>
      <c r="BP27" s="145"/>
      <c r="BQ27" s="145"/>
      <c r="BR27" s="174">
        <f>BM27</f>
        <v>0</v>
      </c>
      <c r="BS27" s="145"/>
      <c r="BT27" s="145"/>
      <c r="BU27" s="174">
        <f t="shared" si="71"/>
        <v>0</v>
      </c>
      <c r="BV27" s="145"/>
      <c r="BW27" s="145"/>
      <c r="BX27" s="174">
        <f t="shared" si="71"/>
        <v>0</v>
      </c>
    </row>
    <row r="28" spans="1:76" x14ac:dyDescent="0.2">
      <c r="A28" s="110" t="s">
        <v>172</v>
      </c>
      <c r="B28" s="110" t="s">
        <v>173</v>
      </c>
      <c r="C28" s="147" t="s">
        <v>174</v>
      </c>
      <c r="D28" s="105">
        <v>10348</v>
      </c>
      <c r="E28" s="107">
        <f t="shared" si="49"/>
        <v>11072.36</v>
      </c>
      <c r="F28" s="109">
        <v>0</v>
      </c>
      <c r="G28" s="138">
        <v>0</v>
      </c>
      <c r="H28" s="139">
        <f t="shared" si="72"/>
        <v>0</v>
      </c>
      <c r="I28" s="140">
        <f t="shared" si="73"/>
        <v>0</v>
      </c>
      <c r="J28" s="141">
        <f t="shared" si="74"/>
        <v>0</v>
      </c>
      <c r="K28" s="138">
        <v>0</v>
      </c>
      <c r="L28" s="139">
        <f t="shared" si="75"/>
        <v>0</v>
      </c>
      <c r="M28" s="140">
        <f t="shared" si="76"/>
        <v>0</v>
      </c>
      <c r="N28" s="141">
        <f t="shared" si="77"/>
        <v>0</v>
      </c>
      <c r="O28" s="138">
        <v>0</v>
      </c>
      <c r="P28" s="139">
        <f t="shared" si="78"/>
        <v>0</v>
      </c>
      <c r="Q28" s="140">
        <f t="shared" si="79"/>
        <v>0</v>
      </c>
      <c r="R28" s="141">
        <f t="shared" si="80"/>
        <v>0</v>
      </c>
      <c r="S28" s="138">
        <v>0</v>
      </c>
      <c r="T28" s="139">
        <f t="shared" si="81"/>
        <v>0</v>
      </c>
      <c r="U28" s="140">
        <f t="shared" si="82"/>
        <v>0</v>
      </c>
      <c r="V28" s="141">
        <f t="shared" si="83"/>
        <v>0</v>
      </c>
      <c r="W28" s="138">
        <v>0</v>
      </c>
      <c r="X28" s="139">
        <f t="shared" si="84"/>
        <v>0</v>
      </c>
      <c r="Y28" s="140">
        <f t="shared" si="85"/>
        <v>0</v>
      </c>
      <c r="Z28" s="141">
        <f t="shared" si="86"/>
        <v>0</v>
      </c>
      <c r="AA28" s="138">
        <v>0</v>
      </c>
      <c r="AB28" s="139">
        <f t="shared" si="87"/>
        <v>0</v>
      </c>
      <c r="AC28" s="140">
        <f t="shared" si="88"/>
        <v>0</v>
      </c>
      <c r="AD28" s="141">
        <f t="shared" si="89"/>
        <v>0</v>
      </c>
      <c r="AE28" s="138">
        <v>0</v>
      </c>
      <c r="AF28" s="139">
        <f t="shared" si="90"/>
        <v>0</v>
      </c>
      <c r="AG28" s="140">
        <f t="shared" si="91"/>
        <v>0</v>
      </c>
      <c r="AH28" s="141">
        <f t="shared" si="92"/>
        <v>0</v>
      </c>
      <c r="AI28" s="138">
        <v>0</v>
      </c>
      <c r="AJ28" s="139">
        <f t="shared" si="93"/>
        <v>0</v>
      </c>
      <c r="AK28" s="140">
        <f t="shared" si="94"/>
        <v>0</v>
      </c>
      <c r="AL28" s="141">
        <f t="shared" si="95"/>
        <v>0</v>
      </c>
      <c r="AM28" s="138">
        <v>0</v>
      </c>
      <c r="AN28" s="139">
        <f t="shared" si="96"/>
        <v>0</v>
      </c>
      <c r="AO28" s="140">
        <f t="shared" si="97"/>
        <v>0</v>
      </c>
      <c r="AP28" s="141">
        <f t="shared" si="98"/>
        <v>0</v>
      </c>
      <c r="AQ28" s="138">
        <v>0</v>
      </c>
      <c r="AR28" s="139">
        <f t="shared" si="99"/>
        <v>0</v>
      </c>
      <c r="AS28" s="140">
        <f t="shared" si="100"/>
        <v>0</v>
      </c>
      <c r="AT28" s="141">
        <f t="shared" si="101"/>
        <v>0</v>
      </c>
      <c r="AU28" s="138">
        <v>0</v>
      </c>
      <c r="AV28" s="139">
        <f t="shared" si="102"/>
        <v>0</v>
      </c>
      <c r="AW28" s="140">
        <f t="shared" si="103"/>
        <v>0</v>
      </c>
      <c r="AX28" s="141">
        <f t="shared" si="104"/>
        <v>0</v>
      </c>
      <c r="AY28" s="138">
        <v>0</v>
      </c>
      <c r="AZ28" s="139">
        <f t="shared" si="105"/>
        <v>0</v>
      </c>
      <c r="BA28" s="140">
        <f t="shared" si="106"/>
        <v>0</v>
      </c>
      <c r="BB28" s="141">
        <f t="shared" si="107"/>
        <v>0</v>
      </c>
      <c r="BC28" s="142">
        <f t="shared" si="66"/>
        <v>0</v>
      </c>
      <c r="BD28" s="139">
        <f t="shared" si="67"/>
        <v>0</v>
      </c>
      <c r="BE28" s="139">
        <f t="shared" si="68"/>
        <v>0</v>
      </c>
      <c r="BF28" s="143">
        <f t="shared" si="69"/>
        <v>0</v>
      </c>
      <c r="BG28" s="144"/>
      <c r="BH28" s="106">
        <v>0</v>
      </c>
      <c r="BI28" s="106">
        <f t="shared" si="108"/>
        <v>0</v>
      </c>
      <c r="BJ28" s="106">
        <f t="shared" si="108"/>
        <v>0</v>
      </c>
      <c r="BK28" s="106">
        <f t="shared" si="108"/>
        <v>0</v>
      </c>
      <c r="BM28" s="145">
        <f>BF28</f>
        <v>0</v>
      </c>
      <c r="BN28" s="145"/>
      <c r="BO28" s="145"/>
      <c r="BP28" s="145"/>
      <c r="BQ28" s="145"/>
      <c r="BR28" s="174">
        <f>BM28</f>
        <v>0</v>
      </c>
      <c r="BS28" s="145"/>
      <c r="BT28" s="145"/>
      <c r="BU28" s="174">
        <f t="shared" si="71"/>
        <v>0</v>
      </c>
      <c r="BV28" s="145"/>
      <c r="BW28" s="145"/>
      <c r="BX28" s="174">
        <f t="shared" si="71"/>
        <v>0</v>
      </c>
    </row>
    <row r="29" spans="1:76" x14ac:dyDescent="0.2">
      <c r="A29" s="110" t="s">
        <v>175</v>
      </c>
      <c r="B29" s="110" t="s">
        <v>176</v>
      </c>
      <c r="C29" s="147" t="s">
        <v>177</v>
      </c>
      <c r="D29" s="108">
        <v>12653</v>
      </c>
      <c r="E29" s="107">
        <f t="shared" si="49"/>
        <v>13538.710000000001</v>
      </c>
      <c r="F29" s="109">
        <v>0</v>
      </c>
      <c r="G29" s="138">
        <v>0</v>
      </c>
      <c r="H29" s="139">
        <f t="shared" si="72"/>
        <v>0</v>
      </c>
      <c r="I29" s="140">
        <f t="shared" si="73"/>
        <v>0</v>
      </c>
      <c r="J29" s="141">
        <f t="shared" si="74"/>
        <v>0</v>
      </c>
      <c r="K29" s="138">
        <v>0</v>
      </c>
      <c r="L29" s="139">
        <f t="shared" si="75"/>
        <v>0</v>
      </c>
      <c r="M29" s="140">
        <f t="shared" si="76"/>
        <v>0</v>
      </c>
      <c r="N29" s="141">
        <f t="shared" si="77"/>
        <v>0</v>
      </c>
      <c r="O29" s="138">
        <v>0</v>
      </c>
      <c r="P29" s="139">
        <f t="shared" si="78"/>
        <v>0</v>
      </c>
      <c r="Q29" s="140">
        <f t="shared" si="79"/>
        <v>0</v>
      </c>
      <c r="R29" s="141">
        <f t="shared" si="80"/>
        <v>0</v>
      </c>
      <c r="S29" s="138">
        <v>0</v>
      </c>
      <c r="T29" s="139">
        <f t="shared" si="81"/>
        <v>0</v>
      </c>
      <c r="U29" s="140">
        <f t="shared" si="82"/>
        <v>0</v>
      </c>
      <c r="V29" s="141">
        <f t="shared" si="83"/>
        <v>0</v>
      </c>
      <c r="W29" s="138">
        <v>0</v>
      </c>
      <c r="X29" s="139">
        <f t="shared" si="84"/>
        <v>0</v>
      </c>
      <c r="Y29" s="140">
        <f t="shared" si="85"/>
        <v>0</v>
      </c>
      <c r="Z29" s="141">
        <f t="shared" si="86"/>
        <v>0</v>
      </c>
      <c r="AA29" s="138">
        <v>0</v>
      </c>
      <c r="AB29" s="139">
        <f t="shared" si="87"/>
        <v>0</v>
      </c>
      <c r="AC29" s="140">
        <f t="shared" si="88"/>
        <v>0</v>
      </c>
      <c r="AD29" s="141">
        <f t="shared" si="89"/>
        <v>0</v>
      </c>
      <c r="AE29" s="138">
        <v>0</v>
      </c>
      <c r="AF29" s="139">
        <f t="shared" si="90"/>
        <v>0</v>
      </c>
      <c r="AG29" s="140">
        <f t="shared" si="91"/>
        <v>0</v>
      </c>
      <c r="AH29" s="141">
        <f t="shared" si="92"/>
        <v>0</v>
      </c>
      <c r="AI29" s="138">
        <v>0</v>
      </c>
      <c r="AJ29" s="139">
        <f t="shared" si="93"/>
        <v>0</v>
      </c>
      <c r="AK29" s="140">
        <f t="shared" si="94"/>
        <v>0</v>
      </c>
      <c r="AL29" s="141">
        <f t="shared" si="95"/>
        <v>0</v>
      </c>
      <c r="AM29" s="138">
        <v>0</v>
      </c>
      <c r="AN29" s="139">
        <f t="shared" si="96"/>
        <v>0</v>
      </c>
      <c r="AO29" s="140">
        <f t="shared" si="97"/>
        <v>0</v>
      </c>
      <c r="AP29" s="141">
        <f t="shared" si="98"/>
        <v>0</v>
      </c>
      <c r="AQ29" s="138">
        <v>0</v>
      </c>
      <c r="AR29" s="139">
        <f t="shared" si="99"/>
        <v>0</v>
      </c>
      <c r="AS29" s="140">
        <f t="shared" si="100"/>
        <v>0</v>
      </c>
      <c r="AT29" s="141">
        <f t="shared" si="101"/>
        <v>0</v>
      </c>
      <c r="AU29" s="138">
        <v>0</v>
      </c>
      <c r="AV29" s="139">
        <f t="shared" si="102"/>
        <v>0</v>
      </c>
      <c r="AW29" s="140">
        <f t="shared" si="103"/>
        <v>0</v>
      </c>
      <c r="AX29" s="141">
        <f t="shared" si="104"/>
        <v>0</v>
      </c>
      <c r="AY29" s="138">
        <v>0</v>
      </c>
      <c r="AZ29" s="139">
        <f t="shared" si="105"/>
        <v>0</v>
      </c>
      <c r="BA29" s="140">
        <f t="shared" si="106"/>
        <v>0</v>
      </c>
      <c r="BB29" s="141">
        <f t="shared" si="107"/>
        <v>0</v>
      </c>
      <c r="BC29" s="142">
        <f t="shared" si="66"/>
        <v>0</v>
      </c>
      <c r="BD29" s="139">
        <f t="shared" si="67"/>
        <v>0</v>
      </c>
      <c r="BE29" s="139">
        <f t="shared" si="68"/>
        <v>0</v>
      </c>
      <c r="BF29" s="143">
        <f t="shared" si="69"/>
        <v>0</v>
      </c>
      <c r="BG29" s="144"/>
      <c r="BH29" s="175">
        <v>0</v>
      </c>
      <c r="BI29" s="175">
        <f t="shared" si="108"/>
        <v>0</v>
      </c>
      <c r="BJ29" s="175">
        <f t="shared" si="108"/>
        <v>0</v>
      </c>
      <c r="BK29" s="175">
        <f t="shared" si="108"/>
        <v>0</v>
      </c>
      <c r="BM29" s="176">
        <f>BF29</f>
        <v>0</v>
      </c>
      <c r="BN29" s="176"/>
      <c r="BO29" s="176"/>
      <c r="BP29" s="176"/>
      <c r="BQ29" s="176"/>
      <c r="BR29" s="177">
        <f>BM29</f>
        <v>0</v>
      </c>
      <c r="BS29" s="176"/>
      <c r="BT29" s="176"/>
      <c r="BU29" s="177">
        <f t="shared" si="71"/>
        <v>0</v>
      </c>
      <c r="BV29" s="176"/>
      <c r="BW29" s="176"/>
      <c r="BX29" s="177">
        <f t="shared" si="71"/>
        <v>0</v>
      </c>
    </row>
    <row r="30" spans="1:76" s="151" customFormat="1" x14ac:dyDescent="0.2">
      <c r="C30" s="152" t="s">
        <v>178</v>
      </c>
      <c r="D30" s="153"/>
      <c r="E30" s="154"/>
      <c r="F30" s="155"/>
      <c r="G30" s="156">
        <f t="shared" ref="G30:BF30" si="113">SUM(G17:G29)</f>
        <v>5</v>
      </c>
      <c r="H30" s="157">
        <f>SUM(H17:H29)</f>
        <v>19190.45</v>
      </c>
      <c r="I30" s="157">
        <f t="shared" si="113"/>
        <v>39220</v>
      </c>
      <c r="J30" s="178">
        <f>SUM(J17:J29)</f>
        <v>58410.45</v>
      </c>
      <c r="K30" s="156">
        <f t="shared" si="113"/>
        <v>44</v>
      </c>
      <c r="L30" s="157">
        <f>SUM(L17:L29)</f>
        <v>97701.700000000012</v>
      </c>
      <c r="M30" s="157">
        <f t="shared" ref="M30" si="114">SUM(M17:M29)</f>
        <v>237816</v>
      </c>
      <c r="N30" s="178">
        <f>SUM(N17:N29)</f>
        <v>335517.7</v>
      </c>
      <c r="O30" s="156">
        <f t="shared" si="113"/>
        <v>17</v>
      </c>
      <c r="P30" s="157">
        <f>SUM(P17:P29)</f>
        <v>44149.270000000004</v>
      </c>
      <c r="Q30" s="157">
        <f t="shared" ref="Q30" si="115">SUM(Q17:Q29)</f>
        <v>87737</v>
      </c>
      <c r="R30" s="178">
        <f>SUM(R17:R29)</f>
        <v>131886.27000000002</v>
      </c>
      <c r="S30" s="156">
        <f t="shared" si="113"/>
        <v>63</v>
      </c>
      <c r="T30" s="157">
        <f>SUM(T17:T29)</f>
        <v>110892.66</v>
      </c>
      <c r="U30" s="157">
        <f t="shared" ref="U30" si="116">SUM(U17:U29)</f>
        <v>254943</v>
      </c>
      <c r="V30" s="178">
        <f>SUM(V17:V29)</f>
        <v>365835.66000000003</v>
      </c>
      <c r="W30" s="156">
        <f t="shared" si="113"/>
        <v>22</v>
      </c>
      <c r="X30" s="157">
        <f>SUM(X17:X29)</f>
        <v>53214.310000000005</v>
      </c>
      <c r="Y30" s="157">
        <f t="shared" ref="Y30" si="117">SUM(Y17:Y29)</f>
        <v>124274</v>
      </c>
      <c r="Z30" s="178">
        <f>SUM(Z17:Z29)</f>
        <v>177488.31</v>
      </c>
      <c r="AA30" s="156">
        <f t="shared" si="113"/>
        <v>20</v>
      </c>
      <c r="AB30" s="157">
        <f>SUM(AB17:AB29)</f>
        <v>32613.600000000002</v>
      </c>
      <c r="AC30" s="157">
        <f t="shared" ref="AC30" si="118">SUM(AC17:AC29)</f>
        <v>75140</v>
      </c>
      <c r="AD30" s="178">
        <f>SUM(AD17:AD29)</f>
        <v>107753.60000000001</v>
      </c>
      <c r="AE30" s="156">
        <f t="shared" si="113"/>
        <v>16</v>
      </c>
      <c r="AF30" s="157">
        <f>SUM(AF17:AF29)</f>
        <v>41706.460000000006</v>
      </c>
      <c r="AG30" s="157">
        <f t="shared" ref="AG30" si="119">SUM(AG17:AG29)</f>
        <v>95991</v>
      </c>
      <c r="AH30" s="178">
        <f>SUM(AH17:AH29)</f>
        <v>137697.46000000002</v>
      </c>
      <c r="AI30" s="156">
        <f t="shared" si="113"/>
        <v>19</v>
      </c>
      <c r="AJ30" s="157">
        <f>SUM(AJ17:AJ29)</f>
        <v>65766.48000000001</v>
      </c>
      <c r="AK30" s="157">
        <f t="shared" ref="AK30" si="120">SUM(AK17:AK29)</f>
        <v>143670</v>
      </c>
      <c r="AL30" s="178">
        <f>SUM(AL17:AL29)</f>
        <v>209436.48</v>
      </c>
      <c r="AM30" s="156">
        <f t="shared" si="113"/>
        <v>16</v>
      </c>
      <c r="AN30" s="157">
        <f>SUM(AN17:AN29)</f>
        <v>34307.410000000003</v>
      </c>
      <c r="AO30" s="157">
        <f t="shared" ref="AO30" si="121">SUM(AO17:AO29)</f>
        <v>82576</v>
      </c>
      <c r="AP30" s="178">
        <f>SUM(AP17:AP29)</f>
        <v>116883.41</v>
      </c>
      <c r="AQ30" s="156">
        <f t="shared" si="113"/>
        <v>11</v>
      </c>
      <c r="AR30" s="157">
        <f>SUM(AR17:AR29)</f>
        <v>38161.550000000003</v>
      </c>
      <c r="AS30" s="157">
        <f t="shared" ref="AS30" si="122">SUM(AS17:AS29)</f>
        <v>86284</v>
      </c>
      <c r="AT30" s="178">
        <f>SUM(AT17:AT29)</f>
        <v>124445.55</v>
      </c>
      <c r="AU30" s="156">
        <f t="shared" si="113"/>
        <v>17</v>
      </c>
      <c r="AV30" s="157">
        <f>SUM(AV17:AV29)</f>
        <v>37988.210000000006</v>
      </c>
      <c r="AW30" s="157">
        <f t="shared" ref="AW30" si="123">SUM(AW17:AW29)</f>
        <v>87737</v>
      </c>
      <c r="AX30" s="178">
        <f>SUM(AX17:AX29)</f>
        <v>125725.21</v>
      </c>
      <c r="AY30" s="156">
        <f t="shared" si="113"/>
        <v>30</v>
      </c>
      <c r="AZ30" s="157">
        <f>SUM(AZ17:AZ29)</f>
        <v>52868.7</v>
      </c>
      <c r="BA30" s="157">
        <f t="shared" ref="BA30" si="124">SUM(BA17:BA29)</f>
        <v>119730</v>
      </c>
      <c r="BB30" s="178">
        <f>SUM(BB17:BB29)</f>
        <v>172598.7</v>
      </c>
      <c r="BC30" s="159">
        <f t="shared" si="113"/>
        <v>280</v>
      </c>
      <c r="BD30" s="160">
        <f t="shared" si="113"/>
        <v>628560.79999999981</v>
      </c>
      <c r="BE30" s="160">
        <f t="shared" si="113"/>
        <v>1435118</v>
      </c>
      <c r="BF30" s="161">
        <f t="shared" si="113"/>
        <v>2063678.8000000005</v>
      </c>
      <c r="BG30" s="136"/>
      <c r="BH30" s="179">
        <f>+BC30</f>
        <v>280</v>
      </c>
      <c r="BI30" s="106">
        <f t="shared" si="108"/>
        <v>280</v>
      </c>
      <c r="BJ30" s="106">
        <f t="shared" si="108"/>
        <v>280</v>
      </c>
      <c r="BK30" s="106">
        <f t="shared" si="108"/>
        <v>280</v>
      </c>
      <c r="BM30" s="180">
        <f t="shared" ref="BM30:BX30" si="125">SUM(BM17:BM29)</f>
        <v>628560.79999999981</v>
      </c>
      <c r="BN30" s="180">
        <f t="shared" si="125"/>
        <v>1435118</v>
      </c>
      <c r="BO30" s="180">
        <f t="shared" si="125"/>
        <v>2063678.8000000005</v>
      </c>
      <c r="BP30" s="180">
        <f t="shared" si="125"/>
        <v>628560.79999999981</v>
      </c>
      <c r="BQ30" s="180">
        <f t="shared" si="125"/>
        <v>1435118</v>
      </c>
      <c r="BR30" s="180">
        <f t="shared" si="125"/>
        <v>2063678.8000000005</v>
      </c>
      <c r="BS30" s="180">
        <f t="shared" si="125"/>
        <v>628560.79999999981</v>
      </c>
      <c r="BT30" s="180">
        <f t="shared" si="125"/>
        <v>1435118</v>
      </c>
      <c r="BU30" s="180">
        <f t="shared" si="125"/>
        <v>2063678.8000000005</v>
      </c>
      <c r="BV30" s="180">
        <f t="shared" si="125"/>
        <v>628560.79999999981</v>
      </c>
      <c r="BW30" s="180">
        <f t="shared" si="125"/>
        <v>1435118</v>
      </c>
      <c r="BX30" s="180">
        <f t="shared" si="125"/>
        <v>2063678.8000000005</v>
      </c>
    </row>
    <row r="31" spans="1:76" x14ac:dyDescent="0.2">
      <c r="C31" s="147"/>
      <c r="D31" s="181" t="s">
        <v>179</v>
      </c>
      <c r="F31" s="182"/>
      <c r="G31" s="138"/>
      <c r="H31" s="139"/>
      <c r="I31" s="140"/>
      <c r="J31" s="141"/>
      <c r="K31" s="138"/>
      <c r="L31" s="139"/>
      <c r="M31" s="140"/>
      <c r="N31" s="141"/>
      <c r="O31" s="138"/>
      <c r="P31" s="139"/>
      <c r="Q31" s="140"/>
      <c r="R31" s="141"/>
      <c r="S31" s="138"/>
      <c r="T31" s="139"/>
      <c r="U31" s="140"/>
      <c r="V31" s="141"/>
      <c r="W31" s="138"/>
      <c r="X31" s="139"/>
      <c r="Y31" s="140"/>
      <c r="Z31" s="141"/>
      <c r="AA31" s="138"/>
      <c r="AB31" s="139"/>
      <c r="AC31" s="140"/>
      <c r="AD31" s="141"/>
      <c r="AE31" s="138"/>
      <c r="AF31" s="139"/>
      <c r="AG31" s="140"/>
      <c r="AH31" s="141"/>
      <c r="AI31" s="138"/>
      <c r="AJ31" s="139"/>
      <c r="AK31" s="140"/>
      <c r="AL31" s="141"/>
      <c r="AM31" s="138"/>
      <c r="AN31" s="139"/>
      <c r="AO31" s="140"/>
      <c r="AP31" s="141"/>
      <c r="AQ31" s="138"/>
      <c r="AR31" s="139"/>
      <c r="AS31" s="140"/>
      <c r="AT31" s="141"/>
      <c r="AU31" s="138"/>
      <c r="AV31" s="139"/>
      <c r="AW31" s="140"/>
      <c r="AX31" s="141"/>
      <c r="AY31" s="138"/>
      <c r="AZ31" s="139"/>
      <c r="BA31" s="140"/>
      <c r="BB31" s="141"/>
      <c r="BC31" s="138"/>
      <c r="BD31" s="139"/>
      <c r="BE31" s="139"/>
      <c r="BF31" s="141"/>
      <c r="BG31" s="146"/>
      <c r="BH31" s="183"/>
      <c r="BI31" s="146"/>
      <c r="BJ31" s="146"/>
      <c r="BK31" s="146"/>
    </row>
    <row r="32" spans="1:76" x14ac:dyDescent="0.2">
      <c r="C32" s="147" t="s">
        <v>180</v>
      </c>
      <c r="D32" s="105">
        <v>1700</v>
      </c>
      <c r="E32" s="108">
        <f>D32*1.07+30</f>
        <v>1849</v>
      </c>
      <c r="F32" s="109">
        <v>276</v>
      </c>
      <c r="G32" s="138">
        <v>12</v>
      </c>
      <c r="H32" s="139">
        <f>$E32*G32</f>
        <v>22188</v>
      </c>
      <c r="I32" s="140">
        <f>G32*$F32</f>
        <v>3312</v>
      </c>
      <c r="J32" s="141">
        <f>($F32*G32)+H32</f>
        <v>25500</v>
      </c>
      <c r="K32" s="138">
        <v>12</v>
      </c>
      <c r="L32" s="139">
        <f>$E32*K32</f>
        <v>22188</v>
      </c>
      <c r="M32" s="140">
        <f>K32*$F32</f>
        <v>3312</v>
      </c>
      <c r="N32" s="141">
        <f>($F32*K32)+L32</f>
        <v>25500</v>
      </c>
      <c r="O32" s="138">
        <v>12</v>
      </c>
      <c r="P32" s="139">
        <f>$E32*O32</f>
        <v>22188</v>
      </c>
      <c r="Q32" s="140">
        <f>O32*$F32</f>
        <v>3312</v>
      </c>
      <c r="R32" s="141">
        <f>($F32*O32)+P32</f>
        <v>25500</v>
      </c>
      <c r="S32" s="138">
        <v>12</v>
      </c>
      <c r="T32" s="139">
        <f>$E32*S32</f>
        <v>22188</v>
      </c>
      <c r="U32" s="140">
        <f>S32*$F32</f>
        <v>3312</v>
      </c>
      <c r="V32" s="141">
        <f>($F32*S32)+T32</f>
        <v>25500</v>
      </c>
      <c r="W32" s="138">
        <v>12</v>
      </c>
      <c r="X32" s="139">
        <f>$E32*W32</f>
        <v>22188</v>
      </c>
      <c r="Y32" s="140">
        <f>W32*$F32</f>
        <v>3312</v>
      </c>
      <c r="Z32" s="141">
        <f>($F32*W32)+X32</f>
        <v>25500</v>
      </c>
      <c r="AA32" s="138">
        <v>12</v>
      </c>
      <c r="AB32" s="139">
        <f>$E32*AA32</f>
        <v>22188</v>
      </c>
      <c r="AC32" s="140">
        <f>AA32*$F32</f>
        <v>3312</v>
      </c>
      <c r="AD32" s="141">
        <f>($F32*AA32)+AB32</f>
        <v>25500</v>
      </c>
      <c r="AE32" s="138">
        <v>12</v>
      </c>
      <c r="AF32" s="139">
        <f>$E32*AE32</f>
        <v>22188</v>
      </c>
      <c r="AG32" s="140">
        <f>AE32*$F32</f>
        <v>3312</v>
      </c>
      <c r="AH32" s="141">
        <f>($F32*AE32)+AF32</f>
        <v>25500</v>
      </c>
      <c r="AI32" s="138">
        <v>12</v>
      </c>
      <c r="AJ32" s="139">
        <f>$E32*AI32</f>
        <v>22188</v>
      </c>
      <c r="AK32" s="140">
        <f>AI32*$F32</f>
        <v>3312</v>
      </c>
      <c r="AL32" s="141">
        <f>($F32*AI32)+AJ32</f>
        <v>25500</v>
      </c>
      <c r="AM32" s="138">
        <v>12</v>
      </c>
      <c r="AN32" s="139">
        <f>$E32*AM32</f>
        <v>22188</v>
      </c>
      <c r="AO32" s="140">
        <f>AM32*$F32</f>
        <v>3312</v>
      </c>
      <c r="AP32" s="141">
        <f>($F32*AM32)+AN32</f>
        <v>25500</v>
      </c>
      <c r="AQ32" s="138">
        <v>12</v>
      </c>
      <c r="AR32" s="139">
        <f>$E32*AQ32</f>
        <v>22188</v>
      </c>
      <c r="AS32" s="140">
        <f>AQ32*$F32</f>
        <v>3312</v>
      </c>
      <c r="AT32" s="141">
        <f>($F32*AQ32)+AR32</f>
        <v>25500</v>
      </c>
      <c r="AU32" s="138">
        <v>12</v>
      </c>
      <c r="AV32" s="139">
        <f>$E32*AU32</f>
        <v>22188</v>
      </c>
      <c r="AW32" s="140">
        <f>AU32*$F32</f>
        <v>3312</v>
      </c>
      <c r="AX32" s="141">
        <f>($F32*AU32)+AV32</f>
        <v>25500</v>
      </c>
      <c r="AY32" s="138">
        <v>12</v>
      </c>
      <c r="AZ32" s="139">
        <f>$E32*AY32</f>
        <v>22188</v>
      </c>
      <c r="BA32" s="140">
        <f>AY32*$F32</f>
        <v>3312</v>
      </c>
      <c r="BB32" s="141">
        <f>($F32*AY32)+AZ32</f>
        <v>25500</v>
      </c>
      <c r="BC32" s="142">
        <f>SUM(G32,K32,O32,S32,W32,AA32,AE32,AI32,AM32,AQ32,AU32,AY32)</f>
        <v>144</v>
      </c>
      <c r="BD32" s="139">
        <f>SUM(AZ32,AV32,AR32,AN32,AJ32,AF32,AB32,X32,T32,P32,L32,H32)</f>
        <v>266256</v>
      </c>
      <c r="BE32" s="139">
        <f>BF32-BD32</f>
        <v>39744</v>
      </c>
      <c r="BF32" s="143">
        <f>SUM(J32,N32,R32,V32,Z32,AD32,AH32,AL32,AP32,AT32,AX32,BB32)</f>
        <v>306000</v>
      </c>
      <c r="BG32" s="144"/>
      <c r="BH32" s="106">
        <v>144</v>
      </c>
      <c r="BI32" s="144">
        <f>BH32</f>
        <v>144</v>
      </c>
      <c r="BJ32" s="144">
        <f>BI32</f>
        <v>144</v>
      </c>
      <c r="BK32" s="144">
        <f>BJ32</f>
        <v>144</v>
      </c>
      <c r="BM32" s="145">
        <f t="shared" ref="BM32:BM38" si="126">+BD32</f>
        <v>266256</v>
      </c>
      <c r="BN32" s="145">
        <f t="shared" ref="BN32:BN38" si="127">BE32</f>
        <v>39744</v>
      </c>
      <c r="BO32" s="145">
        <f t="shared" ref="BO32:BO38" si="128">SUM(BM32:BN32)</f>
        <v>306000</v>
      </c>
      <c r="BP32" s="174">
        <f t="shared" ref="BP32:BQ38" si="129">BM32</f>
        <v>266256</v>
      </c>
      <c r="BQ32" s="174">
        <f t="shared" si="129"/>
        <v>39744</v>
      </c>
      <c r="BR32" s="174">
        <f t="shared" ref="BR32:BR38" si="130">SUM(BP32:BQ32)</f>
        <v>306000</v>
      </c>
      <c r="BS32" s="174">
        <f t="shared" ref="BS32:BU38" si="131">BP32</f>
        <v>266256</v>
      </c>
      <c r="BT32" s="174">
        <f t="shared" si="131"/>
        <v>39744</v>
      </c>
      <c r="BU32" s="146">
        <f>BR32</f>
        <v>306000</v>
      </c>
      <c r="BV32" s="174">
        <f t="shared" ref="BV32:BX38" si="132">BS32</f>
        <v>266256</v>
      </c>
      <c r="BW32" s="174">
        <f t="shared" si="132"/>
        <v>39744</v>
      </c>
      <c r="BX32" s="146">
        <f>BU32</f>
        <v>306000</v>
      </c>
    </row>
    <row r="33" spans="3:76" x14ac:dyDescent="0.2">
      <c r="C33" s="164"/>
      <c r="D33" s="181"/>
      <c r="F33" s="182"/>
      <c r="G33" s="138"/>
      <c r="H33" s="139"/>
      <c r="I33" s="140"/>
      <c r="J33" s="141"/>
      <c r="K33" s="138"/>
      <c r="L33" s="139"/>
      <c r="M33" s="140"/>
      <c r="N33" s="141"/>
      <c r="O33" s="138"/>
      <c r="P33" s="139"/>
      <c r="Q33" s="140"/>
      <c r="R33" s="141"/>
      <c r="S33" s="138"/>
      <c r="T33" s="139"/>
      <c r="U33" s="140"/>
      <c r="V33" s="141"/>
      <c r="W33" s="138"/>
      <c r="X33" s="139"/>
      <c r="Y33" s="140"/>
      <c r="Z33" s="141"/>
      <c r="AA33" s="138"/>
      <c r="AB33" s="139"/>
      <c r="AC33" s="140"/>
      <c r="AD33" s="141"/>
      <c r="AE33" s="138"/>
      <c r="AF33" s="139"/>
      <c r="AG33" s="140"/>
      <c r="AH33" s="141"/>
      <c r="AI33" s="138"/>
      <c r="AJ33" s="139"/>
      <c r="AK33" s="140"/>
      <c r="AL33" s="141"/>
      <c r="AM33" s="138"/>
      <c r="AN33" s="139"/>
      <c r="AO33" s="140"/>
      <c r="AP33" s="141"/>
      <c r="AQ33" s="138"/>
      <c r="AR33" s="139"/>
      <c r="AS33" s="140"/>
      <c r="AT33" s="141"/>
      <c r="AU33" s="138"/>
      <c r="AV33" s="139"/>
      <c r="AW33" s="140"/>
      <c r="AX33" s="141"/>
      <c r="AY33" s="138"/>
      <c r="AZ33" s="139"/>
      <c r="BA33" s="140"/>
      <c r="BB33" s="141"/>
      <c r="BC33" s="184"/>
      <c r="BD33" s="139"/>
      <c r="BE33" s="139"/>
      <c r="BF33" s="141"/>
      <c r="BG33" s="146"/>
      <c r="BH33" s="183"/>
      <c r="BI33" s="146"/>
      <c r="BJ33" s="146"/>
      <c r="BK33" s="146"/>
      <c r="BN33" s="145">
        <f t="shared" si="127"/>
        <v>0</v>
      </c>
      <c r="BO33" s="145">
        <f t="shared" si="128"/>
        <v>0</v>
      </c>
      <c r="BP33" s="174">
        <f t="shared" si="129"/>
        <v>0</v>
      </c>
      <c r="BQ33" s="174">
        <f t="shared" si="129"/>
        <v>0</v>
      </c>
      <c r="BR33" s="174">
        <f t="shared" si="130"/>
        <v>0</v>
      </c>
      <c r="BS33" s="174">
        <f t="shared" si="131"/>
        <v>0</v>
      </c>
      <c r="BT33" s="174">
        <f t="shared" si="131"/>
        <v>0</v>
      </c>
      <c r="BU33" s="146"/>
      <c r="BV33" s="174">
        <f t="shared" si="132"/>
        <v>0</v>
      </c>
      <c r="BW33" s="174">
        <f t="shared" si="132"/>
        <v>0</v>
      </c>
      <c r="BX33" s="146"/>
    </row>
    <row r="34" spans="3:76" x14ac:dyDescent="0.2">
      <c r="C34" s="147" t="s">
        <v>181</v>
      </c>
      <c r="D34" s="105" t="s">
        <v>182</v>
      </c>
      <c r="E34" s="108"/>
      <c r="F34" s="109">
        <v>0</v>
      </c>
      <c r="G34" s="138"/>
      <c r="H34" s="139"/>
      <c r="I34" s="140"/>
      <c r="J34" s="141">
        <f t="shared" ref="J34" si="133">($F34*G34)+H34</f>
        <v>0</v>
      </c>
      <c r="K34" s="138"/>
      <c r="L34" s="139"/>
      <c r="M34" s="140"/>
      <c r="N34" s="141">
        <f>L34</f>
        <v>0</v>
      </c>
      <c r="O34" s="138"/>
      <c r="P34" s="139"/>
      <c r="Q34" s="140"/>
      <c r="R34" s="141">
        <f>($F34*O34)+P34</f>
        <v>0</v>
      </c>
      <c r="S34" s="138"/>
      <c r="T34" s="139"/>
      <c r="U34" s="140"/>
      <c r="V34" s="141">
        <f>($F34*S34)+T34</f>
        <v>0</v>
      </c>
      <c r="W34" s="138"/>
      <c r="X34" s="139"/>
      <c r="Y34" s="140"/>
      <c r="Z34" s="141">
        <f>($F34*W34)+X34</f>
        <v>0</v>
      </c>
      <c r="AA34" s="138"/>
      <c r="AB34" s="139"/>
      <c r="AC34" s="140"/>
      <c r="AD34" s="141">
        <f>($F34*AA34)+AB34</f>
        <v>0</v>
      </c>
      <c r="AE34" s="138"/>
      <c r="AF34" s="139"/>
      <c r="AG34" s="140"/>
      <c r="AH34" s="141">
        <f>($F34*AE34)+AF34</f>
        <v>0</v>
      </c>
      <c r="AI34" s="138"/>
      <c r="AJ34" s="139"/>
      <c r="AK34" s="140"/>
      <c r="AL34" s="141">
        <f>($F34*AI34)+AJ34</f>
        <v>0</v>
      </c>
      <c r="AM34" s="138"/>
      <c r="AN34" s="139"/>
      <c r="AO34" s="140"/>
      <c r="AP34" s="141">
        <f>($F34*AM34)+AN34</f>
        <v>0</v>
      </c>
      <c r="AQ34" s="138"/>
      <c r="AR34" s="139"/>
      <c r="AS34" s="140"/>
      <c r="AT34" s="141">
        <f>($F34*AQ34)+AR34</f>
        <v>0</v>
      </c>
      <c r="AU34" s="138"/>
      <c r="AV34" s="139"/>
      <c r="AW34" s="140"/>
      <c r="AX34" s="141">
        <f>($F34*AU34)+AV34</f>
        <v>0</v>
      </c>
      <c r="AY34" s="138"/>
      <c r="AZ34" s="139">
        <v>20000</v>
      </c>
      <c r="BA34" s="140"/>
      <c r="BB34" s="141">
        <f>($F34*AY34)+AZ34</f>
        <v>20000</v>
      </c>
      <c r="BC34" s="142"/>
      <c r="BD34" s="139">
        <f t="shared" ref="BD34:BD38" si="134">SUM(AZ34,AV34,AR34,AN34,AJ34,AF34,AB34,X34,T34,P34,L34,H34)</f>
        <v>20000</v>
      </c>
      <c r="BE34" s="139">
        <f>BF34-BD34</f>
        <v>0</v>
      </c>
      <c r="BF34" s="143">
        <f>SUM(J34,N34,R34,V34,Z34,AD34,AH34,AL34,AP34,AT34,AX34,BB34)</f>
        <v>20000</v>
      </c>
      <c r="BG34" s="144"/>
      <c r="BH34" s="106"/>
      <c r="BI34" s="144"/>
      <c r="BJ34" s="144"/>
      <c r="BK34" s="144"/>
      <c r="BM34" s="145">
        <f t="shared" si="126"/>
        <v>20000</v>
      </c>
      <c r="BN34" s="145">
        <f t="shared" si="127"/>
        <v>0</v>
      </c>
      <c r="BO34" s="145">
        <f t="shared" si="128"/>
        <v>20000</v>
      </c>
      <c r="BP34" s="174">
        <f t="shared" si="129"/>
        <v>20000</v>
      </c>
      <c r="BQ34" s="174">
        <f t="shared" si="129"/>
        <v>0</v>
      </c>
      <c r="BR34" s="174">
        <f t="shared" si="130"/>
        <v>20000</v>
      </c>
      <c r="BS34" s="174">
        <f t="shared" si="131"/>
        <v>20000</v>
      </c>
      <c r="BT34" s="174">
        <f t="shared" si="131"/>
        <v>0</v>
      </c>
      <c r="BU34" s="146">
        <f t="shared" si="131"/>
        <v>20000</v>
      </c>
      <c r="BV34" s="174">
        <f t="shared" si="132"/>
        <v>20000</v>
      </c>
      <c r="BW34" s="174">
        <f t="shared" si="132"/>
        <v>0</v>
      </c>
      <c r="BX34" s="146">
        <f t="shared" si="132"/>
        <v>20000</v>
      </c>
    </row>
    <row r="35" spans="3:76" x14ac:dyDescent="0.2">
      <c r="C35" s="147" t="s">
        <v>183</v>
      </c>
      <c r="D35" s="105">
        <v>57</v>
      </c>
      <c r="E35" s="108">
        <f t="shared" si="49"/>
        <v>60.99</v>
      </c>
      <c r="F35" s="109">
        <v>0</v>
      </c>
      <c r="G35" s="138"/>
      <c r="H35" s="139">
        <f>$E35*G35</f>
        <v>0</v>
      </c>
      <c r="I35" s="140">
        <f>G35*$F35</f>
        <v>0</v>
      </c>
      <c r="J35" s="141">
        <f>($F35*G35)+H35</f>
        <v>0</v>
      </c>
      <c r="K35" s="138"/>
      <c r="L35" s="139">
        <f>$E35*K35</f>
        <v>0</v>
      </c>
      <c r="M35" s="140">
        <f>K35*$F35</f>
        <v>0</v>
      </c>
      <c r="N35" s="141">
        <f>($F35*K35)+L35</f>
        <v>0</v>
      </c>
      <c r="O35" s="138"/>
      <c r="P35" s="139">
        <f>$E35*O35</f>
        <v>0</v>
      </c>
      <c r="Q35" s="140">
        <f>O35*$F35</f>
        <v>0</v>
      </c>
      <c r="R35" s="141">
        <f>($F35*O35)+P35</f>
        <v>0</v>
      </c>
      <c r="S35" s="138"/>
      <c r="T35" s="139">
        <f>$E35*S35</f>
        <v>0</v>
      </c>
      <c r="U35" s="140">
        <f>S35*$F35</f>
        <v>0</v>
      </c>
      <c r="V35" s="141">
        <f>($F35*S35)+T35</f>
        <v>0</v>
      </c>
      <c r="W35" s="138"/>
      <c r="X35" s="139">
        <f>$E35*W35</f>
        <v>0</v>
      </c>
      <c r="Y35" s="140">
        <f>W35*$F35</f>
        <v>0</v>
      </c>
      <c r="Z35" s="141">
        <f>($F35*W35)+X35</f>
        <v>0</v>
      </c>
      <c r="AA35" s="138"/>
      <c r="AB35" s="139">
        <f>$E35*AA35</f>
        <v>0</v>
      </c>
      <c r="AC35" s="140">
        <f>AA35*$F35</f>
        <v>0</v>
      </c>
      <c r="AD35" s="141">
        <f>($F35*AA35)+AB35</f>
        <v>0</v>
      </c>
      <c r="AE35" s="138"/>
      <c r="AF35" s="139">
        <f>$E35*AE35</f>
        <v>0</v>
      </c>
      <c r="AG35" s="140">
        <f>AE35*$F35</f>
        <v>0</v>
      </c>
      <c r="AH35" s="141">
        <f>($F35*AE35)+AF35</f>
        <v>0</v>
      </c>
      <c r="AI35" s="138"/>
      <c r="AJ35" s="139">
        <f>$E35*AI35</f>
        <v>0</v>
      </c>
      <c r="AK35" s="140">
        <f>AI35*$F35</f>
        <v>0</v>
      </c>
      <c r="AL35" s="141">
        <f>($F35*AI35)+AJ35</f>
        <v>0</v>
      </c>
      <c r="AM35" s="138"/>
      <c r="AN35" s="139">
        <f>$E35*AM35</f>
        <v>0</v>
      </c>
      <c r="AO35" s="140">
        <f>AM35*$F35</f>
        <v>0</v>
      </c>
      <c r="AP35" s="141">
        <f>($F35*AM35)+AN35</f>
        <v>0</v>
      </c>
      <c r="AQ35" s="138"/>
      <c r="AR35" s="139">
        <f>$E35*AQ35</f>
        <v>0</v>
      </c>
      <c r="AS35" s="140">
        <f>AQ35*$F35</f>
        <v>0</v>
      </c>
      <c r="AT35" s="141">
        <f>($F35*AQ35)+AR35</f>
        <v>0</v>
      </c>
      <c r="AU35" s="138"/>
      <c r="AV35" s="139">
        <f>$E35*AU35</f>
        <v>0</v>
      </c>
      <c r="AW35" s="140">
        <f>AU35*$F35</f>
        <v>0</v>
      </c>
      <c r="AX35" s="141">
        <f>($F35*AU35)+AV35</f>
        <v>0</v>
      </c>
      <c r="AY35" s="138">
        <f>1000+300+1000</f>
        <v>2300</v>
      </c>
      <c r="AZ35" s="139">
        <f>$E35*AY35</f>
        <v>140277</v>
      </c>
      <c r="BA35" s="140">
        <f>AY35*$F35</f>
        <v>0</v>
      </c>
      <c r="BB35" s="141">
        <f>($F35*AY35)+AZ35</f>
        <v>140277</v>
      </c>
      <c r="BC35" s="142">
        <f>SUM(G35,K35,O35,S35,W35,AA35,AE35,AI35,AM35,AQ35,AU35,AY35)</f>
        <v>2300</v>
      </c>
      <c r="BD35" s="185">
        <f t="shared" si="134"/>
        <v>140277</v>
      </c>
      <c r="BE35" s="139">
        <f>BF35-BD35</f>
        <v>0</v>
      </c>
      <c r="BF35" s="143">
        <f>SUM(J35,N35,R35,V35,Z35,AD35,AH35,AL35,AP35,AT35,AX35,BB35)</f>
        <v>140277</v>
      </c>
      <c r="BG35" s="144"/>
      <c r="BH35" s="106">
        <v>2300</v>
      </c>
      <c r="BI35" s="144"/>
      <c r="BJ35" s="144"/>
      <c r="BK35" s="144"/>
      <c r="BM35" s="145">
        <f t="shared" si="126"/>
        <v>140277</v>
      </c>
      <c r="BN35" s="145">
        <f t="shared" si="127"/>
        <v>0</v>
      </c>
      <c r="BO35" s="145">
        <f t="shared" si="128"/>
        <v>140277</v>
      </c>
      <c r="BP35" s="174">
        <f t="shared" si="129"/>
        <v>140277</v>
      </c>
      <c r="BQ35" s="174">
        <f t="shared" si="129"/>
        <v>0</v>
      </c>
      <c r="BR35" s="174">
        <f t="shared" si="130"/>
        <v>140277</v>
      </c>
      <c r="BS35" s="174">
        <f t="shared" si="131"/>
        <v>140277</v>
      </c>
      <c r="BT35" s="174">
        <f t="shared" si="131"/>
        <v>0</v>
      </c>
      <c r="BU35" s="146">
        <f t="shared" si="131"/>
        <v>140277</v>
      </c>
      <c r="BV35" s="174">
        <f t="shared" si="132"/>
        <v>140277</v>
      </c>
      <c r="BW35" s="174">
        <f t="shared" si="132"/>
        <v>0</v>
      </c>
      <c r="BX35" s="146">
        <f t="shared" si="132"/>
        <v>140277</v>
      </c>
    </row>
    <row r="36" spans="3:76" x14ac:dyDescent="0.2">
      <c r="C36" s="147" t="s">
        <v>184</v>
      </c>
      <c r="D36" s="105">
        <v>89</v>
      </c>
      <c r="E36" s="108">
        <f t="shared" si="49"/>
        <v>95.23</v>
      </c>
      <c r="F36" s="109">
        <v>0</v>
      </c>
      <c r="G36" s="138"/>
      <c r="H36" s="139">
        <f>$E36*G36</f>
        <v>0</v>
      </c>
      <c r="I36" s="140">
        <f>G36*$F36</f>
        <v>0</v>
      </c>
      <c r="J36" s="141">
        <f>($F36*G36)+H36</f>
        <v>0</v>
      </c>
      <c r="K36" s="138"/>
      <c r="L36" s="139">
        <f>$E36*K36</f>
        <v>0</v>
      </c>
      <c r="M36" s="140">
        <f>K36*$F36</f>
        <v>0</v>
      </c>
      <c r="N36" s="141">
        <f>($F36*K36)+L36</f>
        <v>0</v>
      </c>
      <c r="O36" s="138"/>
      <c r="P36" s="139">
        <f>$E36*O36</f>
        <v>0</v>
      </c>
      <c r="Q36" s="140">
        <f>O36*$F36</f>
        <v>0</v>
      </c>
      <c r="R36" s="141">
        <f>($F36*O36)+P36</f>
        <v>0</v>
      </c>
      <c r="S36" s="138"/>
      <c r="T36" s="139">
        <f>$E36*S36</f>
        <v>0</v>
      </c>
      <c r="U36" s="140">
        <f>S36*$F36</f>
        <v>0</v>
      </c>
      <c r="V36" s="141">
        <f>($F36*S36)+T36</f>
        <v>0</v>
      </c>
      <c r="W36" s="138"/>
      <c r="X36" s="139">
        <f>$E36*W36</f>
        <v>0</v>
      </c>
      <c r="Y36" s="140">
        <f>W36*$F36</f>
        <v>0</v>
      </c>
      <c r="Z36" s="141">
        <f>($F36*W36)+X36</f>
        <v>0</v>
      </c>
      <c r="AA36" s="138"/>
      <c r="AB36" s="139">
        <f>$E36*AA36</f>
        <v>0</v>
      </c>
      <c r="AC36" s="140">
        <f>AA36*$F36</f>
        <v>0</v>
      </c>
      <c r="AD36" s="141">
        <f>($F36*AA36)+AB36</f>
        <v>0</v>
      </c>
      <c r="AE36" s="138"/>
      <c r="AF36" s="139">
        <f>$E36*AE36</f>
        <v>0</v>
      </c>
      <c r="AG36" s="140">
        <f>AE36*$F36</f>
        <v>0</v>
      </c>
      <c r="AH36" s="141">
        <f>($F36*AE36)+AF36</f>
        <v>0</v>
      </c>
      <c r="AI36" s="138"/>
      <c r="AJ36" s="139">
        <f>$E36*AI36</f>
        <v>0</v>
      </c>
      <c r="AK36" s="140">
        <f>AI36*$F36</f>
        <v>0</v>
      </c>
      <c r="AL36" s="141">
        <f>($F36*AI36)+AJ36</f>
        <v>0</v>
      </c>
      <c r="AM36" s="138"/>
      <c r="AN36" s="139">
        <f>$E36*AM36</f>
        <v>0</v>
      </c>
      <c r="AO36" s="140">
        <f>AM36*$F36</f>
        <v>0</v>
      </c>
      <c r="AP36" s="141">
        <f>($F36*AM36)+AN36</f>
        <v>0</v>
      </c>
      <c r="AQ36" s="138"/>
      <c r="AR36" s="139">
        <f>$E36*AQ36</f>
        <v>0</v>
      </c>
      <c r="AS36" s="140">
        <f>AQ36*$F36</f>
        <v>0</v>
      </c>
      <c r="AT36" s="141">
        <f>($F36*AQ36)+AR36</f>
        <v>0</v>
      </c>
      <c r="AU36" s="138"/>
      <c r="AV36" s="139">
        <f>$E36*AU36</f>
        <v>0</v>
      </c>
      <c r="AW36" s="140">
        <f>AU36*$F36</f>
        <v>0</v>
      </c>
      <c r="AX36" s="141">
        <f>($F36*AU36)+AV36</f>
        <v>0</v>
      </c>
      <c r="AY36" s="138">
        <f>200+100</f>
        <v>300</v>
      </c>
      <c r="AZ36" s="139">
        <f>$E36*AY36</f>
        <v>28569</v>
      </c>
      <c r="BA36" s="140">
        <f>AY36*$F36</f>
        <v>0</v>
      </c>
      <c r="BB36" s="141">
        <f>($F36*AY36)+AZ36</f>
        <v>28569</v>
      </c>
      <c r="BC36" s="142">
        <f t="shared" ref="BC36:BC37" si="135">SUM(G36,K36,O36,S36,W36,AA36,AE36,AI36,AM36,AQ36,AU36,AY36)</f>
        <v>300</v>
      </c>
      <c r="BD36" s="185">
        <f t="shared" si="134"/>
        <v>28569</v>
      </c>
      <c r="BE36" s="139">
        <f>BF36-BD36</f>
        <v>0</v>
      </c>
      <c r="BF36" s="143">
        <f>SUM(J36,N36,R36,V36,Z36,AD36,AH36,AL36,AP36,AT36,AX36,BB36)</f>
        <v>28569</v>
      </c>
      <c r="BG36" s="144"/>
      <c r="BH36" s="106">
        <v>300</v>
      </c>
      <c r="BI36" s="144"/>
      <c r="BJ36" s="144"/>
      <c r="BK36" s="144"/>
      <c r="BM36" s="145">
        <f t="shared" si="126"/>
        <v>28569</v>
      </c>
      <c r="BN36" s="145">
        <f t="shared" si="127"/>
        <v>0</v>
      </c>
      <c r="BO36" s="145">
        <f t="shared" si="128"/>
        <v>28569</v>
      </c>
      <c r="BP36" s="174">
        <f t="shared" si="129"/>
        <v>28569</v>
      </c>
      <c r="BQ36" s="174">
        <f t="shared" si="129"/>
        <v>0</v>
      </c>
      <c r="BR36" s="174">
        <f t="shared" si="130"/>
        <v>28569</v>
      </c>
      <c r="BS36" s="174">
        <f t="shared" si="131"/>
        <v>28569</v>
      </c>
      <c r="BT36" s="174">
        <f t="shared" si="131"/>
        <v>0</v>
      </c>
      <c r="BU36" s="146">
        <f t="shared" si="131"/>
        <v>28569</v>
      </c>
      <c r="BV36" s="174">
        <f t="shared" si="132"/>
        <v>28569</v>
      </c>
      <c r="BW36" s="174">
        <f t="shared" si="132"/>
        <v>0</v>
      </c>
      <c r="BX36" s="146">
        <f t="shared" si="132"/>
        <v>28569</v>
      </c>
    </row>
    <row r="37" spans="3:76" x14ac:dyDescent="0.2">
      <c r="C37" s="147" t="s">
        <v>185</v>
      </c>
      <c r="D37" s="105"/>
      <c r="E37" s="108"/>
      <c r="F37" s="109">
        <v>72</v>
      </c>
      <c r="G37" s="138">
        <v>0</v>
      </c>
      <c r="H37" s="139">
        <f>$E37*G37</f>
        <v>0</v>
      </c>
      <c r="I37" s="140">
        <f>G37*$F37</f>
        <v>0</v>
      </c>
      <c r="J37" s="141">
        <f>($F37*G37)+H37</f>
        <v>0</v>
      </c>
      <c r="K37" s="138">
        <v>170</v>
      </c>
      <c r="L37" s="139">
        <f>$E37*K37</f>
        <v>0</v>
      </c>
      <c r="M37" s="140">
        <f>K37*$F37</f>
        <v>12240</v>
      </c>
      <c r="N37" s="141">
        <f>($F37*K37)+L37</f>
        <v>12240</v>
      </c>
      <c r="O37" s="138">
        <v>120</v>
      </c>
      <c r="P37" s="139">
        <f>$E37*O37</f>
        <v>0</v>
      </c>
      <c r="Q37" s="140">
        <f>O37*$F37</f>
        <v>8640</v>
      </c>
      <c r="R37" s="141">
        <f>($F37*O37)+P37</f>
        <v>8640</v>
      </c>
      <c r="S37" s="138">
        <v>150</v>
      </c>
      <c r="T37" s="139">
        <f>$E37*S37</f>
        <v>0</v>
      </c>
      <c r="U37" s="140">
        <f>S37*$F37</f>
        <v>10800</v>
      </c>
      <c r="V37" s="141">
        <f>($F37*S37)+T37</f>
        <v>10800</v>
      </c>
      <c r="W37" s="138">
        <v>150</v>
      </c>
      <c r="X37" s="139">
        <f>$E37*W37</f>
        <v>0</v>
      </c>
      <c r="Y37" s="140">
        <f>W37*$F37</f>
        <v>10800</v>
      </c>
      <c r="Z37" s="141">
        <f>($F37*W37)+X37</f>
        <v>10800</v>
      </c>
      <c r="AA37" s="138">
        <v>150</v>
      </c>
      <c r="AB37" s="139">
        <f>$E37*AA37</f>
        <v>0</v>
      </c>
      <c r="AC37" s="140">
        <f>AA37*$F37</f>
        <v>10800</v>
      </c>
      <c r="AD37" s="141">
        <f>($F37*AA37)+AB37</f>
        <v>10800</v>
      </c>
      <c r="AE37" s="138">
        <v>150</v>
      </c>
      <c r="AF37" s="139">
        <f>$E37*AE37</f>
        <v>0</v>
      </c>
      <c r="AG37" s="140">
        <f>AE37*$F37</f>
        <v>10800</v>
      </c>
      <c r="AH37" s="141">
        <f>($F37*AE37)+AF37</f>
        <v>10800</v>
      </c>
      <c r="AI37" s="138">
        <v>150</v>
      </c>
      <c r="AJ37" s="139">
        <f>$E37*AI37</f>
        <v>0</v>
      </c>
      <c r="AK37" s="140">
        <f>AI37*$F37</f>
        <v>10800</v>
      </c>
      <c r="AL37" s="141">
        <f>($F37*AI37)+AJ37</f>
        <v>10800</v>
      </c>
      <c r="AM37" s="138">
        <v>150</v>
      </c>
      <c r="AN37" s="139">
        <f>$E37*AM37</f>
        <v>0</v>
      </c>
      <c r="AO37" s="140">
        <f>AM37*$F37</f>
        <v>10800</v>
      </c>
      <c r="AP37" s="141">
        <f>($F37*AM37)+AN37</f>
        <v>10800</v>
      </c>
      <c r="AQ37" s="138">
        <v>150</v>
      </c>
      <c r="AR37" s="139">
        <f>$E37*AQ37</f>
        <v>0</v>
      </c>
      <c r="AS37" s="140">
        <f>AQ37*$F37</f>
        <v>10800</v>
      </c>
      <c r="AT37" s="141">
        <f>($F37*AQ37)+AR37</f>
        <v>10800</v>
      </c>
      <c r="AU37" s="138">
        <v>150</v>
      </c>
      <c r="AV37" s="139">
        <f>$E37*AU37</f>
        <v>0</v>
      </c>
      <c r="AW37" s="140">
        <f>AU37*$F37</f>
        <v>10800</v>
      </c>
      <c r="AX37" s="141">
        <f>($F37*AU37)+AV37</f>
        <v>10800</v>
      </c>
      <c r="AY37" s="138">
        <v>150</v>
      </c>
      <c r="AZ37" s="139">
        <f>$E37*AY37</f>
        <v>0</v>
      </c>
      <c r="BA37" s="140">
        <f>AY37*$F37</f>
        <v>10800</v>
      </c>
      <c r="BB37" s="141">
        <f>($F37*AY37)+AZ37</f>
        <v>10800</v>
      </c>
      <c r="BC37" s="142">
        <f t="shared" si="135"/>
        <v>1640</v>
      </c>
      <c r="BD37" s="185">
        <f t="shared" si="134"/>
        <v>0</v>
      </c>
      <c r="BE37" s="139">
        <f>BF37-BD37</f>
        <v>118080</v>
      </c>
      <c r="BF37" s="143">
        <f>SUM(J37,N37,R37,V37,Z37,AD37,AH37,AL37,AP37,AT37,AX37,BB37)</f>
        <v>118080</v>
      </c>
      <c r="BG37" s="144"/>
      <c r="BH37" s="106">
        <v>1640</v>
      </c>
      <c r="BI37" s="144"/>
      <c r="BJ37" s="144"/>
      <c r="BK37" s="144"/>
      <c r="BM37" s="145">
        <f t="shared" si="126"/>
        <v>0</v>
      </c>
      <c r="BN37" s="145">
        <f t="shared" si="127"/>
        <v>118080</v>
      </c>
      <c r="BO37" s="145">
        <f t="shared" si="128"/>
        <v>118080</v>
      </c>
      <c r="BP37" s="174">
        <f t="shared" si="129"/>
        <v>0</v>
      </c>
      <c r="BQ37" s="174">
        <f t="shared" si="129"/>
        <v>118080</v>
      </c>
      <c r="BR37" s="174">
        <f t="shared" si="130"/>
        <v>118080</v>
      </c>
      <c r="BS37" s="174">
        <f t="shared" si="131"/>
        <v>0</v>
      </c>
      <c r="BT37" s="174">
        <f t="shared" si="131"/>
        <v>118080</v>
      </c>
      <c r="BU37" s="146">
        <f t="shared" si="131"/>
        <v>118080</v>
      </c>
      <c r="BV37" s="174">
        <f t="shared" si="132"/>
        <v>0</v>
      </c>
      <c r="BW37" s="174">
        <f t="shared" si="132"/>
        <v>118080</v>
      </c>
      <c r="BX37" s="146">
        <f t="shared" si="132"/>
        <v>118080</v>
      </c>
    </row>
    <row r="38" spans="3:76" x14ac:dyDescent="0.2">
      <c r="C38" s="147" t="s">
        <v>186</v>
      </c>
      <c r="D38" s="105" t="s">
        <v>182</v>
      </c>
      <c r="E38" s="108"/>
      <c r="F38" s="109">
        <v>0</v>
      </c>
      <c r="G38" s="138"/>
      <c r="H38" s="139">
        <v>0</v>
      </c>
      <c r="I38" s="140"/>
      <c r="J38" s="141">
        <f>($F38*G38)+H38</f>
        <v>0</v>
      </c>
      <c r="K38" s="138"/>
      <c r="L38" s="139">
        <v>0</v>
      </c>
      <c r="M38" s="140"/>
      <c r="N38" s="141">
        <f>($F38*K38)+L38</f>
        <v>0</v>
      </c>
      <c r="O38" s="138"/>
      <c r="P38" s="139">
        <v>0</v>
      </c>
      <c r="Q38" s="140"/>
      <c r="R38" s="141">
        <f>($F38*O38)+P38</f>
        <v>0</v>
      </c>
      <c r="S38" s="138"/>
      <c r="T38" s="139">
        <v>0</v>
      </c>
      <c r="U38" s="140"/>
      <c r="V38" s="141">
        <f>($F38*S38)+T38</f>
        <v>0</v>
      </c>
      <c r="W38" s="138"/>
      <c r="X38" s="139">
        <v>0</v>
      </c>
      <c r="Y38" s="140"/>
      <c r="Z38" s="141">
        <f>($F38*W38)+X38</f>
        <v>0</v>
      </c>
      <c r="AA38" s="138"/>
      <c r="AB38" s="139">
        <v>0</v>
      </c>
      <c r="AC38" s="140"/>
      <c r="AD38" s="141">
        <f>($F38*AA38)+AB38</f>
        <v>0</v>
      </c>
      <c r="AE38" s="138"/>
      <c r="AF38" s="139">
        <v>0</v>
      </c>
      <c r="AG38" s="140"/>
      <c r="AH38" s="141">
        <f>($F38*AE38)+AF38</f>
        <v>0</v>
      </c>
      <c r="AI38" s="138"/>
      <c r="AJ38" s="139">
        <v>0</v>
      </c>
      <c r="AK38" s="140"/>
      <c r="AL38" s="141">
        <f>($F38*AI38)+AJ38</f>
        <v>0</v>
      </c>
      <c r="AM38" s="138"/>
      <c r="AN38" s="139">
        <v>0</v>
      </c>
      <c r="AO38" s="140"/>
      <c r="AP38" s="141">
        <f>($F38*AM38)+AN38</f>
        <v>0</v>
      </c>
      <c r="AQ38" s="138"/>
      <c r="AR38" s="139">
        <v>0</v>
      </c>
      <c r="AS38" s="140"/>
      <c r="AT38" s="141">
        <f>($F38*AQ38)+AR38</f>
        <v>0</v>
      </c>
      <c r="AU38" s="138"/>
      <c r="AV38" s="139">
        <v>0</v>
      </c>
      <c r="AW38" s="140"/>
      <c r="AX38" s="141">
        <f>($F38*AU38)+AV38</f>
        <v>0</v>
      </c>
      <c r="AY38" s="138"/>
      <c r="AZ38" s="139">
        <v>50000</v>
      </c>
      <c r="BA38" s="140"/>
      <c r="BB38" s="141">
        <f>($F38*AY38)+AZ38</f>
        <v>50000</v>
      </c>
      <c r="BC38" s="142"/>
      <c r="BD38" s="185">
        <f t="shared" si="134"/>
        <v>50000</v>
      </c>
      <c r="BE38" s="139">
        <f>BF38-BD38</f>
        <v>0</v>
      </c>
      <c r="BF38" s="143">
        <f>SUM(J38,N38,R38,V38,Z38,AD38,AH38,AL38,AP38,AT38,AX38,BB38)</f>
        <v>50000</v>
      </c>
      <c r="BG38" s="144"/>
      <c r="BH38" s="144"/>
      <c r="BI38" s="144"/>
      <c r="BJ38" s="144"/>
      <c r="BK38" s="144"/>
      <c r="BM38" s="145">
        <f t="shared" si="126"/>
        <v>50000</v>
      </c>
      <c r="BN38" s="145">
        <f t="shared" si="127"/>
        <v>0</v>
      </c>
      <c r="BO38" s="145">
        <f t="shared" si="128"/>
        <v>50000</v>
      </c>
      <c r="BP38" s="174">
        <f t="shared" si="129"/>
        <v>50000</v>
      </c>
      <c r="BQ38" s="146"/>
      <c r="BR38" s="174">
        <f t="shared" si="130"/>
        <v>50000</v>
      </c>
      <c r="BS38" s="174">
        <f t="shared" si="131"/>
        <v>50000</v>
      </c>
      <c r="BT38" s="146"/>
      <c r="BU38" s="146">
        <f t="shared" si="131"/>
        <v>50000</v>
      </c>
      <c r="BV38" s="174">
        <f t="shared" si="132"/>
        <v>50000</v>
      </c>
      <c r="BW38" s="146"/>
      <c r="BX38" s="146">
        <f t="shared" si="132"/>
        <v>50000</v>
      </c>
    </row>
    <row r="39" spans="3:76" ht="13.5" thickBot="1" x14ac:dyDescent="0.25">
      <c r="C39" s="147" t="s">
        <v>187</v>
      </c>
      <c r="D39" s="105"/>
      <c r="E39" s="108"/>
      <c r="F39" s="109"/>
      <c r="G39" s="138"/>
      <c r="H39" s="186" t="s">
        <v>188</v>
      </c>
      <c r="I39" s="119" t="str">
        <f>H39</f>
        <v>F</v>
      </c>
      <c r="J39" s="187" t="str">
        <f>I39</f>
        <v>F</v>
      </c>
      <c r="K39" s="188"/>
      <c r="L39" s="186" t="s">
        <v>188</v>
      </c>
      <c r="M39" s="119" t="str">
        <f>L39</f>
        <v>F</v>
      </c>
      <c r="N39" s="187" t="str">
        <f>M39</f>
        <v>F</v>
      </c>
      <c r="O39" s="188"/>
      <c r="P39" s="186" t="s">
        <v>188</v>
      </c>
      <c r="Q39" s="119" t="str">
        <f>P39</f>
        <v>F</v>
      </c>
      <c r="R39" s="187" t="str">
        <f>Q39</f>
        <v>F</v>
      </c>
      <c r="S39" s="188"/>
      <c r="T39" s="186" t="s">
        <v>188</v>
      </c>
      <c r="U39" s="119" t="str">
        <f>T39</f>
        <v>F</v>
      </c>
      <c r="V39" s="187" t="str">
        <f>U39</f>
        <v>F</v>
      </c>
      <c r="W39" s="188"/>
      <c r="X39" s="186" t="s">
        <v>188</v>
      </c>
      <c r="Y39" s="119" t="str">
        <f>X39</f>
        <v>F</v>
      </c>
      <c r="Z39" s="187" t="str">
        <f>Y39</f>
        <v>F</v>
      </c>
      <c r="AA39" s="188"/>
      <c r="AB39" s="186" t="s">
        <v>188</v>
      </c>
      <c r="AC39" s="119" t="str">
        <f>AB39</f>
        <v>F</v>
      </c>
      <c r="AD39" s="187" t="str">
        <f>AC39</f>
        <v>F</v>
      </c>
      <c r="AE39" s="188"/>
      <c r="AF39" s="186" t="s">
        <v>188</v>
      </c>
      <c r="AG39" s="119" t="str">
        <f>AF39</f>
        <v>F</v>
      </c>
      <c r="AH39" s="187" t="str">
        <f>AG39</f>
        <v>F</v>
      </c>
      <c r="AI39" s="188"/>
      <c r="AJ39" s="186" t="s">
        <v>188</v>
      </c>
      <c r="AK39" s="119" t="str">
        <f>AJ39</f>
        <v>F</v>
      </c>
      <c r="AL39" s="187" t="str">
        <f>AK39</f>
        <v>F</v>
      </c>
      <c r="AM39" s="188"/>
      <c r="AN39" s="186" t="s">
        <v>188</v>
      </c>
      <c r="AO39" s="119" t="str">
        <f>AN39</f>
        <v>F</v>
      </c>
      <c r="AP39" s="187" t="str">
        <f>AO39</f>
        <v>F</v>
      </c>
      <c r="AQ39" s="188"/>
      <c r="AR39" s="186" t="s">
        <v>188</v>
      </c>
      <c r="AS39" s="119" t="str">
        <f>AR39</f>
        <v>F</v>
      </c>
      <c r="AT39" s="187" t="str">
        <f>AS39</f>
        <v>F</v>
      </c>
      <c r="AU39" s="188"/>
      <c r="AV39" s="186" t="s">
        <v>188</v>
      </c>
      <c r="AW39" s="119" t="str">
        <f>AV39</f>
        <v>F</v>
      </c>
      <c r="AX39" s="187" t="str">
        <f>AW39</f>
        <v>F</v>
      </c>
      <c r="AY39" s="188"/>
      <c r="AZ39" s="186" t="s">
        <v>188</v>
      </c>
      <c r="BA39" s="119" t="str">
        <f>AZ39</f>
        <v>F</v>
      </c>
      <c r="BB39" s="187" t="str">
        <f>BA39</f>
        <v>F</v>
      </c>
      <c r="BC39" s="184"/>
      <c r="BD39" s="185"/>
      <c r="BE39" s="139"/>
      <c r="BF39" s="141"/>
      <c r="BG39" s="146"/>
      <c r="BH39" s="146"/>
      <c r="BI39" s="146"/>
      <c r="BJ39" s="146"/>
      <c r="BK39" s="146"/>
    </row>
    <row r="40" spans="3:76" ht="13.5" thickTop="1" x14ac:dyDescent="0.2">
      <c r="C40" s="189" t="s">
        <v>112</v>
      </c>
      <c r="D40" s="190"/>
      <c r="E40" s="191"/>
      <c r="F40" s="192"/>
      <c r="G40" s="193"/>
      <c r="H40" s="194">
        <f>SUM(H32,H30,H15,SUM(H34:H38))</f>
        <v>209206.88</v>
      </c>
      <c r="I40" s="194">
        <f>SUM(I32,I30,I15,SUM(I34:I38))</f>
        <v>629832</v>
      </c>
      <c r="J40" s="194">
        <f>SUM(J32,J30,J15,SUM(J34:J38))</f>
        <v>839038.88</v>
      </c>
      <c r="K40" s="195"/>
      <c r="L40" s="194">
        <f>SUM(L32,L30,L15,SUM(L34:L38))</f>
        <v>119889.70000000001</v>
      </c>
      <c r="M40" s="194">
        <f>SUM(M32,M30,M15,SUM(M34:M38))</f>
        <v>253368</v>
      </c>
      <c r="N40" s="194">
        <f>SUM(N32,N30,N15,SUM(N34:N38))</f>
        <v>373257.7</v>
      </c>
      <c r="O40" s="195"/>
      <c r="P40" s="194">
        <f>SUM(P32,P30,P15,SUM(P34:P38))</f>
        <v>359355.70000000007</v>
      </c>
      <c r="Q40" s="194">
        <f>SUM(Q32,Q30,Q15,SUM(Q34:Q38))</f>
        <v>1149589</v>
      </c>
      <c r="R40" s="194">
        <f>SUM(R32,R30,R15,SUM(R34:R38))</f>
        <v>1508944.7000000002</v>
      </c>
      <c r="S40" s="195"/>
      <c r="T40" s="194">
        <f>SUM(T32,T30,T15,SUM(T34:T38))</f>
        <v>925617.89000000025</v>
      </c>
      <c r="U40" s="194">
        <f>SUM(U32,U30,U15,SUM(U34:U38))</f>
        <v>1703355</v>
      </c>
      <c r="V40" s="194">
        <f>SUM(V32,V30,V15,SUM(V34:V38))</f>
        <v>2628972.8900000006</v>
      </c>
      <c r="W40" s="195"/>
      <c r="X40" s="194">
        <f>SUM(X32,X30,X15,SUM(X34:X38))</f>
        <v>75402.31</v>
      </c>
      <c r="Y40" s="194">
        <f>SUM(Y32,Y30,Y15,SUM(Y34:Y38))</f>
        <v>138386</v>
      </c>
      <c r="Z40" s="194">
        <f>SUM(Z32,Z30,Z15,SUM(Z34:Z38))</f>
        <v>213788.31</v>
      </c>
      <c r="AA40" s="195"/>
      <c r="AB40" s="194">
        <f>SUM(AB32,AB30,AB15,SUM(AB34:AB38))</f>
        <v>179991.6</v>
      </c>
      <c r="AC40" s="194">
        <f>SUM(AC32,AC30,AC15,SUM(AC34:AC38))</f>
        <v>551852</v>
      </c>
      <c r="AD40" s="194">
        <f>SUM(AD32,AD30,AD15,SUM(AD34:AD38))</f>
        <v>731843.6</v>
      </c>
      <c r="AE40" s="195"/>
      <c r="AF40" s="194">
        <f>SUM(AF32,AF30,AF15,SUM(AF34:AF38))</f>
        <v>876586.21000000008</v>
      </c>
      <c r="AG40" s="194">
        <f>SUM(AG32,AG30,AG15,SUM(AG34:AG38))</f>
        <v>1074953</v>
      </c>
      <c r="AH40" s="194">
        <f>SUM(AH32,AH30,AH15,SUM(AH34:AH38))</f>
        <v>1951539.21</v>
      </c>
      <c r="AI40" s="195"/>
      <c r="AJ40" s="194">
        <f>SUM(AJ32,AJ30,AJ15,SUM(AJ34:AJ38))</f>
        <v>87954.48000000001</v>
      </c>
      <c r="AK40" s="194">
        <f>SUM(AK32,AK30,AK15,SUM(AK34:AK38))</f>
        <v>157782</v>
      </c>
      <c r="AL40" s="194">
        <f>SUM(AL32,AL30,AL15,SUM(AL34:AL38))</f>
        <v>245736.48</v>
      </c>
      <c r="AM40" s="195"/>
      <c r="AN40" s="194">
        <f>SUM(AN32,AN30,AN15,SUM(AN34:AN38))</f>
        <v>533368.7300000001</v>
      </c>
      <c r="AO40" s="194">
        <f>SUM(AO32,AO30,AO15,SUM(AO34:AO38))</f>
        <v>928488</v>
      </c>
      <c r="AP40" s="194">
        <f>SUM(AP32,AP30,AP15,SUM(AP34:AP38))</f>
        <v>1461856.73</v>
      </c>
      <c r="AQ40" s="195"/>
      <c r="AR40" s="194">
        <f>SUM(AR32,AR30,AR15,SUM(AR34:AR38))</f>
        <v>60349.55</v>
      </c>
      <c r="AS40" s="194">
        <f>SUM(AS32,AS30,AS15,SUM(AS34:AS38))</f>
        <v>100396</v>
      </c>
      <c r="AT40" s="194">
        <f>SUM(AT32,AT30,AT15,SUM(AT34:AT38))</f>
        <v>160745.54999999999</v>
      </c>
      <c r="AU40" s="195"/>
      <c r="AV40" s="194">
        <f>SUM(AV32,AV30,AV15,SUM(AV34:AV38))</f>
        <v>2111507.8994000005</v>
      </c>
      <c r="AW40" s="194">
        <f>SUM(AW32,AW30,AW15,SUM(AW34:AW38))</f>
        <v>4070213</v>
      </c>
      <c r="AX40" s="194">
        <f>SUM(AX32,AX30,AX15,SUM(AX34:AX38))</f>
        <v>6181720.8994000005</v>
      </c>
      <c r="AY40" s="195"/>
      <c r="AZ40" s="194">
        <f>SUM(AZ32,AZ30,AZ15,SUM(AZ34:AZ38))</f>
        <v>313902.7</v>
      </c>
      <c r="BA40" s="194">
        <f>SUM(BA32,BA30,BA15,SUM(BA34:BA38))</f>
        <v>133842</v>
      </c>
      <c r="BB40" s="194">
        <f>SUM(BB32,BB30,BB15,SUM(BB34:BB38))</f>
        <v>447744.7</v>
      </c>
      <c r="BC40" s="193"/>
      <c r="BD40" s="196">
        <f>SUM(BD32,BD30,BD15,SUM(BD34:BD38))</f>
        <v>5853133.6494000005</v>
      </c>
      <c r="BE40" s="197">
        <f>SUM(BE32,BE30,BE15,SUM(BE34:BE38))</f>
        <v>10892056</v>
      </c>
      <c r="BF40" s="198">
        <f>SUM(BF15,BF30,BF32,SUM(BF34:BF38))</f>
        <v>16745189.649400001</v>
      </c>
      <c r="BG40" s="144"/>
      <c r="BH40" s="144"/>
      <c r="BI40" s="144"/>
      <c r="BJ40" s="144"/>
      <c r="BK40" s="144"/>
      <c r="BM40" s="199">
        <f>+BM15+BM30+SUM(BM32:BM38)</f>
        <v>6276912.0500000007</v>
      </c>
      <c r="BN40" s="199">
        <f>+BN15+BN30+SUM(BN32:BN38)</f>
        <v>11336942</v>
      </c>
      <c r="BO40" s="198">
        <f>+BO15+BO30+SUM(BO32:BO38)</f>
        <v>17613854.050000001</v>
      </c>
      <c r="BP40" s="199">
        <f t="shared" ref="BP40:BX40" si="136">+BP15+BP30+SUM(BP32:BP38)</f>
        <v>6479786.1900000004</v>
      </c>
      <c r="BQ40" s="199">
        <f t="shared" si="136"/>
        <v>10955342</v>
      </c>
      <c r="BR40" s="198">
        <f t="shared" si="136"/>
        <v>17435128.190000001</v>
      </c>
      <c r="BS40" s="199">
        <f t="shared" si="136"/>
        <v>8205706.8899999997</v>
      </c>
      <c r="BT40" s="199">
        <f t="shared" si="136"/>
        <v>11022242</v>
      </c>
      <c r="BU40" s="198">
        <f t="shared" si="136"/>
        <v>19227948.890000001</v>
      </c>
      <c r="BV40" s="199">
        <f t="shared" si="136"/>
        <v>9287177.2899999991</v>
      </c>
      <c r="BW40" s="199">
        <f t="shared" si="136"/>
        <v>10847842</v>
      </c>
      <c r="BX40" s="198">
        <f t="shared" si="136"/>
        <v>20135019.290000003</v>
      </c>
    </row>
    <row r="41" spans="3:76" x14ac:dyDescent="0.2">
      <c r="C41" s="319" t="s">
        <v>189</v>
      </c>
      <c r="D41" s="319"/>
      <c r="E41" s="319"/>
      <c r="F41" s="319"/>
      <c r="G41" s="319"/>
      <c r="H41" s="319"/>
      <c r="I41" s="319"/>
      <c r="J41" s="319"/>
      <c r="K41" s="319"/>
      <c r="L41" s="319"/>
      <c r="M41" s="319"/>
      <c r="N41" s="319"/>
      <c r="W41" s="112" t="s">
        <v>190</v>
      </c>
      <c r="BD41" s="146"/>
      <c r="BE41" s="146"/>
      <c r="BF41" s="146"/>
      <c r="BG41" s="146"/>
      <c r="BH41" s="146"/>
      <c r="BI41" s="146"/>
      <c r="BJ41" s="146"/>
      <c r="BK41" s="146"/>
    </row>
    <row r="42" spans="3:76" x14ac:dyDescent="0.2">
      <c r="G42" s="110"/>
      <c r="BC42" s="112" t="s">
        <v>191</v>
      </c>
      <c r="BD42" s="112">
        <f>BD40*0.24</f>
        <v>1404752.075856</v>
      </c>
      <c r="BF42" s="146">
        <f>BF40+BD42</f>
        <v>18149941.725256</v>
      </c>
      <c r="BG42" s="146"/>
      <c r="BH42" s="146">
        <f>BH10/4</f>
        <v>1350</v>
      </c>
      <c r="BI42" s="146"/>
      <c r="BJ42" s="146"/>
      <c r="BK42" s="146"/>
      <c r="BM42" s="146"/>
      <c r="BN42" s="146"/>
      <c r="BO42" s="146"/>
      <c r="BP42" s="146"/>
      <c r="BQ42" s="146"/>
      <c r="BR42" s="146"/>
      <c r="BS42" s="146"/>
      <c r="BT42" s="146"/>
      <c r="BV42" s="146"/>
      <c r="BW42" s="146"/>
    </row>
    <row r="43" spans="3:76" x14ac:dyDescent="0.2">
      <c r="BL43" s="110" t="s">
        <v>192</v>
      </c>
      <c r="BM43" s="146">
        <f>BM40*0.24</f>
        <v>1506458.8920000002</v>
      </c>
      <c r="BN43" s="146"/>
      <c r="BO43" s="146">
        <f>+BM43</f>
        <v>1506458.8920000002</v>
      </c>
      <c r="BP43" s="146">
        <f>BP40*0.24</f>
        <v>1555148.6856</v>
      </c>
      <c r="BQ43" s="146"/>
      <c r="BR43" s="146">
        <f>+BP43</f>
        <v>1555148.6856</v>
      </c>
      <c r="BS43" s="146">
        <f>BS40*0.24</f>
        <v>1969369.6535999998</v>
      </c>
      <c r="BT43" s="146"/>
      <c r="BU43" s="146">
        <f>BS43</f>
        <v>1969369.6535999998</v>
      </c>
      <c r="BV43" s="146">
        <f>BV40*0.24</f>
        <v>2228922.5495999996</v>
      </c>
      <c r="BW43" s="146"/>
      <c r="BX43" s="146">
        <f>BV43</f>
        <v>2228922.5495999996</v>
      </c>
    </row>
    <row r="44" spans="3:76" ht="13.5" thickBot="1" x14ac:dyDescent="0.25">
      <c r="BM44" s="144"/>
      <c r="BN44" s="144"/>
      <c r="BO44" s="200">
        <f>SUM(BO40:BO43)</f>
        <v>19120312.942000002</v>
      </c>
      <c r="BP44" s="144"/>
      <c r="BQ44" s="144"/>
      <c r="BR44" s="144">
        <f>SUM(BR40:BR43)</f>
        <v>18990276.875600003</v>
      </c>
      <c r="BS44" s="144"/>
      <c r="BT44" s="144"/>
      <c r="BU44" s="144">
        <f t="shared" ref="BU44" si="137">BU40+BU43</f>
        <v>21197318.5436</v>
      </c>
      <c r="BV44" s="144"/>
      <c r="BW44" s="144"/>
      <c r="BX44" s="144">
        <f t="shared" ref="BX44" si="138">BX40+BX43</f>
        <v>22363941.839600004</v>
      </c>
    </row>
    <row r="45" spans="3:76" ht="13.5" thickTop="1" x14ac:dyDescent="0.2"/>
    <row r="46" spans="3:76" x14ac:dyDescent="0.2">
      <c r="BB46" s="112"/>
      <c r="BM46" s="110" t="s">
        <v>193</v>
      </c>
      <c r="BN46" s="145">
        <v>2035000</v>
      </c>
    </row>
    <row r="47" spans="3:76" x14ac:dyDescent="0.2">
      <c r="BN47" s="201">
        <f>+BN40+BN46</f>
        <v>13371942</v>
      </c>
    </row>
    <row r="51" spans="66:66" x14ac:dyDescent="0.2">
      <c r="BN51" s="110">
        <f>17372476-13022804</f>
        <v>4349672</v>
      </c>
    </row>
  </sheetData>
  <mergeCells count="19">
    <mergeCell ref="G1:R1"/>
    <mergeCell ref="S1:AD1"/>
    <mergeCell ref="AE1:AP1"/>
    <mergeCell ref="AQ1:BB1"/>
    <mergeCell ref="G2:J2"/>
    <mergeCell ref="K2:N2"/>
    <mergeCell ref="O2:R2"/>
    <mergeCell ref="S2:V2"/>
    <mergeCell ref="W2:Z2"/>
    <mergeCell ref="AA2:AD2"/>
    <mergeCell ref="BC2:BF2"/>
    <mergeCell ref="A4:C4"/>
    <mergeCell ref="C41:N41"/>
    <mergeCell ref="AE2:AH2"/>
    <mergeCell ref="AI2:AL2"/>
    <mergeCell ref="AM2:AP2"/>
    <mergeCell ref="AQ2:AT2"/>
    <mergeCell ref="AU2:AX2"/>
    <mergeCell ref="AY2:BB2"/>
  </mergeCells>
  <pageMargins left="0.7" right="0.7" top="1.4270833333333299" bottom="0.75" header="0.3" footer="0.3"/>
  <pageSetup orientation="portrait" horizontalDpi="1200" verticalDpi="1200" r:id="rId1"/>
  <headerFooter>
    <oddHeader>&amp;CMIDAMERICAN ENERGY COMPANY
2026 SOUTH DAKOTA GAS RATE CASE
Docket No. NG26-___
Statement O-Workpapers Support
FOR THE YEAR ENDING DECEMBER 31, 2025&amp;RStratton Direct Exhibit 1.2, WP1
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26C24-A802-4A78-A1D7-82A726782D0F}">
  <dimension ref="A1:BD54"/>
  <sheetViews>
    <sheetView view="pageLayout" zoomScaleNormal="77" workbookViewId="0">
      <selection activeCell="A19" sqref="A19"/>
    </sheetView>
  </sheetViews>
  <sheetFormatPr defaultRowHeight="15" x14ac:dyDescent="0.25"/>
  <cols>
    <col min="1" max="1" width="8.85546875" style="7" bestFit="1" customWidth="1"/>
    <col min="2" max="2" width="11.5703125" style="7" customWidth="1"/>
    <col min="3" max="3" width="12.7109375" style="7" customWidth="1"/>
    <col min="4" max="4" width="9.85546875" style="7" bestFit="1" customWidth="1"/>
    <col min="5" max="5" width="10.5703125" style="203" customWidth="1"/>
    <col min="6" max="6" width="12.5703125" style="7" customWidth="1"/>
    <col min="7" max="8" width="11.140625" style="7" customWidth="1"/>
    <col min="9" max="9" width="7" style="203" bestFit="1" customWidth="1"/>
    <col min="10" max="10" width="10.85546875" style="7" customWidth="1"/>
    <col min="11" max="11" width="10.28515625" style="7" customWidth="1"/>
    <col min="12" max="12" width="10.5703125" style="7" customWidth="1"/>
    <col min="13" max="13" width="7" style="203" bestFit="1" customWidth="1"/>
    <col min="14" max="14" width="10" style="7" bestFit="1" customWidth="1"/>
    <col min="15" max="15" width="14" style="7" customWidth="1"/>
    <col min="16" max="16" width="10" style="7" bestFit="1" customWidth="1"/>
    <col min="17" max="17" width="7" style="203" bestFit="1" customWidth="1"/>
    <col min="18" max="18" width="10.7109375" style="7" customWidth="1"/>
    <col min="19" max="19" width="10" style="7" bestFit="1" customWidth="1"/>
    <col min="20" max="20" width="11.140625" style="7" customWidth="1"/>
    <col min="21" max="21" width="7" style="203" bestFit="1" customWidth="1"/>
    <col min="22" max="22" width="11.140625" style="7" customWidth="1"/>
    <col min="23" max="23" width="11.42578125" style="7" customWidth="1"/>
    <col min="24" max="24" width="12.42578125" style="7" customWidth="1"/>
    <col min="25" max="25" width="11.7109375" style="7" customWidth="1"/>
    <col min="26" max="26" width="10.5703125" style="7" customWidth="1"/>
    <col min="27" max="27" width="10.28515625" style="7" customWidth="1"/>
    <col min="28" max="28" width="11.28515625" style="7" customWidth="1"/>
    <col min="29" max="29" width="7" style="203" bestFit="1" customWidth="1"/>
    <col min="30" max="30" width="11.5703125" style="7" bestFit="1" customWidth="1"/>
    <col min="31" max="31" width="12.140625" style="7" customWidth="1"/>
    <col min="32" max="32" width="10.85546875" style="7" bestFit="1" customWidth="1"/>
    <col min="33" max="33" width="7" style="203" bestFit="1" customWidth="1"/>
    <col min="34" max="34" width="10" style="7" bestFit="1" customWidth="1"/>
    <col min="35" max="35" width="11" style="7" customWidth="1"/>
    <col min="36" max="36" width="10.85546875" style="7" bestFit="1" customWidth="1"/>
    <col min="37" max="37" width="7" style="203" bestFit="1" customWidth="1"/>
    <col min="38" max="38" width="10" style="7" bestFit="1" customWidth="1"/>
    <col min="39" max="40" width="10.85546875" style="7" bestFit="1" customWidth="1"/>
    <col min="41" max="41" width="7" style="203" bestFit="1" customWidth="1"/>
    <col min="42" max="42" width="10" style="7" bestFit="1" customWidth="1"/>
    <col min="43" max="44" width="10.85546875" style="7" bestFit="1" customWidth="1"/>
    <col min="45" max="45" width="7" style="203" bestFit="1" customWidth="1"/>
    <col min="46" max="46" width="10" style="7" bestFit="1" customWidth="1"/>
    <col min="47" max="48" width="10.85546875" style="7" bestFit="1" customWidth="1"/>
    <col min="49" max="49" width="7" style="203" bestFit="1" customWidth="1"/>
    <col min="50" max="50" width="10" style="7" bestFit="1" customWidth="1"/>
    <col min="51" max="51" width="10.85546875" style="7" bestFit="1" customWidth="1"/>
    <col min="52" max="52" width="12.140625" style="7" customWidth="1"/>
    <col min="53" max="53" width="12.28515625" style="202" customWidth="1"/>
    <col min="54" max="54" width="13.28515625" style="203" customWidth="1"/>
    <col min="55" max="55" width="11.5703125" style="203" customWidth="1"/>
    <col min="56" max="56" width="12.42578125" style="7" customWidth="1"/>
    <col min="57" max="16384" width="9.140625" style="7"/>
  </cols>
  <sheetData>
    <row r="1" spans="1:56" ht="26.25" x14ac:dyDescent="0.4">
      <c r="A1" s="334" t="s">
        <v>203</v>
      </c>
      <c r="B1" s="334"/>
      <c r="C1" s="334"/>
      <c r="D1" s="334"/>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row>
    <row r="2" spans="1:56" x14ac:dyDescent="0.25">
      <c r="A2" s="204"/>
      <c r="B2" s="205">
        <v>2026</v>
      </c>
      <c r="C2" s="206">
        <v>2026</v>
      </c>
      <c r="D2" s="207">
        <v>2026</v>
      </c>
      <c r="E2" s="323" t="s">
        <v>90</v>
      </c>
      <c r="F2" s="324"/>
      <c r="G2" s="325"/>
      <c r="H2" s="208">
        <v>1</v>
      </c>
      <c r="I2" s="323" t="s">
        <v>91</v>
      </c>
      <c r="J2" s="324"/>
      <c r="K2" s="325"/>
      <c r="L2" s="208">
        <f>H2+1</f>
        <v>2</v>
      </c>
      <c r="M2" s="323" t="s">
        <v>92</v>
      </c>
      <c r="N2" s="324"/>
      <c r="O2" s="325"/>
      <c r="P2" s="208">
        <f>L2+1</f>
        <v>3</v>
      </c>
      <c r="Q2" s="323" t="s">
        <v>93</v>
      </c>
      <c r="R2" s="324"/>
      <c r="S2" s="325"/>
      <c r="T2" s="208">
        <f>P2+1</f>
        <v>4</v>
      </c>
      <c r="U2" s="323" t="s">
        <v>94</v>
      </c>
      <c r="V2" s="324"/>
      <c r="W2" s="325"/>
      <c r="X2" s="208">
        <f>T2+1</f>
        <v>5</v>
      </c>
      <c r="Y2" s="323" t="s">
        <v>95</v>
      </c>
      <c r="Z2" s="324"/>
      <c r="AA2" s="325"/>
      <c r="AB2" s="208">
        <f>X2+1</f>
        <v>6</v>
      </c>
      <c r="AC2" s="323" t="s">
        <v>96</v>
      </c>
      <c r="AD2" s="324"/>
      <c r="AE2" s="325"/>
      <c r="AF2" s="208">
        <f>AB2+1</f>
        <v>7</v>
      </c>
      <c r="AG2" s="323" t="s">
        <v>97</v>
      </c>
      <c r="AH2" s="324"/>
      <c r="AI2" s="325"/>
      <c r="AJ2" s="208">
        <f>AF2+1</f>
        <v>8</v>
      </c>
      <c r="AK2" s="323" t="s">
        <v>98</v>
      </c>
      <c r="AL2" s="324"/>
      <c r="AM2" s="325"/>
      <c r="AN2" s="208">
        <f>AJ2+1</f>
        <v>9</v>
      </c>
      <c r="AO2" s="323" t="s">
        <v>99</v>
      </c>
      <c r="AP2" s="324"/>
      <c r="AQ2" s="325"/>
      <c r="AR2" s="208">
        <f>AN2+1</f>
        <v>10</v>
      </c>
      <c r="AS2" s="323" t="s">
        <v>100</v>
      </c>
      <c r="AT2" s="324"/>
      <c r="AU2" s="325"/>
      <c r="AV2" s="208">
        <f>AR2+1</f>
        <v>11</v>
      </c>
      <c r="AW2" s="323" t="s">
        <v>101</v>
      </c>
      <c r="AX2" s="324"/>
      <c r="AY2" s="325"/>
      <c r="AZ2" s="208">
        <f>AV2+1</f>
        <v>12</v>
      </c>
      <c r="BA2" s="326" t="s">
        <v>102</v>
      </c>
      <c r="BB2" s="324"/>
      <c r="BC2" s="324"/>
      <c r="BD2" s="327"/>
    </row>
    <row r="3" spans="1:56" ht="30" customHeight="1" x14ac:dyDescent="0.25">
      <c r="A3" s="209" t="s">
        <v>204</v>
      </c>
      <c r="B3" s="210" t="s">
        <v>106</v>
      </c>
      <c r="C3" s="211" t="s">
        <v>205</v>
      </c>
      <c r="D3" s="211" t="s">
        <v>108</v>
      </c>
      <c r="E3" s="212" t="s">
        <v>109</v>
      </c>
      <c r="F3" s="213" t="s">
        <v>110</v>
      </c>
      <c r="G3" s="214" t="s">
        <v>111</v>
      </c>
      <c r="H3" s="215" t="s">
        <v>112</v>
      </c>
      <c r="I3" s="212" t="s">
        <v>109</v>
      </c>
      <c r="J3" s="213" t="s">
        <v>110</v>
      </c>
      <c r="K3" s="214" t="s">
        <v>111</v>
      </c>
      <c r="L3" s="215" t="s">
        <v>112</v>
      </c>
      <c r="M3" s="212" t="s">
        <v>109</v>
      </c>
      <c r="N3" s="213" t="s">
        <v>110</v>
      </c>
      <c r="O3" s="214" t="s">
        <v>111</v>
      </c>
      <c r="P3" s="215" t="s">
        <v>112</v>
      </c>
      <c r="Q3" s="212" t="s">
        <v>109</v>
      </c>
      <c r="R3" s="213" t="s">
        <v>110</v>
      </c>
      <c r="S3" s="214" t="s">
        <v>111</v>
      </c>
      <c r="T3" s="215" t="s">
        <v>112</v>
      </c>
      <c r="U3" s="212" t="s">
        <v>109</v>
      </c>
      <c r="V3" s="213" t="s">
        <v>110</v>
      </c>
      <c r="W3" s="214" t="s">
        <v>111</v>
      </c>
      <c r="X3" s="215" t="s">
        <v>112</v>
      </c>
      <c r="Y3" s="209" t="s">
        <v>109</v>
      </c>
      <c r="Z3" s="213" t="s">
        <v>110</v>
      </c>
      <c r="AA3" s="214" t="s">
        <v>111</v>
      </c>
      <c r="AB3" s="215" t="s">
        <v>112</v>
      </c>
      <c r="AC3" s="212" t="s">
        <v>109</v>
      </c>
      <c r="AD3" s="213" t="s">
        <v>110</v>
      </c>
      <c r="AE3" s="214" t="s">
        <v>111</v>
      </c>
      <c r="AF3" s="215" t="s">
        <v>112</v>
      </c>
      <c r="AG3" s="212" t="s">
        <v>109</v>
      </c>
      <c r="AH3" s="213" t="s">
        <v>110</v>
      </c>
      <c r="AI3" s="214" t="s">
        <v>111</v>
      </c>
      <c r="AJ3" s="215" t="s">
        <v>112</v>
      </c>
      <c r="AK3" s="212" t="s">
        <v>109</v>
      </c>
      <c r="AL3" s="213" t="s">
        <v>110</v>
      </c>
      <c r="AM3" s="214" t="s">
        <v>111</v>
      </c>
      <c r="AN3" s="215" t="s">
        <v>112</v>
      </c>
      <c r="AO3" s="212" t="s">
        <v>109</v>
      </c>
      <c r="AP3" s="213" t="s">
        <v>110</v>
      </c>
      <c r="AQ3" s="214" t="s">
        <v>111</v>
      </c>
      <c r="AR3" s="215" t="s">
        <v>112</v>
      </c>
      <c r="AS3" s="212" t="s">
        <v>109</v>
      </c>
      <c r="AT3" s="213" t="s">
        <v>110</v>
      </c>
      <c r="AU3" s="214" t="s">
        <v>111</v>
      </c>
      <c r="AV3" s="215" t="s">
        <v>112</v>
      </c>
      <c r="AW3" s="212" t="s">
        <v>109</v>
      </c>
      <c r="AX3" s="213" t="s">
        <v>110</v>
      </c>
      <c r="AY3" s="214" t="s">
        <v>111</v>
      </c>
      <c r="AZ3" s="215" t="s">
        <v>112</v>
      </c>
      <c r="BA3" s="216" t="s">
        <v>109</v>
      </c>
      <c r="BB3" s="213" t="s">
        <v>110</v>
      </c>
      <c r="BC3" s="214" t="s">
        <v>108</v>
      </c>
      <c r="BD3" s="217" t="s">
        <v>113</v>
      </c>
    </row>
    <row r="4" spans="1:56" x14ac:dyDescent="0.25">
      <c r="A4" s="218" t="s">
        <v>199</v>
      </c>
      <c r="B4" s="218">
        <v>67.36</v>
      </c>
      <c r="C4" s="218">
        <f>B4*1.07</f>
        <v>72.075200000000009</v>
      </c>
      <c r="D4" s="218">
        <v>124</v>
      </c>
      <c r="E4" s="219">
        <f>E17+E27</f>
        <v>1787</v>
      </c>
      <c r="F4" s="220">
        <f>F17+F27</f>
        <v>120234.84000000001</v>
      </c>
      <c r="G4" s="220">
        <f>E4*$D4</f>
        <v>221588</v>
      </c>
      <c r="H4" s="221">
        <f>SUM(F4:G4)</f>
        <v>341822.84</v>
      </c>
      <c r="I4" s="219">
        <f>I17+I27</f>
        <v>381</v>
      </c>
      <c r="J4" s="220">
        <f>J17+J27</f>
        <v>26051.070000000003</v>
      </c>
      <c r="K4" s="220">
        <f>I4*$D4</f>
        <v>47244</v>
      </c>
      <c r="L4" s="221">
        <f>SUM(J4:K4)</f>
        <v>73295.070000000007</v>
      </c>
      <c r="M4" s="219">
        <f>M17+M27</f>
        <v>1424</v>
      </c>
      <c r="N4" s="220">
        <f>N17+N27</f>
        <v>93277.480000000025</v>
      </c>
      <c r="O4" s="220">
        <f>M4*$D4</f>
        <v>176576</v>
      </c>
      <c r="P4" s="221">
        <f>SUM(N4:O4)</f>
        <v>269853.48000000004</v>
      </c>
      <c r="Q4" s="219">
        <f>Q17+Q27</f>
        <v>1207</v>
      </c>
      <c r="R4" s="220">
        <f>R17+R27</f>
        <v>38218.39</v>
      </c>
      <c r="S4" s="220">
        <f>Q4*$D4</f>
        <v>149668</v>
      </c>
      <c r="T4" s="221">
        <f>SUM(R4:S4)</f>
        <v>187886.39</v>
      </c>
      <c r="U4" s="219">
        <f>U17+U27</f>
        <v>724</v>
      </c>
      <c r="V4" s="222">
        <f>V17+V27</f>
        <v>22950.799999999999</v>
      </c>
      <c r="W4" s="220">
        <f>U4*$D4</f>
        <v>89776</v>
      </c>
      <c r="X4" s="221">
        <f>SUM(V4:W4)</f>
        <v>112726.8</v>
      </c>
      <c r="Y4" s="219">
        <f>Y17+Y27</f>
        <v>397</v>
      </c>
      <c r="Z4" s="222">
        <f>Z17+Z27</f>
        <v>13358.66</v>
      </c>
      <c r="AA4" s="220">
        <f>Y4*$D4</f>
        <v>49228</v>
      </c>
      <c r="AB4" s="221">
        <f>SUM(Z4:AA4)</f>
        <v>62586.66</v>
      </c>
      <c r="AC4" s="219">
        <f>AC17+AC27</f>
        <v>236</v>
      </c>
      <c r="AD4" s="222">
        <f>AD17+AD27</f>
        <v>12239.64</v>
      </c>
      <c r="AE4" s="220">
        <f>AC4*$D4</f>
        <v>29264</v>
      </c>
      <c r="AF4" s="221">
        <f>SUM(AD4:AE4)</f>
        <v>41503.64</v>
      </c>
      <c r="AG4" s="219">
        <f>AG17+AG27</f>
        <v>1047</v>
      </c>
      <c r="AH4" s="222">
        <f>AH17+AH27</f>
        <v>103998.51</v>
      </c>
      <c r="AI4" s="220">
        <f>AG4*$D4</f>
        <v>129828</v>
      </c>
      <c r="AJ4" s="221">
        <f>SUM(AH4:AI4)</f>
        <v>233826.51</v>
      </c>
      <c r="AK4" s="219">
        <f>AK17+AK27</f>
        <v>1764</v>
      </c>
      <c r="AL4" s="222">
        <f>AL17+AL27</f>
        <v>175218.12</v>
      </c>
      <c r="AM4" s="220">
        <f>AK4*$D4</f>
        <v>218736</v>
      </c>
      <c r="AN4" s="221">
        <f>SUM(AL4:AM4)</f>
        <v>393954.12</v>
      </c>
      <c r="AO4" s="219">
        <f>AO17+AO27</f>
        <v>585</v>
      </c>
      <c r="AP4" s="222">
        <f>AP17+AP27</f>
        <v>58108.049999999996</v>
      </c>
      <c r="AQ4" s="220">
        <f>AO4*$D4</f>
        <v>72540</v>
      </c>
      <c r="AR4" s="221">
        <f>SUM(AP4:AQ4)</f>
        <v>130648.04999999999</v>
      </c>
      <c r="AS4" s="219">
        <f>AS17+AS27</f>
        <v>2106</v>
      </c>
      <c r="AT4" s="222">
        <f>AT17+AT27</f>
        <v>209188.98</v>
      </c>
      <c r="AU4" s="220">
        <f>AS4*$D4</f>
        <v>261144</v>
      </c>
      <c r="AV4" s="221">
        <f>SUM(AT4:AU4)</f>
        <v>470332.98</v>
      </c>
      <c r="AW4" s="219">
        <f>AW17+AW27</f>
        <v>2420</v>
      </c>
      <c r="AX4" s="222">
        <f>AX17+AX27</f>
        <v>240378.6</v>
      </c>
      <c r="AY4" s="220">
        <f>AW4*$D4</f>
        <v>300080</v>
      </c>
      <c r="AZ4" s="221">
        <f>SUM(AX4:AY4)</f>
        <v>540458.6</v>
      </c>
      <c r="BA4" s="223">
        <f>SUM(E4,I4,M4,Q4,U4,Y4,AC4,AG4,AK4,AO4,AS4,AW4)</f>
        <v>14078</v>
      </c>
      <c r="BB4" s="222">
        <f>SUM(AX4,AT4,AP4,AL4,AH4,AD4,Z4,V4,R4,N4,J4,F4)</f>
        <v>1113223.1400000001</v>
      </c>
      <c r="BC4" s="222">
        <f>SUM(AY4,AU4,AQ4,AM4,AI4,AE4,AA4,W4,S4,O4,K4,G4)</f>
        <v>1745672</v>
      </c>
      <c r="BD4" s="224">
        <f t="shared" ref="BD4:BD6" si="0">SUM(H4,L4,P4,T4,X4,AB4,AF4,AJ4,AN4,AR4,AV4,AZ4)</f>
        <v>2858895.14</v>
      </c>
    </row>
    <row r="5" spans="1:56" x14ac:dyDescent="0.25">
      <c r="A5" s="225" t="s">
        <v>200</v>
      </c>
      <c r="B5" s="225">
        <v>916.86</v>
      </c>
      <c r="C5" s="225">
        <f t="shared" ref="C5:C6" si="1">B5*1.07</f>
        <v>981.04020000000003</v>
      </c>
      <c r="D5" s="225">
        <v>286</v>
      </c>
      <c r="E5" s="226">
        <f t="shared" ref="E5:F6" si="2">E18+E28</f>
        <v>23</v>
      </c>
      <c r="F5" s="227">
        <f t="shared" si="2"/>
        <v>18495</v>
      </c>
      <c r="G5" s="228">
        <f t="shared" ref="G5:G6" si="3">E5*$D5</f>
        <v>6578</v>
      </c>
      <c r="H5" s="229">
        <f t="shared" ref="H5:H6" si="4">SUM(F5:G5)</f>
        <v>25073</v>
      </c>
      <c r="I5" s="226">
        <f t="shared" ref="I5:J6" si="5">I18+I28</f>
        <v>3</v>
      </c>
      <c r="J5" s="227">
        <f t="shared" si="5"/>
        <v>1968</v>
      </c>
      <c r="K5" s="228">
        <f t="shared" ref="K5:K6" si="6">I5*$D5</f>
        <v>858</v>
      </c>
      <c r="L5" s="229">
        <f t="shared" ref="L5:L6" si="7">SUM(J5:K5)</f>
        <v>2826</v>
      </c>
      <c r="M5" s="226">
        <f t="shared" ref="M5:N6" si="8">M18+M28</f>
        <v>36</v>
      </c>
      <c r="N5" s="227">
        <f t="shared" si="8"/>
        <v>24636</v>
      </c>
      <c r="O5" s="228">
        <f t="shared" ref="O5:O6" si="9">M5*$D5</f>
        <v>10296</v>
      </c>
      <c r="P5" s="229">
        <f t="shared" ref="P5:P6" si="10">SUM(N5:O5)</f>
        <v>34932</v>
      </c>
      <c r="Q5" s="226">
        <f t="shared" ref="Q5:R6" si="11">Q18+Q28</f>
        <v>42</v>
      </c>
      <c r="R5" s="227">
        <f t="shared" si="11"/>
        <v>29092</v>
      </c>
      <c r="S5" s="228">
        <f t="shared" ref="S5:S6" si="12">Q5*$D5</f>
        <v>12012</v>
      </c>
      <c r="T5" s="229">
        <f t="shared" ref="T5:T6" si="13">SUM(R5:S5)</f>
        <v>41104</v>
      </c>
      <c r="U5" s="226">
        <f t="shared" ref="U5:V6" si="14">U18+U28</f>
        <v>7</v>
      </c>
      <c r="V5" s="227">
        <f t="shared" si="14"/>
        <v>9110</v>
      </c>
      <c r="W5" s="228">
        <f t="shared" ref="W5:W6" si="15">U5*$D5</f>
        <v>2002</v>
      </c>
      <c r="X5" s="229">
        <f t="shared" ref="X5:X6" si="16">SUM(V5:W5)</f>
        <v>11112</v>
      </c>
      <c r="Y5" s="226">
        <f>Y18+Y28</f>
        <v>25</v>
      </c>
      <c r="Z5" s="227">
        <f t="shared" ref="Z5:Z6" si="17">Z18+Z28</f>
        <v>29300</v>
      </c>
      <c r="AA5" s="228">
        <f t="shared" ref="AA5:AA6" si="18">Y5*$D5</f>
        <v>7150</v>
      </c>
      <c r="AB5" s="229">
        <f t="shared" ref="AB5:AB6" si="19">SUM(Z5:AA5)</f>
        <v>36450</v>
      </c>
      <c r="AC5" s="226">
        <f>AC18+AC28</f>
        <v>47</v>
      </c>
      <c r="AD5" s="227">
        <f t="shared" ref="AD5:AD6" si="20">AD18+AD28</f>
        <v>55084</v>
      </c>
      <c r="AE5" s="228">
        <f t="shared" ref="AE5:AE6" si="21">AC5*$D5</f>
        <v>13442</v>
      </c>
      <c r="AF5" s="229">
        <f t="shared" ref="AF5:AF6" si="22">SUM(AD5:AE5)</f>
        <v>68526</v>
      </c>
      <c r="AG5" s="226">
        <f t="shared" ref="AG5:AH6" si="23">AG18+AG28</f>
        <v>10</v>
      </c>
      <c r="AH5" s="227">
        <f t="shared" si="23"/>
        <v>11720</v>
      </c>
      <c r="AI5" s="228">
        <f t="shared" ref="AI5:AI6" si="24">AG5*$D5</f>
        <v>2860</v>
      </c>
      <c r="AJ5" s="229">
        <f t="shared" ref="AJ5:AJ6" si="25">SUM(AH5:AI5)</f>
        <v>14580</v>
      </c>
      <c r="AK5" s="226">
        <f t="shared" ref="AK5:AL6" si="26">AK18+AK28</f>
        <v>19</v>
      </c>
      <c r="AL5" s="227">
        <f t="shared" si="26"/>
        <v>22268</v>
      </c>
      <c r="AM5" s="228">
        <f t="shared" ref="AM5:AM6" si="27">AK5*$D5</f>
        <v>5434</v>
      </c>
      <c r="AN5" s="229">
        <f t="shared" ref="AN5:AN6" si="28">SUM(AL5:AM5)</f>
        <v>27702</v>
      </c>
      <c r="AO5" s="226">
        <f t="shared" ref="AO5:AP6" si="29">AO18+AO28</f>
        <v>20</v>
      </c>
      <c r="AP5" s="227">
        <f t="shared" si="29"/>
        <v>23440</v>
      </c>
      <c r="AQ5" s="228">
        <f t="shared" ref="AQ5:AQ6" si="30">AO5*$D5</f>
        <v>5720</v>
      </c>
      <c r="AR5" s="229">
        <f t="shared" ref="AR5:AR6" si="31">SUM(AP5:AQ5)</f>
        <v>29160</v>
      </c>
      <c r="AS5" s="226">
        <f t="shared" ref="AS5:AT6" si="32">AS18+AS28</f>
        <v>54</v>
      </c>
      <c r="AT5" s="227">
        <f t="shared" si="32"/>
        <v>63288</v>
      </c>
      <c r="AU5" s="228">
        <f t="shared" ref="AU5:AU6" si="33">AS5*$D5</f>
        <v>15444</v>
      </c>
      <c r="AV5" s="229">
        <f t="shared" ref="AV5:AV6" si="34">SUM(AT5:AU5)</f>
        <v>78732</v>
      </c>
      <c r="AW5" s="226">
        <f t="shared" ref="AW5:AX6" si="35">AW18+AW28</f>
        <v>6</v>
      </c>
      <c r="AX5" s="227">
        <f t="shared" si="35"/>
        <v>7032</v>
      </c>
      <c r="AY5" s="228">
        <f t="shared" ref="AY5:AY6" si="36">AW5*$D5</f>
        <v>1716</v>
      </c>
      <c r="AZ5" s="229">
        <f t="shared" ref="AZ5:AZ6" si="37">SUM(AX5:AY5)</f>
        <v>8748</v>
      </c>
      <c r="BA5" s="230">
        <f>SUM(E5,I5,M5,Q5,U5,Y5,AC5,AG5,AK5,AO5,AS5,AW5)</f>
        <v>292</v>
      </c>
      <c r="BB5" s="227">
        <f t="shared" ref="BB5:BC6" si="38">SUM(AX5,AT5,AP5,AL5,AH5,AD5,Z5,V5,R5,N5,J5,F5)</f>
        <v>295433</v>
      </c>
      <c r="BC5" s="227">
        <f t="shared" si="38"/>
        <v>83512</v>
      </c>
      <c r="BD5" s="231">
        <f t="shared" si="0"/>
        <v>378945</v>
      </c>
    </row>
    <row r="6" spans="1:56" x14ac:dyDescent="0.25">
      <c r="A6" s="225" t="s">
        <v>201</v>
      </c>
      <c r="B6" s="225">
        <v>1292.25</v>
      </c>
      <c r="C6" s="225">
        <f t="shared" si="1"/>
        <v>1382.7075</v>
      </c>
      <c r="D6" s="225">
        <v>499</v>
      </c>
      <c r="E6" s="226">
        <f t="shared" si="2"/>
        <v>16</v>
      </c>
      <c r="F6" s="227">
        <f t="shared" si="2"/>
        <v>19130</v>
      </c>
      <c r="G6" s="228">
        <f t="shared" si="3"/>
        <v>7984</v>
      </c>
      <c r="H6" s="229">
        <f t="shared" si="4"/>
        <v>27114</v>
      </c>
      <c r="I6" s="226">
        <f t="shared" si="5"/>
        <v>17</v>
      </c>
      <c r="J6" s="227">
        <f t="shared" si="5"/>
        <v>21074</v>
      </c>
      <c r="K6" s="228">
        <f t="shared" si="6"/>
        <v>8483</v>
      </c>
      <c r="L6" s="229">
        <f t="shared" si="7"/>
        <v>29557</v>
      </c>
      <c r="M6" s="226">
        <f t="shared" si="8"/>
        <v>30</v>
      </c>
      <c r="N6" s="227">
        <f t="shared" si="8"/>
        <v>27387</v>
      </c>
      <c r="O6" s="228">
        <f t="shared" si="9"/>
        <v>14970</v>
      </c>
      <c r="P6" s="229">
        <f t="shared" si="10"/>
        <v>42357</v>
      </c>
      <c r="Q6" s="226">
        <f t="shared" si="11"/>
        <v>75</v>
      </c>
      <c r="R6" s="227">
        <f t="shared" si="11"/>
        <v>112240</v>
      </c>
      <c r="S6" s="228">
        <f t="shared" si="12"/>
        <v>37425</v>
      </c>
      <c r="T6" s="229">
        <f t="shared" si="13"/>
        <v>149665</v>
      </c>
      <c r="U6" s="226">
        <f t="shared" si="14"/>
        <v>9</v>
      </c>
      <c r="V6" s="227">
        <f t="shared" si="14"/>
        <v>16666</v>
      </c>
      <c r="W6" s="228">
        <f t="shared" si="15"/>
        <v>4491</v>
      </c>
      <c r="X6" s="229">
        <f t="shared" si="16"/>
        <v>21157</v>
      </c>
      <c r="Y6" s="226">
        <f>Y19+Y29</f>
        <v>25</v>
      </c>
      <c r="Z6" s="227">
        <f t="shared" si="17"/>
        <v>27697</v>
      </c>
      <c r="AA6" s="228">
        <f t="shared" si="18"/>
        <v>12475</v>
      </c>
      <c r="AB6" s="229">
        <f t="shared" si="19"/>
        <v>40172</v>
      </c>
      <c r="AC6" s="226">
        <f>AC19+AC29</f>
        <v>48</v>
      </c>
      <c r="AD6" s="227">
        <f t="shared" si="20"/>
        <v>38784</v>
      </c>
      <c r="AE6" s="228">
        <f t="shared" si="21"/>
        <v>23952</v>
      </c>
      <c r="AF6" s="229">
        <f t="shared" si="22"/>
        <v>62736</v>
      </c>
      <c r="AG6" s="226">
        <f t="shared" si="23"/>
        <v>55</v>
      </c>
      <c r="AH6" s="227">
        <f t="shared" si="23"/>
        <v>44440</v>
      </c>
      <c r="AI6" s="228">
        <f t="shared" si="24"/>
        <v>27445</v>
      </c>
      <c r="AJ6" s="229">
        <f t="shared" si="25"/>
        <v>71885</v>
      </c>
      <c r="AK6" s="226">
        <f t="shared" si="26"/>
        <v>14</v>
      </c>
      <c r="AL6" s="227">
        <f t="shared" si="26"/>
        <v>11312</v>
      </c>
      <c r="AM6" s="228">
        <f t="shared" si="27"/>
        <v>6986</v>
      </c>
      <c r="AN6" s="229">
        <f t="shared" si="28"/>
        <v>18298</v>
      </c>
      <c r="AO6" s="226">
        <f t="shared" si="29"/>
        <v>26</v>
      </c>
      <c r="AP6" s="227">
        <f t="shared" si="29"/>
        <v>21008</v>
      </c>
      <c r="AQ6" s="228">
        <f t="shared" si="30"/>
        <v>12974</v>
      </c>
      <c r="AR6" s="229">
        <f t="shared" si="31"/>
        <v>33982</v>
      </c>
      <c r="AS6" s="226">
        <f t="shared" si="32"/>
        <v>59</v>
      </c>
      <c r="AT6" s="227">
        <f t="shared" si="32"/>
        <v>47672</v>
      </c>
      <c r="AU6" s="228">
        <f t="shared" si="33"/>
        <v>29441</v>
      </c>
      <c r="AV6" s="229">
        <f t="shared" si="34"/>
        <v>77113</v>
      </c>
      <c r="AW6" s="226">
        <f t="shared" si="35"/>
        <v>0</v>
      </c>
      <c r="AX6" s="227">
        <f t="shared" si="35"/>
        <v>0</v>
      </c>
      <c r="AY6" s="228">
        <f t="shared" si="36"/>
        <v>0</v>
      </c>
      <c r="AZ6" s="229">
        <f t="shared" si="37"/>
        <v>0</v>
      </c>
      <c r="BA6" s="230">
        <f>SUM(E6,I6,M6,Q6,U6,Y6,AC6,AG6,AK6,AO6,AS6,AW6)</f>
        <v>374</v>
      </c>
      <c r="BB6" s="227">
        <f t="shared" si="38"/>
        <v>387410</v>
      </c>
      <c r="BC6" s="227">
        <f t="shared" si="38"/>
        <v>186626</v>
      </c>
      <c r="BD6" s="231">
        <f t="shared" si="0"/>
        <v>574036</v>
      </c>
    </row>
    <row r="7" spans="1:56" x14ac:dyDescent="0.25">
      <c r="A7" s="225"/>
      <c r="B7" s="225"/>
      <c r="C7" s="225"/>
      <c r="D7" s="232"/>
      <c r="E7" s="233"/>
      <c r="F7" s="227"/>
      <c r="G7" s="228"/>
      <c r="H7" s="229"/>
      <c r="I7" s="233"/>
      <c r="J7" s="227"/>
      <c r="K7" s="228"/>
      <c r="L7" s="229"/>
      <c r="M7" s="233"/>
      <c r="N7" s="227"/>
      <c r="O7" s="228"/>
      <c r="P7" s="229"/>
      <c r="Q7" s="233"/>
      <c r="R7" s="227"/>
      <c r="S7" s="228"/>
      <c r="T7" s="229"/>
      <c r="U7" s="234"/>
      <c r="V7" s="227"/>
      <c r="W7" s="228"/>
      <c r="X7" s="229"/>
      <c r="Y7" s="235"/>
      <c r="Z7" s="227"/>
      <c r="AA7" s="228"/>
      <c r="AB7" s="229"/>
      <c r="AC7" s="234"/>
      <c r="AD7" s="227"/>
      <c r="AE7" s="228"/>
      <c r="AF7" s="229"/>
      <c r="AG7" s="234"/>
      <c r="AH7" s="227"/>
      <c r="AI7" s="228"/>
      <c r="AJ7" s="229"/>
      <c r="AK7" s="234"/>
      <c r="AL7" s="227"/>
      <c r="AM7" s="228"/>
      <c r="AN7" s="229"/>
      <c r="AO7" s="234"/>
      <c r="AP7" s="227"/>
      <c r="AQ7" s="228"/>
      <c r="AR7" s="229"/>
      <c r="AS7" s="234"/>
      <c r="AT7" s="227"/>
      <c r="AU7" s="228"/>
      <c r="AV7" s="229"/>
      <c r="AW7" s="233"/>
      <c r="AX7" s="227"/>
      <c r="AY7" s="228"/>
      <c r="AZ7" s="229"/>
      <c r="BA7" s="236"/>
      <c r="BB7" s="227"/>
      <c r="BC7" s="227"/>
      <c r="BD7" s="231"/>
    </row>
    <row r="8" spans="1:56" ht="15.75" thickBot="1" x14ac:dyDescent="0.3">
      <c r="A8" s="225"/>
      <c r="B8" s="225"/>
      <c r="C8" s="225"/>
      <c r="D8" s="232"/>
      <c r="E8" s="233"/>
      <c r="F8" s="227"/>
      <c r="G8" s="228"/>
      <c r="H8" s="229"/>
      <c r="I8" s="233"/>
      <c r="J8" s="227"/>
      <c r="K8" s="228"/>
      <c r="L8" s="229"/>
      <c r="M8" s="233"/>
      <c r="N8" s="227"/>
      <c r="O8" s="228"/>
      <c r="P8" s="229"/>
      <c r="Q8" s="233"/>
      <c r="R8" s="227"/>
      <c r="S8" s="228"/>
      <c r="T8" s="229"/>
      <c r="U8" s="233"/>
      <c r="V8" s="227"/>
      <c r="W8" s="228"/>
      <c r="X8" s="229"/>
      <c r="Y8" s="237"/>
      <c r="Z8" s="227"/>
      <c r="AA8" s="228"/>
      <c r="AB8" s="229"/>
      <c r="AC8" s="233"/>
      <c r="AD8" s="227"/>
      <c r="AE8" s="228"/>
      <c r="AF8" s="229"/>
      <c r="AG8" s="233"/>
      <c r="AH8" s="227"/>
      <c r="AI8" s="228"/>
      <c r="AJ8" s="229"/>
      <c r="AK8" s="233"/>
      <c r="AL8" s="227"/>
      <c r="AM8" s="228"/>
      <c r="AN8" s="229"/>
      <c r="AO8" s="233"/>
      <c r="AP8" s="227"/>
      <c r="AQ8" s="228"/>
      <c r="AR8" s="229"/>
      <c r="AS8" s="233"/>
      <c r="AT8" s="227"/>
      <c r="AU8" s="228"/>
      <c r="AV8" s="229"/>
      <c r="AW8" s="233"/>
      <c r="AX8" s="227"/>
      <c r="AY8" s="228"/>
      <c r="AZ8" s="229"/>
      <c r="BA8" s="236"/>
      <c r="BB8" s="227"/>
      <c r="BC8" s="227"/>
      <c r="BD8" s="231"/>
    </row>
    <row r="9" spans="1:56" ht="15.75" thickTop="1" x14ac:dyDescent="0.25">
      <c r="A9" s="238" t="s">
        <v>112</v>
      </c>
      <c r="B9" s="239"/>
      <c r="C9" s="240"/>
      <c r="D9" s="241"/>
      <c r="E9" s="242">
        <f>SUM(E4:E8)</f>
        <v>1826</v>
      </c>
      <c r="F9" s="243">
        <f>SUM(F4:F6)</f>
        <v>157859.84000000003</v>
      </c>
      <c r="G9" s="243">
        <f>SUM(G4:G6)</f>
        <v>236150</v>
      </c>
      <c r="H9" s="243">
        <f>SUM(H4:H6)</f>
        <v>394009.84</v>
      </c>
      <c r="I9" s="244">
        <f>SUM(I4:I8)</f>
        <v>401</v>
      </c>
      <c r="J9" s="243">
        <f>SUM(J4:J6)</f>
        <v>49093.070000000007</v>
      </c>
      <c r="K9" s="243">
        <f>SUM(K4:K6)</f>
        <v>56585</v>
      </c>
      <c r="L9" s="243">
        <f>SUM(L4:L6)</f>
        <v>105678.07</v>
      </c>
      <c r="M9" s="244">
        <f>SUM(M4:M8)</f>
        <v>1490</v>
      </c>
      <c r="N9" s="243">
        <f>SUM(N4:N6)</f>
        <v>145300.48000000004</v>
      </c>
      <c r="O9" s="243">
        <f>SUM(O4:O6)</f>
        <v>201842</v>
      </c>
      <c r="P9" s="243">
        <f>SUM(P4:P6)</f>
        <v>347142.48000000004</v>
      </c>
      <c r="Q9" s="244">
        <f>SUM(Q4:Q8)</f>
        <v>1324</v>
      </c>
      <c r="R9" s="243">
        <f>SUM(R4:R6)</f>
        <v>179550.39</v>
      </c>
      <c r="S9" s="243">
        <f>SUM(S4:S6)</f>
        <v>199105</v>
      </c>
      <c r="T9" s="243">
        <f>SUM(T4:T6)</f>
        <v>378655.39</v>
      </c>
      <c r="U9" s="244">
        <f>SUM(U4:U8)</f>
        <v>740</v>
      </c>
      <c r="V9" s="243">
        <f>SUM(V4:V6)</f>
        <v>48726.8</v>
      </c>
      <c r="W9" s="243">
        <f>SUM(W4:W6)</f>
        <v>96269</v>
      </c>
      <c r="X9" s="243">
        <f>SUM(X4:X6)</f>
        <v>144995.79999999999</v>
      </c>
      <c r="Y9" s="245">
        <f>SUM(Y4:Y8)</f>
        <v>447</v>
      </c>
      <c r="Z9" s="243">
        <f>SUM(Z4:Z6)</f>
        <v>70355.66</v>
      </c>
      <c r="AA9" s="243">
        <f>SUM(AA4:AA6)</f>
        <v>68853</v>
      </c>
      <c r="AB9" s="243">
        <f>SUM(AB4:AB6)</f>
        <v>139208.66</v>
      </c>
      <c r="AC9" s="244">
        <f>SUM(AC4:AC8)</f>
        <v>331</v>
      </c>
      <c r="AD9" s="243">
        <f>SUM(AD4:AD6)</f>
        <v>106107.64</v>
      </c>
      <c r="AE9" s="243">
        <f>SUM(AE4:AE6)</f>
        <v>66658</v>
      </c>
      <c r="AF9" s="243">
        <f>SUM(AF4:AF6)</f>
        <v>172765.64</v>
      </c>
      <c r="AG9" s="244">
        <f>SUM(AG4:AG8)</f>
        <v>1112</v>
      </c>
      <c r="AH9" s="243">
        <f>SUM(AH4:AH6)</f>
        <v>160158.51</v>
      </c>
      <c r="AI9" s="243">
        <f>SUM(AI4:AI6)</f>
        <v>160133</v>
      </c>
      <c r="AJ9" s="243">
        <f>SUM(AJ4:AJ6)</f>
        <v>320291.51</v>
      </c>
      <c r="AK9" s="244">
        <f>SUM(AK4:AK8)</f>
        <v>1797</v>
      </c>
      <c r="AL9" s="243">
        <f>SUM(AL4:AL6)</f>
        <v>208798.12</v>
      </c>
      <c r="AM9" s="243">
        <f>SUM(AM4:AM6)</f>
        <v>231156</v>
      </c>
      <c r="AN9" s="243">
        <f>SUM(AN4:AN6)</f>
        <v>439954.12</v>
      </c>
      <c r="AO9" s="244">
        <f>SUM(AO4:AO8)</f>
        <v>631</v>
      </c>
      <c r="AP9" s="243">
        <f>SUM(AP4:AP6)</f>
        <v>102556.04999999999</v>
      </c>
      <c r="AQ9" s="243">
        <f>SUM(AQ4:AQ6)</f>
        <v>91234</v>
      </c>
      <c r="AR9" s="243">
        <f>SUM(AR4:AR6)</f>
        <v>193790.05</v>
      </c>
      <c r="AS9" s="244">
        <f>SUM(AS4:AS8)</f>
        <v>2219</v>
      </c>
      <c r="AT9" s="243">
        <f>SUM(AT4:AT6)</f>
        <v>320148.98</v>
      </c>
      <c r="AU9" s="243">
        <f>SUM(AU4:AU6)</f>
        <v>306029</v>
      </c>
      <c r="AV9" s="243">
        <f>SUM(AV4:AV6)</f>
        <v>626177.98</v>
      </c>
      <c r="AW9" s="244">
        <f>SUM(AW4:AW8)</f>
        <v>2426</v>
      </c>
      <c r="AX9" s="243">
        <f>SUM(AX4:AX6)</f>
        <v>247410.6</v>
      </c>
      <c r="AY9" s="243">
        <f>SUM(AY4:AY6)</f>
        <v>301796</v>
      </c>
      <c r="AZ9" s="243">
        <f>SUM(AZ4:AZ6)</f>
        <v>549206.6</v>
      </c>
      <c r="BA9" s="246">
        <f>SUM(BA4:BA8)</f>
        <v>14744</v>
      </c>
      <c r="BB9" s="243">
        <f>SUM(BB4:BB6)</f>
        <v>1796066.1400000001</v>
      </c>
      <c r="BC9" s="243">
        <f>SUM(BC4:BC6)</f>
        <v>2015810</v>
      </c>
      <c r="BD9" s="243">
        <f>SUM(BD4:BD6)</f>
        <v>3811876.14</v>
      </c>
    </row>
    <row r="11" spans="1:56" x14ac:dyDescent="0.25">
      <c r="A11" s="333" t="s">
        <v>206</v>
      </c>
      <c r="B11" s="333"/>
      <c r="C11" s="333"/>
      <c r="D11" s="333"/>
      <c r="F11" s="247">
        <f>F9-F42</f>
        <v>98747.840000000026</v>
      </c>
      <c r="G11" s="248">
        <f>G9-G42</f>
        <v>236150</v>
      </c>
      <c r="H11" s="247">
        <f>H9-H42</f>
        <v>334897.84000000003</v>
      </c>
      <c r="J11" s="247">
        <f>J9-J42</f>
        <v>-14009.929999999993</v>
      </c>
      <c r="K11" s="248">
        <f>K9-K42</f>
        <v>56585</v>
      </c>
      <c r="L11" s="247">
        <f>L9-L42</f>
        <v>42575.070000000007</v>
      </c>
      <c r="N11" s="247">
        <f>N9-N42</f>
        <v>63798.48000000004</v>
      </c>
      <c r="O11" s="248">
        <f>O9-O42</f>
        <v>201842</v>
      </c>
      <c r="P11" s="247">
        <f>P9-P42</f>
        <v>265640.48000000004</v>
      </c>
      <c r="R11" s="247">
        <f>R9-R42</f>
        <v>110857.39000000001</v>
      </c>
      <c r="S11" s="248">
        <f>S9-S42</f>
        <v>199105</v>
      </c>
      <c r="T11" s="247">
        <f>T9-T42</f>
        <v>309962.39</v>
      </c>
      <c r="V11" s="247">
        <f>V9-V42</f>
        <v>-42995.199999999997</v>
      </c>
      <c r="W11" s="248">
        <f>W9-W42</f>
        <v>96269</v>
      </c>
      <c r="X11" s="247">
        <f>X9-X42</f>
        <v>53273.799999999988</v>
      </c>
      <c r="Y11" s="203"/>
      <c r="Z11" s="247">
        <f>Z9-Z42</f>
        <v>-16116.339999999997</v>
      </c>
      <c r="AA11" s="248">
        <f>AA9-AA42</f>
        <v>68853</v>
      </c>
      <c r="AB11" s="247">
        <f>AB9-AB42</f>
        <v>52736.66</v>
      </c>
      <c r="AD11" s="247">
        <f>AD9-AD42</f>
        <v>14720.64</v>
      </c>
      <c r="AE11" s="248">
        <f>AE9-AE42</f>
        <v>66658</v>
      </c>
      <c r="AF11" s="247">
        <f>AF9-AF42</f>
        <v>81378.640000000014</v>
      </c>
      <c r="AH11" s="247">
        <f>AH9-AH42</f>
        <v>48100.510000000009</v>
      </c>
      <c r="AI11" s="248">
        <f>AI9-AI42</f>
        <v>160133</v>
      </c>
      <c r="AJ11" s="247">
        <f>AJ9-AJ42</f>
        <v>208233.51</v>
      </c>
      <c r="AL11" s="247">
        <f>AL9-AL42</f>
        <v>93016.12</v>
      </c>
      <c r="AM11" s="248">
        <f>AM9-AM42</f>
        <v>231156</v>
      </c>
      <c r="AN11" s="247">
        <f>AN9-AN42</f>
        <v>324172.12</v>
      </c>
      <c r="AP11" s="247">
        <f>AP9-AP42</f>
        <v>-24121.950000000012</v>
      </c>
      <c r="AQ11" s="248">
        <f>AQ9-AQ42</f>
        <v>91234</v>
      </c>
      <c r="AR11" s="247">
        <f>AR9-AR42</f>
        <v>67112.049999999988</v>
      </c>
      <c r="AT11" s="247">
        <f>AT9-AT42</f>
        <v>200076.97999999998</v>
      </c>
      <c r="AU11" s="248">
        <f>AU9-AU42</f>
        <v>306029</v>
      </c>
      <c r="AV11" s="247">
        <f>AV9-AV42</f>
        <v>506105.98</v>
      </c>
      <c r="AX11" s="247">
        <f>AX9-AX42</f>
        <v>164400.6</v>
      </c>
      <c r="AY11" s="248">
        <f>AY9-AY42</f>
        <v>301796</v>
      </c>
      <c r="AZ11" s="247">
        <f>AZ9-AZ42</f>
        <v>466196.6</v>
      </c>
      <c r="BB11" s="247">
        <f>BB9-BB42</f>
        <v>696475.14000000013</v>
      </c>
      <c r="BC11" s="248">
        <f>BC9-BC42</f>
        <v>2015810</v>
      </c>
      <c r="BD11" s="247">
        <f>BD9-BD42</f>
        <v>2712285.14</v>
      </c>
    </row>
    <row r="12" spans="1:56" x14ac:dyDescent="0.25">
      <c r="A12" s="333" t="s">
        <v>207</v>
      </c>
      <c r="B12" s="333"/>
      <c r="C12" s="333"/>
      <c r="D12" s="333"/>
      <c r="F12" s="247">
        <f>F11</f>
        <v>98747.840000000026</v>
      </c>
      <c r="G12" s="248">
        <f t="shared" ref="G12:H12" si="39">G11</f>
        <v>236150</v>
      </c>
      <c r="H12" s="247">
        <f t="shared" si="39"/>
        <v>334897.84000000003</v>
      </c>
      <c r="J12" s="247">
        <f t="shared" ref="J12:L12" si="40">F12+J11</f>
        <v>84737.910000000033</v>
      </c>
      <c r="K12" s="248">
        <f t="shared" si="40"/>
        <v>292735</v>
      </c>
      <c r="L12" s="247">
        <f t="shared" si="40"/>
        <v>377472.91000000003</v>
      </c>
      <c r="N12" s="247">
        <f t="shared" ref="N12:P12" si="41">J12+N11</f>
        <v>148536.39000000007</v>
      </c>
      <c r="O12" s="248">
        <f t="shared" si="41"/>
        <v>494577</v>
      </c>
      <c r="P12" s="247">
        <f t="shared" si="41"/>
        <v>643113.39000000013</v>
      </c>
      <c r="R12" s="247">
        <f t="shared" ref="R12:T12" si="42">N12+R11</f>
        <v>259393.78000000009</v>
      </c>
      <c r="S12" s="248">
        <f t="shared" si="42"/>
        <v>693682</v>
      </c>
      <c r="T12" s="247">
        <f t="shared" si="42"/>
        <v>953075.78000000014</v>
      </c>
      <c r="V12" s="247">
        <f t="shared" ref="V12:X12" si="43">R12+V11</f>
        <v>216398.58000000007</v>
      </c>
      <c r="W12" s="248">
        <f t="shared" si="43"/>
        <v>789951</v>
      </c>
      <c r="X12" s="247">
        <f t="shared" si="43"/>
        <v>1006349.5800000001</v>
      </c>
      <c r="Y12" s="203"/>
      <c r="Z12" s="247">
        <f t="shared" ref="Z12:AB12" si="44">V12+Z11</f>
        <v>200282.24000000008</v>
      </c>
      <c r="AA12" s="248">
        <f t="shared" si="44"/>
        <v>858804</v>
      </c>
      <c r="AB12" s="247">
        <f t="shared" si="44"/>
        <v>1059086.24</v>
      </c>
      <c r="AD12" s="247">
        <f>Z12+AD11</f>
        <v>215002.88000000006</v>
      </c>
      <c r="AE12" s="248">
        <f t="shared" ref="AE12:AF12" si="45">AA12+AE11</f>
        <v>925462</v>
      </c>
      <c r="AF12" s="247">
        <f t="shared" si="45"/>
        <v>1140464.8799999999</v>
      </c>
      <c r="AH12" s="247">
        <f>AD12+AH11</f>
        <v>263103.39000000007</v>
      </c>
      <c r="AI12" s="248">
        <f t="shared" ref="AI12:AJ12" si="46">AE12+AI11</f>
        <v>1085595</v>
      </c>
      <c r="AJ12" s="247">
        <f t="shared" si="46"/>
        <v>1348698.39</v>
      </c>
      <c r="AL12" s="247">
        <f>AH12+AL11</f>
        <v>356119.51000000007</v>
      </c>
      <c r="AM12" s="248">
        <f t="shared" ref="AM12:AN12" si="47">AI12+AM11</f>
        <v>1316751</v>
      </c>
      <c r="AN12" s="247">
        <f t="shared" si="47"/>
        <v>1672870.5099999998</v>
      </c>
      <c r="AP12" s="247">
        <f t="shared" ref="AP12:AR12" si="48">AL12+AP11</f>
        <v>331997.56000000006</v>
      </c>
      <c r="AQ12" s="248">
        <f t="shared" si="48"/>
        <v>1407985</v>
      </c>
      <c r="AR12" s="247">
        <f t="shared" si="48"/>
        <v>1739982.5599999998</v>
      </c>
      <c r="AT12" s="247">
        <f t="shared" ref="AT12:AV12" si="49">AP12+AT11</f>
        <v>532074.54</v>
      </c>
      <c r="AU12" s="248">
        <f t="shared" si="49"/>
        <v>1714014</v>
      </c>
      <c r="AV12" s="247">
        <f t="shared" si="49"/>
        <v>2246088.54</v>
      </c>
      <c r="AX12" s="247">
        <f t="shared" ref="AX12:AZ12" si="50">AT12+AX11</f>
        <v>696475.14</v>
      </c>
      <c r="AY12" s="248">
        <f t="shared" si="50"/>
        <v>2015810</v>
      </c>
      <c r="AZ12" s="247">
        <f t="shared" si="50"/>
        <v>2712285.14</v>
      </c>
      <c r="BB12" s="247"/>
      <c r="BC12" s="248"/>
      <c r="BD12" s="247"/>
    </row>
    <row r="13" spans="1:56" x14ac:dyDescent="0.25">
      <c r="AY13" s="249"/>
      <c r="AZ13" s="249"/>
      <c r="BB13" s="7"/>
      <c r="BC13" s="7"/>
    </row>
    <row r="14" spans="1:56" x14ac:dyDescent="0.25">
      <c r="A14" s="331" t="s">
        <v>208</v>
      </c>
      <c r="B14" s="331"/>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row>
    <row r="15" spans="1:56" x14ac:dyDescent="0.25">
      <c r="A15" s="204"/>
      <c r="B15" s="205">
        <f>B2</f>
        <v>2026</v>
      </c>
      <c r="C15" s="206">
        <f>C2</f>
        <v>2026</v>
      </c>
      <c r="D15" s="207">
        <f>D2</f>
        <v>2026</v>
      </c>
      <c r="E15" s="323" t="s">
        <v>90</v>
      </c>
      <c r="F15" s="324"/>
      <c r="G15" s="325"/>
      <c r="H15" s="208">
        <v>1</v>
      </c>
      <c r="I15" s="323" t="s">
        <v>91</v>
      </c>
      <c r="J15" s="324"/>
      <c r="K15" s="325"/>
      <c r="L15" s="208">
        <f>H15+1</f>
        <v>2</v>
      </c>
      <c r="M15" s="323" t="s">
        <v>92</v>
      </c>
      <c r="N15" s="324"/>
      <c r="O15" s="325"/>
      <c r="P15" s="208">
        <f>L15+1</f>
        <v>3</v>
      </c>
      <c r="Q15" s="323" t="s">
        <v>93</v>
      </c>
      <c r="R15" s="324"/>
      <c r="S15" s="325"/>
      <c r="T15" s="208">
        <f>P15+1</f>
        <v>4</v>
      </c>
      <c r="U15" s="323" t="s">
        <v>94</v>
      </c>
      <c r="V15" s="324"/>
      <c r="W15" s="325"/>
      <c r="X15" s="208">
        <f>T15+1</f>
        <v>5</v>
      </c>
      <c r="Y15" s="323" t="s">
        <v>95</v>
      </c>
      <c r="Z15" s="324"/>
      <c r="AA15" s="325"/>
      <c r="AB15" s="208">
        <f>X15+1</f>
        <v>6</v>
      </c>
      <c r="AC15" s="323" t="s">
        <v>96</v>
      </c>
      <c r="AD15" s="324"/>
      <c r="AE15" s="325"/>
      <c r="AF15" s="208">
        <f>AB15+1</f>
        <v>7</v>
      </c>
      <c r="AG15" s="323" t="s">
        <v>97</v>
      </c>
      <c r="AH15" s="324"/>
      <c r="AI15" s="325"/>
      <c r="AJ15" s="208">
        <f>AF15+1</f>
        <v>8</v>
      </c>
      <c r="AK15" s="323" t="s">
        <v>98</v>
      </c>
      <c r="AL15" s="324"/>
      <c r="AM15" s="325"/>
      <c r="AN15" s="208">
        <f>AJ15+1</f>
        <v>9</v>
      </c>
      <c r="AO15" s="323" t="s">
        <v>99</v>
      </c>
      <c r="AP15" s="324"/>
      <c r="AQ15" s="325"/>
      <c r="AR15" s="208">
        <f>AN15+1</f>
        <v>10</v>
      </c>
      <c r="AS15" s="323" t="s">
        <v>100</v>
      </c>
      <c r="AT15" s="324"/>
      <c r="AU15" s="325"/>
      <c r="AV15" s="208">
        <f>AR15+1</f>
        <v>11</v>
      </c>
      <c r="AW15" s="323" t="s">
        <v>101</v>
      </c>
      <c r="AX15" s="324"/>
      <c r="AY15" s="325"/>
      <c r="AZ15" s="208">
        <f>AV15+1</f>
        <v>12</v>
      </c>
      <c r="BA15" s="326" t="s">
        <v>102</v>
      </c>
      <c r="BB15" s="324"/>
      <c r="BC15" s="324"/>
      <c r="BD15" s="327"/>
    </row>
    <row r="16" spans="1:56" ht="30" customHeight="1" x14ac:dyDescent="0.25">
      <c r="A16" s="209" t="s">
        <v>204</v>
      </c>
      <c r="B16" s="210" t="s">
        <v>106</v>
      </c>
      <c r="C16" s="211" t="s">
        <v>205</v>
      </c>
      <c r="D16" s="211" t="s">
        <v>108</v>
      </c>
      <c r="E16" s="212" t="s">
        <v>109</v>
      </c>
      <c r="F16" s="213" t="s">
        <v>110</v>
      </c>
      <c r="G16" s="214" t="s">
        <v>111</v>
      </c>
      <c r="H16" s="215" t="s">
        <v>112</v>
      </c>
      <c r="I16" s="212" t="s">
        <v>109</v>
      </c>
      <c r="J16" s="213" t="s">
        <v>110</v>
      </c>
      <c r="K16" s="214" t="s">
        <v>111</v>
      </c>
      <c r="L16" s="215" t="s">
        <v>112</v>
      </c>
      <c r="M16" s="212" t="s">
        <v>109</v>
      </c>
      <c r="N16" s="213" t="s">
        <v>110</v>
      </c>
      <c r="O16" s="214" t="s">
        <v>111</v>
      </c>
      <c r="P16" s="215" t="s">
        <v>112</v>
      </c>
      <c r="Q16" s="212" t="s">
        <v>109</v>
      </c>
      <c r="R16" s="213" t="s">
        <v>110</v>
      </c>
      <c r="S16" s="214" t="s">
        <v>111</v>
      </c>
      <c r="T16" s="215" t="s">
        <v>112</v>
      </c>
      <c r="U16" s="212" t="s">
        <v>109</v>
      </c>
      <c r="V16" s="213" t="s">
        <v>110</v>
      </c>
      <c r="W16" s="214" t="s">
        <v>111</v>
      </c>
      <c r="X16" s="215" t="s">
        <v>112</v>
      </c>
      <c r="Y16" s="209" t="s">
        <v>109</v>
      </c>
      <c r="Z16" s="213" t="s">
        <v>110</v>
      </c>
      <c r="AA16" s="214" t="s">
        <v>111</v>
      </c>
      <c r="AB16" s="215" t="s">
        <v>112</v>
      </c>
      <c r="AC16" s="212" t="s">
        <v>109</v>
      </c>
      <c r="AD16" s="213" t="s">
        <v>110</v>
      </c>
      <c r="AE16" s="214" t="s">
        <v>111</v>
      </c>
      <c r="AF16" s="215" t="s">
        <v>112</v>
      </c>
      <c r="AG16" s="212" t="s">
        <v>109</v>
      </c>
      <c r="AH16" s="213" t="s">
        <v>110</v>
      </c>
      <c r="AI16" s="214" t="s">
        <v>111</v>
      </c>
      <c r="AJ16" s="215" t="s">
        <v>112</v>
      </c>
      <c r="AK16" s="212" t="s">
        <v>109</v>
      </c>
      <c r="AL16" s="213" t="s">
        <v>110</v>
      </c>
      <c r="AM16" s="214" t="s">
        <v>111</v>
      </c>
      <c r="AN16" s="215" t="s">
        <v>112</v>
      </c>
      <c r="AO16" s="212" t="s">
        <v>109</v>
      </c>
      <c r="AP16" s="213" t="s">
        <v>110</v>
      </c>
      <c r="AQ16" s="214" t="s">
        <v>111</v>
      </c>
      <c r="AR16" s="215" t="s">
        <v>112</v>
      </c>
      <c r="AS16" s="212" t="s">
        <v>109</v>
      </c>
      <c r="AT16" s="213" t="s">
        <v>110</v>
      </c>
      <c r="AU16" s="214" t="s">
        <v>111</v>
      </c>
      <c r="AV16" s="215" t="s">
        <v>112</v>
      </c>
      <c r="AW16" s="212" t="s">
        <v>109</v>
      </c>
      <c r="AX16" s="213" t="s">
        <v>110</v>
      </c>
      <c r="AY16" s="214" t="s">
        <v>111</v>
      </c>
      <c r="AZ16" s="215" t="s">
        <v>112</v>
      </c>
      <c r="BA16" s="216" t="s">
        <v>109</v>
      </c>
      <c r="BB16" s="213" t="s">
        <v>110</v>
      </c>
      <c r="BC16" s="214" t="s">
        <v>108</v>
      </c>
      <c r="BD16" s="217" t="s">
        <v>113</v>
      </c>
    </row>
    <row r="17" spans="1:56" x14ac:dyDescent="0.25">
      <c r="A17" s="218" t="s">
        <v>199</v>
      </c>
      <c r="B17" s="218"/>
      <c r="C17" s="218"/>
      <c r="D17" s="218">
        <v>124</v>
      </c>
      <c r="E17" s="219">
        <v>1787</v>
      </c>
      <c r="F17" s="222">
        <v>120234.84000000001</v>
      </c>
      <c r="G17" s="220">
        <f>E17*$D17</f>
        <v>221588</v>
      </c>
      <c r="H17" s="221">
        <f>SUM(F17:G17)</f>
        <v>341822.84</v>
      </c>
      <c r="I17" s="219">
        <v>381</v>
      </c>
      <c r="J17" s="222">
        <v>26051.070000000003</v>
      </c>
      <c r="K17" s="220">
        <f>I17*$D17</f>
        <v>47244</v>
      </c>
      <c r="L17" s="221">
        <f>SUM(J17:K17)</f>
        <v>73295.070000000007</v>
      </c>
      <c r="M17" s="219">
        <v>0</v>
      </c>
      <c r="N17" s="222">
        <v>0</v>
      </c>
      <c r="O17" s="220">
        <f>M17*$D17</f>
        <v>0</v>
      </c>
      <c r="P17" s="221">
        <f>SUM(N17:O17)</f>
        <v>0</v>
      </c>
      <c r="Q17" s="219">
        <v>0</v>
      </c>
      <c r="R17" s="222">
        <v>0</v>
      </c>
      <c r="S17" s="220">
        <f>Q17*$D17</f>
        <v>0</v>
      </c>
      <c r="T17" s="221">
        <f>SUM(R17:S17)</f>
        <v>0</v>
      </c>
      <c r="U17" s="219">
        <v>0</v>
      </c>
      <c r="V17" s="222">
        <v>0</v>
      </c>
      <c r="W17" s="220">
        <f>U17*$D17</f>
        <v>0</v>
      </c>
      <c r="X17" s="221">
        <f>SUM(V17:W17)</f>
        <v>0</v>
      </c>
      <c r="Y17" s="219">
        <v>0</v>
      </c>
      <c r="Z17" s="222">
        <v>0</v>
      </c>
      <c r="AA17" s="220">
        <f>Y17*$D17</f>
        <v>0</v>
      </c>
      <c r="AB17" s="221">
        <f>SUM(Z17:AA17)</f>
        <v>0</v>
      </c>
      <c r="AC17" s="219">
        <v>0</v>
      </c>
      <c r="AD17" s="222">
        <v>0</v>
      </c>
      <c r="AE17" s="220">
        <f>AC17*$D17</f>
        <v>0</v>
      </c>
      <c r="AF17" s="221">
        <f>SUM(AD17:AE17)</f>
        <v>0</v>
      </c>
      <c r="AG17" s="219">
        <v>0</v>
      </c>
      <c r="AH17" s="222">
        <v>0</v>
      </c>
      <c r="AI17" s="220">
        <f>AG17*$D17</f>
        <v>0</v>
      </c>
      <c r="AJ17" s="221">
        <f>SUM(AH17:AI17)</f>
        <v>0</v>
      </c>
      <c r="AK17" s="219">
        <v>0</v>
      </c>
      <c r="AL17" s="222">
        <v>0</v>
      </c>
      <c r="AM17" s="220">
        <f>AK17*$D17</f>
        <v>0</v>
      </c>
      <c r="AN17" s="221">
        <f>SUM(AL17:AM17)</f>
        <v>0</v>
      </c>
      <c r="AO17" s="219">
        <v>0</v>
      </c>
      <c r="AP17" s="222">
        <v>0</v>
      </c>
      <c r="AQ17" s="220">
        <f>AO17*$D17</f>
        <v>0</v>
      </c>
      <c r="AR17" s="221">
        <f>SUM(AP17:AQ17)</f>
        <v>0</v>
      </c>
      <c r="AS17" s="219">
        <v>0</v>
      </c>
      <c r="AT17" s="222">
        <v>0</v>
      </c>
      <c r="AU17" s="220">
        <f>AS17*$D17</f>
        <v>0</v>
      </c>
      <c r="AV17" s="221">
        <f>SUM(AT17:AU17)</f>
        <v>0</v>
      </c>
      <c r="AW17" s="219">
        <v>0</v>
      </c>
      <c r="AX17" s="222">
        <v>0</v>
      </c>
      <c r="AY17" s="220">
        <f>AW17*$D17</f>
        <v>0</v>
      </c>
      <c r="AZ17" s="221">
        <f>SUM(AX17:AY17)</f>
        <v>0</v>
      </c>
      <c r="BA17" s="223">
        <f>SUM(E17,I17,M17,Q17,U17,Y17,AC17,AG17,AK17,AO17,AS17,AW17)</f>
        <v>2168</v>
      </c>
      <c r="BB17" s="222">
        <f>SUM(AX17,AT17,AP17,AL17,AH17,AD17,Z17,V17,R17,N17,J17,F17)</f>
        <v>146285.91</v>
      </c>
      <c r="BC17" s="222">
        <f>SUM(AY17,AU17,AQ17,AM17,AI17,AE17,AA17,W17,S17,O17,K17,G17)</f>
        <v>268832</v>
      </c>
      <c r="BD17" s="224">
        <f t="shared" ref="BD17:BD19" si="51">SUM(H17,L17,P17,T17,X17,AB17,AF17,AJ17,AN17,AR17,AV17,AZ17)</f>
        <v>415117.91000000003</v>
      </c>
    </row>
    <row r="18" spans="1:56" x14ac:dyDescent="0.25">
      <c r="A18" s="225" t="s">
        <v>200</v>
      </c>
      <c r="B18" s="225"/>
      <c r="C18" s="225"/>
      <c r="D18" s="225">
        <v>286</v>
      </c>
      <c r="E18" s="226">
        <v>23</v>
      </c>
      <c r="F18" s="227">
        <v>18495</v>
      </c>
      <c r="G18" s="228">
        <f t="shared" ref="G18:G19" si="52">E18*$D18</f>
        <v>6578</v>
      </c>
      <c r="H18" s="229">
        <f t="shared" ref="H18:H19" si="53">SUM(F18:G18)</f>
        <v>25073</v>
      </c>
      <c r="I18" s="226">
        <v>3</v>
      </c>
      <c r="J18" s="227">
        <v>1968</v>
      </c>
      <c r="K18" s="228">
        <f t="shared" ref="K18:K19" si="54">I18*$D18</f>
        <v>858</v>
      </c>
      <c r="L18" s="229">
        <f t="shared" ref="L18:L19" si="55">SUM(J18:K18)</f>
        <v>2826</v>
      </c>
      <c r="M18" s="226">
        <v>0</v>
      </c>
      <c r="N18" s="227">
        <v>0</v>
      </c>
      <c r="O18" s="228">
        <f t="shared" ref="O18:O19" si="56">M18*$D18</f>
        <v>0</v>
      </c>
      <c r="P18" s="229">
        <f t="shared" ref="P18:P19" si="57">SUM(N18:O18)</f>
        <v>0</v>
      </c>
      <c r="Q18" s="226">
        <v>0</v>
      </c>
      <c r="R18" s="227">
        <v>0</v>
      </c>
      <c r="S18" s="228">
        <f t="shared" ref="S18:S19" si="58">Q18*$D18</f>
        <v>0</v>
      </c>
      <c r="T18" s="229">
        <f t="shared" ref="T18:T19" si="59">SUM(R18:S18)</f>
        <v>0</v>
      </c>
      <c r="U18" s="226">
        <v>0</v>
      </c>
      <c r="V18" s="227">
        <v>0</v>
      </c>
      <c r="W18" s="228">
        <f t="shared" ref="W18:W19" si="60">U18*$D18</f>
        <v>0</v>
      </c>
      <c r="X18" s="229">
        <f t="shared" ref="X18:X19" si="61">SUM(V18:W18)</f>
        <v>0</v>
      </c>
      <c r="Y18" s="226">
        <v>0</v>
      </c>
      <c r="Z18" s="227">
        <v>0</v>
      </c>
      <c r="AA18" s="228">
        <f t="shared" ref="AA18:AA19" si="62">Y18*$D18</f>
        <v>0</v>
      </c>
      <c r="AB18" s="229">
        <f t="shared" ref="AB18:AB19" si="63">SUM(Z18:AA18)</f>
        <v>0</v>
      </c>
      <c r="AC18" s="226">
        <v>0</v>
      </c>
      <c r="AD18" s="227">
        <v>0</v>
      </c>
      <c r="AE18" s="228">
        <f t="shared" ref="AE18:AE19" si="64">AC18*$D18</f>
        <v>0</v>
      </c>
      <c r="AF18" s="229">
        <f t="shared" ref="AF18:AF19" si="65">SUM(AD18:AE18)</f>
        <v>0</v>
      </c>
      <c r="AG18" s="226">
        <v>0</v>
      </c>
      <c r="AH18" s="227">
        <v>0</v>
      </c>
      <c r="AI18" s="228">
        <f t="shared" ref="AI18:AI19" si="66">AG18*$D18</f>
        <v>0</v>
      </c>
      <c r="AJ18" s="229">
        <f t="shared" ref="AJ18:AJ19" si="67">SUM(AH18:AI18)</f>
        <v>0</v>
      </c>
      <c r="AK18" s="226">
        <v>0</v>
      </c>
      <c r="AL18" s="227">
        <v>0</v>
      </c>
      <c r="AM18" s="228">
        <f t="shared" ref="AM18:AM19" si="68">AK18*$D18</f>
        <v>0</v>
      </c>
      <c r="AN18" s="229">
        <f t="shared" ref="AN18:AN19" si="69">SUM(AL18:AM18)</f>
        <v>0</v>
      </c>
      <c r="AO18" s="226">
        <v>0</v>
      </c>
      <c r="AP18" s="227">
        <v>0</v>
      </c>
      <c r="AQ18" s="228">
        <f t="shared" ref="AQ18:AQ19" si="70">AO18*$D18</f>
        <v>0</v>
      </c>
      <c r="AR18" s="229">
        <f t="shared" ref="AR18:AR19" si="71">SUM(AP18:AQ18)</f>
        <v>0</v>
      </c>
      <c r="AS18" s="226">
        <v>0</v>
      </c>
      <c r="AT18" s="227">
        <v>0</v>
      </c>
      <c r="AU18" s="228">
        <f t="shared" ref="AU18:AU19" si="72">AS18*$D18</f>
        <v>0</v>
      </c>
      <c r="AV18" s="229">
        <f t="shared" ref="AV18:AV19" si="73">SUM(AT18:AU18)</f>
        <v>0</v>
      </c>
      <c r="AW18" s="226">
        <v>0</v>
      </c>
      <c r="AX18" s="227">
        <v>0</v>
      </c>
      <c r="AY18" s="228">
        <f t="shared" ref="AY18:AY19" si="74">AW18*$D18</f>
        <v>0</v>
      </c>
      <c r="AZ18" s="229">
        <f t="shared" ref="AZ18:AZ19" si="75">SUM(AX18:AY18)</f>
        <v>0</v>
      </c>
      <c r="BA18" s="230">
        <f>SUM(E18,I18,M18,Q18,U18,Y18,AC18,AG18,AK18,AO18,AS18,AW18)</f>
        <v>26</v>
      </c>
      <c r="BB18" s="227">
        <f t="shared" ref="BB18:BC19" si="76">SUM(AX18,AT18,AP18,AL18,AH18,AD18,Z18,V18,R18,N18,J18,F18)</f>
        <v>20463</v>
      </c>
      <c r="BC18" s="227">
        <f t="shared" si="76"/>
        <v>7436</v>
      </c>
      <c r="BD18" s="231">
        <f t="shared" si="51"/>
        <v>27899</v>
      </c>
    </row>
    <row r="19" spans="1:56" x14ac:dyDescent="0.25">
      <c r="A19" s="225" t="s">
        <v>201</v>
      </c>
      <c r="B19" s="225"/>
      <c r="C19" s="225"/>
      <c r="D19" s="225">
        <v>499</v>
      </c>
      <c r="E19" s="226">
        <v>16</v>
      </c>
      <c r="F19" s="227">
        <v>19130</v>
      </c>
      <c r="G19" s="228">
        <f t="shared" si="52"/>
        <v>7984</v>
      </c>
      <c r="H19" s="229">
        <f t="shared" si="53"/>
        <v>27114</v>
      </c>
      <c r="I19" s="226">
        <v>17</v>
      </c>
      <c r="J19" s="227">
        <v>21074</v>
      </c>
      <c r="K19" s="228">
        <f t="shared" si="54"/>
        <v>8483</v>
      </c>
      <c r="L19" s="229">
        <f t="shared" si="55"/>
        <v>29557</v>
      </c>
      <c r="M19" s="226">
        <v>0</v>
      </c>
      <c r="N19" s="227">
        <v>0</v>
      </c>
      <c r="O19" s="228">
        <f t="shared" si="56"/>
        <v>0</v>
      </c>
      <c r="P19" s="229">
        <f t="shared" si="57"/>
        <v>0</v>
      </c>
      <c r="Q19" s="226">
        <v>0</v>
      </c>
      <c r="R19" s="227">
        <v>0</v>
      </c>
      <c r="S19" s="228">
        <f t="shared" si="58"/>
        <v>0</v>
      </c>
      <c r="T19" s="229">
        <f t="shared" si="59"/>
        <v>0</v>
      </c>
      <c r="U19" s="226">
        <v>0</v>
      </c>
      <c r="V19" s="227">
        <v>0</v>
      </c>
      <c r="W19" s="228">
        <f t="shared" si="60"/>
        <v>0</v>
      </c>
      <c r="X19" s="229">
        <f t="shared" si="61"/>
        <v>0</v>
      </c>
      <c r="Y19" s="226">
        <v>0</v>
      </c>
      <c r="Z19" s="227">
        <v>0</v>
      </c>
      <c r="AA19" s="228">
        <f t="shared" si="62"/>
        <v>0</v>
      </c>
      <c r="AB19" s="229">
        <f t="shared" si="63"/>
        <v>0</v>
      </c>
      <c r="AC19" s="226">
        <v>0</v>
      </c>
      <c r="AD19" s="227">
        <v>0</v>
      </c>
      <c r="AE19" s="228">
        <f t="shared" si="64"/>
        <v>0</v>
      </c>
      <c r="AF19" s="229">
        <f t="shared" si="65"/>
        <v>0</v>
      </c>
      <c r="AG19" s="226">
        <v>0</v>
      </c>
      <c r="AH19" s="227">
        <v>0</v>
      </c>
      <c r="AI19" s="228">
        <f t="shared" si="66"/>
        <v>0</v>
      </c>
      <c r="AJ19" s="229">
        <f t="shared" si="67"/>
        <v>0</v>
      </c>
      <c r="AK19" s="226">
        <v>0</v>
      </c>
      <c r="AL19" s="227">
        <v>0</v>
      </c>
      <c r="AM19" s="228">
        <f t="shared" si="68"/>
        <v>0</v>
      </c>
      <c r="AN19" s="229">
        <f t="shared" si="69"/>
        <v>0</v>
      </c>
      <c r="AO19" s="226">
        <v>0</v>
      </c>
      <c r="AP19" s="227">
        <v>0</v>
      </c>
      <c r="AQ19" s="228">
        <f t="shared" si="70"/>
        <v>0</v>
      </c>
      <c r="AR19" s="229">
        <f t="shared" si="71"/>
        <v>0</v>
      </c>
      <c r="AS19" s="226">
        <v>0</v>
      </c>
      <c r="AT19" s="227">
        <v>0</v>
      </c>
      <c r="AU19" s="228">
        <f t="shared" si="72"/>
        <v>0</v>
      </c>
      <c r="AV19" s="229">
        <f t="shared" si="73"/>
        <v>0</v>
      </c>
      <c r="AW19" s="226">
        <v>0</v>
      </c>
      <c r="AX19" s="227">
        <v>0</v>
      </c>
      <c r="AY19" s="228">
        <f t="shared" si="74"/>
        <v>0</v>
      </c>
      <c r="AZ19" s="229">
        <f t="shared" si="75"/>
        <v>0</v>
      </c>
      <c r="BA19" s="230">
        <f>SUM(E19,I19,M19,Q19,U19,Y19,AC19,AG19,AK19,AO19,AS19,AW19)</f>
        <v>33</v>
      </c>
      <c r="BB19" s="227">
        <f t="shared" si="76"/>
        <v>40204</v>
      </c>
      <c r="BC19" s="227">
        <f t="shared" si="76"/>
        <v>16467</v>
      </c>
      <c r="BD19" s="231">
        <f t="shared" si="51"/>
        <v>56671</v>
      </c>
    </row>
    <row r="20" spans="1:56" x14ac:dyDescent="0.25">
      <c r="A20" s="225"/>
      <c r="B20" s="225"/>
      <c r="C20" s="225"/>
      <c r="D20" s="232"/>
      <c r="E20" s="233"/>
      <c r="F20" s="227"/>
      <c r="G20" s="228"/>
      <c r="H20" s="229"/>
      <c r="I20" s="233"/>
      <c r="J20" s="227"/>
      <c r="K20" s="228"/>
      <c r="L20" s="229"/>
      <c r="M20" s="233"/>
      <c r="N20" s="227"/>
      <c r="O20" s="228"/>
      <c r="P20" s="229"/>
      <c r="Q20" s="233"/>
      <c r="R20" s="227"/>
      <c r="S20" s="228"/>
      <c r="T20" s="229"/>
      <c r="U20" s="234"/>
      <c r="V20" s="227"/>
      <c r="W20" s="228"/>
      <c r="X20" s="229"/>
      <c r="Y20" s="235"/>
      <c r="Z20" s="227"/>
      <c r="AA20" s="228"/>
      <c r="AB20" s="229"/>
      <c r="AC20" s="234"/>
      <c r="AD20" s="227"/>
      <c r="AE20" s="228"/>
      <c r="AF20" s="229"/>
      <c r="AG20" s="234"/>
      <c r="AH20" s="227"/>
      <c r="AI20" s="228"/>
      <c r="AJ20" s="229"/>
      <c r="AK20" s="234"/>
      <c r="AL20" s="227"/>
      <c r="AM20" s="228"/>
      <c r="AN20" s="229"/>
      <c r="AO20" s="234"/>
      <c r="AP20" s="227"/>
      <c r="AQ20" s="228"/>
      <c r="AR20" s="229"/>
      <c r="AS20" s="234"/>
      <c r="AT20" s="227"/>
      <c r="AU20" s="228"/>
      <c r="AV20" s="229"/>
      <c r="AW20" s="233"/>
      <c r="AX20" s="227"/>
      <c r="AY20" s="228"/>
      <c r="AZ20" s="229"/>
      <c r="BA20" s="236"/>
      <c r="BB20" s="227"/>
      <c r="BC20" s="227"/>
      <c r="BD20" s="231"/>
    </row>
    <row r="21" spans="1:56" ht="15.75" thickBot="1" x14ac:dyDescent="0.3">
      <c r="A21" s="225"/>
      <c r="B21" s="225"/>
      <c r="C21" s="225"/>
      <c r="D21" s="232"/>
      <c r="E21" s="233"/>
      <c r="F21" s="227"/>
      <c r="G21" s="228"/>
      <c r="H21" s="229"/>
      <c r="I21" s="233"/>
      <c r="J21" s="227"/>
      <c r="K21" s="228"/>
      <c r="L21" s="229"/>
      <c r="M21" s="233"/>
      <c r="N21" s="227"/>
      <c r="O21" s="228"/>
      <c r="P21" s="229"/>
      <c r="Q21" s="233"/>
      <c r="R21" s="227"/>
      <c r="S21" s="228"/>
      <c r="T21" s="229"/>
      <c r="U21" s="233"/>
      <c r="V21" s="227"/>
      <c r="W21" s="228"/>
      <c r="X21" s="229"/>
      <c r="Y21" s="237"/>
      <c r="Z21" s="227"/>
      <c r="AA21" s="228"/>
      <c r="AB21" s="229"/>
      <c r="AC21" s="233"/>
      <c r="AD21" s="227"/>
      <c r="AE21" s="228"/>
      <c r="AF21" s="229"/>
      <c r="AG21" s="233"/>
      <c r="AH21" s="227"/>
      <c r="AI21" s="228"/>
      <c r="AJ21" s="229"/>
      <c r="AK21" s="233"/>
      <c r="AL21" s="227"/>
      <c r="AM21" s="228"/>
      <c r="AN21" s="229"/>
      <c r="AO21" s="233"/>
      <c r="AP21" s="227"/>
      <c r="AQ21" s="228"/>
      <c r="AR21" s="229"/>
      <c r="AS21" s="233"/>
      <c r="AT21" s="227"/>
      <c r="AU21" s="228"/>
      <c r="AV21" s="229"/>
      <c r="AW21" s="233"/>
      <c r="AX21" s="227"/>
      <c r="AY21" s="228"/>
      <c r="AZ21" s="229"/>
      <c r="BA21" s="236"/>
      <c r="BB21" s="227"/>
      <c r="BC21" s="227"/>
      <c r="BD21" s="231"/>
    </row>
    <row r="22" spans="1:56" ht="15.75" thickTop="1" x14ac:dyDescent="0.25">
      <c r="A22" s="238" t="s">
        <v>112</v>
      </c>
      <c r="B22" s="239"/>
      <c r="C22" s="240"/>
      <c r="D22" s="241"/>
      <c r="E22" s="242"/>
      <c r="F22" s="243">
        <f>SUM(F17:F19)</f>
        <v>157859.84000000003</v>
      </c>
      <c r="G22" s="243">
        <f>SUM(G17:G19)</f>
        <v>236150</v>
      </c>
      <c r="H22" s="243">
        <f>SUM(H17:H19)</f>
        <v>394009.84</v>
      </c>
      <c r="I22" s="244"/>
      <c r="J22" s="243">
        <f>SUM(J17:J19)</f>
        <v>49093.070000000007</v>
      </c>
      <c r="K22" s="243">
        <f>SUM(K17:K19)</f>
        <v>56585</v>
      </c>
      <c r="L22" s="243">
        <f>SUM(L17:L19)</f>
        <v>105678.07</v>
      </c>
      <c r="M22" s="244"/>
      <c r="N22" s="243">
        <f>SUM(N17:N19)</f>
        <v>0</v>
      </c>
      <c r="O22" s="243">
        <f>SUM(O17:O19)</f>
        <v>0</v>
      </c>
      <c r="P22" s="243">
        <f>SUM(P17:P19)</f>
        <v>0</v>
      </c>
      <c r="Q22" s="244"/>
      <c r="R22" s="243">
        <f>SUM(R17:R19)</f>
        <v>0</v>
      </c>
      <c r="S22" s="243">
        <f>SUM(S17:S19)</f>
        <v>0</v>
      </c>
      <c r="T22" s="243">
        <f>SUM(T17:T19)</f>
        <v>0</v>
      </c>
      <c r="U22" s="244"/>
      <c r="V22" s="243">
        <f>SUM(V17:V19)</f>
        <v>0</v>
      </c>
      <c r="W22" s="243">
        <f>SUM(W17:W19)</f>
        <v>0</v>
      </c>
      <c r="X22" s="243">
        <f>SUM(X17:X19)</f>
        <v>0</v>
      </c>
      <c r="Y22" s="250"/>
      <c r="Z22" s="243">
        <f>SUM(Z17:Z19)</f>
        <v>0</v>
      </c>
      <c r="AA22" s="243">
        <f>SUM(AA17:AA19)</f>
        <v>0</v>
      </c>
      <c r="AB22" s="243">
        <f>SUM(AB17:AB19)</f>
        <v>0</v>
      </c>
      <c r="AC22" s="244"/>
      <c r="AD22" s="243">
        <f>SUM(AD17:AD19)</f>
        <v>0</v>
      </c>
      <c r="AE22" s="243">
        <f>SUM(AE17:AE19)</f>
        <v>0</v>
      </c>
      <c r="AF22" s="243">
        <f>SUM(AF17:AF19)</f>
        <v>0</v>
      </c>
      <c r="AG22" s="244"/>
      <c r="AH22" s="243">
        <f>SUM(AH17:AH19)</f>
        <v>0</v>
      </c>
      <c r="AI22" s="243">
        <f>SUM(AI17:AI19)</f>
        <v>0</v>
      </c>
      <c r="AJ22" s="243">
        <f>SUM(AJ17:AJ19)</f>
        <v>0</v>
      </c>
      <c r="AK22" s="244"/>
      <c r="AL22" s="243">
        <f>SUM(AL17:AL19)</f>
        <v>0</v>
      </c>
      <c r="AM22" s="243">
        <f>SUM(AM17:AM19)</f>
        <v>0</v>
      </c>
      <c r="AN22" s="243">
        <f>SUM(AN17:AN19)</f>
        <v>0</v>
      </c>
      <c r="AO22" s="244"/>
      <c r="AP22" s="243">
        <f>SUM(AP17:AP19)</f>
        <v>0</v>
      </c>
      <c r="AQ22" s="243">
        <f>SUM(AQ17:AQ19)</f>
        <v>0</v>
      </c>
      <c r="AR22" s="243">
        <f>SUM(AR17:AR19)</f>
        <v>0</v>
      </c>
      <c r="AS22" s="244"/>
      <c r="AT22" s="243">
        <f>SUM(AT17:AT19)</f>
        <v>0</v>
      </c>
      <c r="AU22" s="243">
        <f>SUM(AU17:AU19)</f>
        <v>0</v>
      </c>
      <c r="AV22" s="243">
        <f>SUM(AV17:AV19)</f>
        <v>0</v>
      </c>
      <c r="AW22" s="244"/>
      <c r="AX22" s="243">
        <f>SUM(AX17:AX19)</f>
        <v>0</v>
      </c>
      <c r="AY22" s="243">
        <f>SUM(AY17:AY19)</f>
        <v>0</v>
      </c>
      <c r="AZ22" s="243">
        <f>SUM(AZ17:AZ19)</f>
        <v>0</v>
      </c>
      <c r="BA22" s="246"/>
      <c r="BB22" s="243">
        <f>SUM(BB17:BB19)</f>
        <v>206952.91</v>
      </c>
      <c r="BC22" s="243">
        <f>SUM(BC17:BC19)</f>
        <v>292735</v>
      </c>
      <c r="BD22" s="243">
        <f>SUM(BD17:BD19)</f>
        <v>499687.91000000003</v>
      </c>
    </row>
    <row r="23" spans="1:56" x14ac:dyDescent="0.25">
      <c r="Q23" s="7"/>
      <c r="U23" s="7"/>
      <c r="AC23" s="7"/>
      <c r="AG23" s="7"/>
      <c r="AK23" s="7"/>
      <c r="AO23" s="7"/>
    </row>
    <row r="24" spans="1:56" x14ac:dyDescent="0.25">
      <c r="A24" s="331" t="s">
        <v>209</v>
      </c>
      <c r="B24" s="331"/>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row>
    <row r="25" spans="1:56" x14ac:dyDescent="0.25">
      <c r="A25" s="204"/>
      <c r="B25" s="205">
        <v>2026</v>
      </c>
      <c r="C25" s="206">
        <v>2026</v>
      </c>
      <c r="D25" s="207">
        <v>2026</v>
      </c>
      <c r="E25" s="326" t="s">
        <v>90</v>
      </c>
      <c r="F25" s="329"/>
      <c r="G25" s="330"/>
      <c r="H25" s="327"/>
      <c r="I25" s="326" t="s">
        <v>91</v>
      </c>
      <c r="J25" s="329"/>
      <c r="K25" s="330"/>
      <c r="L25" s="327"/>
      <c r="M25" s="326" t="s">
        <v>92</v>
      </c>
      <c r="N25" s="329"/>
      <c r="O25" s="330"/>
      <c r="P25" s="327"/>
      <c r="Q25" s="326" t="s">
        <v>93</v>
      </c>
      <c r="R25" s="329"/>
      <c r="S25" s="330"/>
      <c r="T25" s="327"/>
      <c r="U25" s="326" t="s">
        <v>94</v>
      </c>
      <c r="V25" s="329"/>
      <c r="W25" s="330"/>
      <c r="X25" s="327"/>
      <c r="Y25" s="326" t="s">
        <v>95</v>
      </c>
      <c r="Z25" s="329"/>
      <c r="AA25" s="330"/>
      <c r="AB25" s="327"/>
      <c r="AC25" s="326" t="s">
        <v>96</v>
      </c>
      <c r="AD25" s="329"/>
      <c r="AE25" s="330"/>
      <c r="AF25" s="327"/>
      <c r="AG25" s="326" t="s">
        <v>97</v>
      </c>
      <c r="AH25" s="329"/>
      <c r="AI25" s="330"/>
      <c r="AJ25" s="327"/>
      <c r="AK25" s="326" t="s">
        <v>98</v>
      </c>
      <c r="AL25" s="329"/>
      <c r="AM25" s="330"/>
      <c r="AN25" s="327"/>
      <c r="AO25" s="326" t="s">
        <v>99</v>
      </c>
      <c r="AP25" s="329"/>
      <c r="AQ25" s="330"/>
      <c r="AR25" s="327"/>
      <c r="AS25" s="326" t="s">
        <v>100</v>
      </c>
      <c r="AT25" s="329"/>
      <c r="AU25" s="330"/>
      <c r="AV25" s="327"/>
      <c r="AW25" s="326" t="s">
        <v>101</v>
      </c>
      <c r="AX25" s="329"/>
      <c r="AY25" s="330"/>
      <c r="AZ25" s="327"/>
      <c r="BA25" s="326" t="s">
        <v>102</v>
      </c>
      <c r="BB25" s="324"/>
      <c r="BC25" s="324"/>
      <c r="BD25" s="327"/>
    </row>
    <row r="26" spans="1:56" ht="30" customHeight="1" x14ac:dyDescent="0.25">
      <c r="A26" s="209" t="s">
        <v>204</v>
      </c>
      <c r="B26" s="210" t="s">
        <v>106</v>
      </c>
      <c r="C26" s="211" t="s">
        <v>205</v>
      </c>
      <c r="D26" s="211" t="s">
        <v>108</v>
      </c>
      <c r="E26" s="212" t="s">
        <v>109</v>
      </c>
      <c r="F26" s="213" t="s">
        <v>110</v>
      </c>
      <c r="G26" s="214" t="s">
        <v>111</v>
      </c>
      <c r="H26" s="215" t="s">
        <v>112</v>
      </c>
      <c r="I26" s="212" t="s">
        <v>109</v>
      </c>
      <c r="J26" s="213" t="s">
        <v>110</v>
      </c>
      <c r="K26" s="214" t="s">
        <v>111</v>
      </c>
      <c r="L26" s="215" t="s">
        <v>112</v>
      </c>
      <c r="M26" s="212" t="s">
        <v>109</v>
      </c>
      <c r="N26" s="213" t="s">
        <v>110</v>
      </c>
      <c r="O26" s="214" t="s">
        <v>111</v>
      </c>
      <c r="P26" s="215" t="s">
        <v>112</v>
      </c>
      <c r="Q26" s="212" t="s">
        <v>109</v>
      </c>
      <c r="R26" s="213" t="s">
        <v>110</v>
      </c>
      <c r="S26" s="214" t="s">
        <v>111</v>
      </c>
      <c r="T26" s="215" t="s">
        <v>112</v>
      </c>
      <c r="U26" s="212" t="s">
        <v>109</v>
      </c>
      <c r="V26" s="213" t="s">
        <v>110</v>
      </c>
      <c r="W26" s="214" t="s">
        <v>111</v>
      </c>
      <c r="X26" s="215" t="s">
        <v>112</v>
      </c>
      <c r="Y26" s="209" t="s">
        <v>109</v>
      </c>
      <c r="Z26" s="213" t="s">
        <v>110</v>
      </c>
      <c r="AA26" s="214" t="s">
        <v>111</v>
      </c>
      <c r="AB26" s="215" t="s">
        <v>112</v>
      </c>
      <c r="AC26" s="212" t="s">
        <v>109</v>
      </c>
      <c r="AD26" s="213" t="s">
        <v>110</v>
      </c>
      <c r="AE26" s="214" t="s">
        <v>111</v>
      </c>
      <c r="AF26" s="215" t="s">
        <v>112</v>
      </c>
      <c r="AG26" s="212" t="s">
        <v>109</v>
      </c>
      <c r="AH26" s="213" t="s">
        <v>110</v>
      </c>
      <c r="AI26" s="214" t="s">
        <v>111</v>
      </c>
      <c r="AJ26" s="215" t="s">
        <v>112</v>
      </c>
      <c r="AK26" s="212" t="s">
        <v>109</v>
      </c>
      <c r="AL26" s="213" t="s">
        <v>110</v>
      </c>
      <c r="AM26" s="214" t="s">
        <v>111</v>
      </c>
      <c r="AN26" s="215" t="s">
        <v>112</v>
      </c>
      <c r="AO26" s="212" t="s">
        <v>109</v>
      </c>
      <c r="AP26" s="213" t="s">
        <v>110</v>
      </c>
      <c r="AQ26" s="214" t="s">
        <v>111</v>
      </c>
      <c r="AR26" s="215" t="s">
        <v>112</v>
      </c>
      <c r="AS26" s="212" t="s">
        <v>109</v>
      </c>
      <c r="AT26" s="213" t="s">
        <v>110</v>
      </c>
      <c r="AU26" s="214" t="s">
        <v>111</v>
      </c>
      <c r="AV26" s="215" t="s">
        <v>112</v>
      </c>
      <c r="AW26" s="212" t="s">
        <v>109</v>
      </c>
      <c r="AX26" s="213" t="s">
        <v>110</v>
      </c>
      <c r="AY26" s="214" t="s">
        <v>111</v>
      </c>
      <c r="AZ26" s="215" t="s">
        <v>112</v>
      </c>
      <c r="BA26" s="216" t="s">
        <v>109</v>
      </c>
      <c r="BB26" s="213" t="s">
        <v>110</v>
      </c>
      <c r="BC26" s="214" t="s">
        <v>108</v>
      </c>
      <c r="BD26" s="217" t="s">
        <v>113</v>
      </c>
    </row>
    <row r="27" spans="1:56" x14ac:dyDescent="0.25">
      <c r="A27" s="218" t="s">
        <v>199</v>
      </c>
      <c r="B27" s="218"/>
      <c r="C27" s="218"/>
      <c r="D27" s="218">
        <v>124</v>
      </c>
      <c r="E27" s="219">
        <v>0</v>
      </c>
      <c r="F27" s="222">
        <v>0</v>
      </c>
      <c r="G27" s="220">
        <f>E27*$D27</f>
        <v>0</v>
      </c>
      <c r="H27" s="221">
        <f>SUM(F27:G27)</f>
        <v>0</v>
      </c>
      <c r="I27" s="219">
        <v>0</v>
      </c>
      <c r="J27" s="222">
        <v>0</v>
      </c>
      <c r="K27" s="220">
        <f>I27*$D27</f>
        <v>0</v>
      </c>
      <c r="L27" s="221">
        <f>SUM(J27:K27)</f>
        <v>0</v>
      </c>
      <c r="M27" s="219">
        <v>1424</v>
      </c>
      <c r="N27" s="222">
        <v>93277.480000000025</v>
      </c>
      <c r="O27" s="220">
        <f>M27*$D27</f>
        <v>176576</v>
      </c>
      <c r="P27" s="221">
        <f>SUM(N27:O27)</f>
        <v>269853.48000000004</v>
      </c>
      <c r="Q27" s="219">
        <v>1207</v>
      </c>
      <c r="R27" s="222">
        <v>38218.39</v>
      </c>
      <c r="S27" s="220">
        <f>Q27*$D27</f>
        <v>149668</v>
      </c>
      <c r="T27" s="221">
        <f>SUM(R27:S27)</f>
        <v>187886.39</v>
      </c>
      <c r="U27" s="219">
        <v>724</v>
      </c>
      <c r="V27" s="222">
        <v>22950.799999999999</v>
      </c>
      <c r="W27" s="220">
        <f>U27*$D27</f>
        <v>89776</v>
      </c>
      <c r="X27" s="221">
        <f>SUM(V27:W27)</f>
        <v>112726.8</v>
      </c>
      <c r="Y27" s="219">
        <v>397</v>
      </c>
      <c r="Z27" s="222">
        <v>13358.66</v>
      </c>
      <c r="AA27" s="220">
        <f>Y27*$D27</f>
        <v>49228</v>
      </c>
      <c r="AB27" s="221">
        <f>SUM(Z27:AA27)</f>
        <v>62586.66</v>
      </c>
      <c r="AC27" s="219">
        <v>236</v>
      </c>
      <c r="AD27" s="222">
        <v>12239.64</v>
      </c>
      <c r="AE27" s="220">
        <f>AC27*$D27</f>
        <v>29264</v>
      </c>
      <c r="AF27" s="221">
        <f>SUM(AD27:AE27)</f>
        <v>41503.64</v>
      </c>
      <c r="AG27" s="219">
        <v>1047</v>
      </c>
      <c r="AH27" s="222">
        <v>103998.51</v>
      </c>
      <c r="AI27" s="220">
        <f>AG27*$D27</f>
        <v>129828</v>
      </c>
      <c r="AJ27" s="221">
        <f>SUM(AH27:AI27)</f>
        <v>233826.51</v>
      </c>
      <c r="AK27" s="219">
        <v>1764</v>
      </c>
      <c r="AL27" s="222">
        <v>175218.12</v>
      </c>
      <c r="AM27" s="220">
        <f>AK27*$D27</f>
        <v>218736</v>
      </c>
      <c r="AN27" s="221">
        <f>SUM(AL27:AM27)</f>
        <v>393954.12</v>
      </c>
      <c r="AO27" s="219">
        <v>585</v>
      </c>
      <c r="AP27" s="222">
        <v>58108.049999999996</v>
      </c>
      <c r="AQ27" s="220">
        <f>AO27*$D27</f>
        <v>72540</v>
      </c>
      <c r="AR27" s="221">
        <f>SUM(AP27:AQ27)</f>
        <v>130648.04999999999</v>
      </c>
      <c r="AS27" s="219">
        <v>2106</v>
      </c>
      <c r="AT27" s="222">
        <v>209188.98</v>
      </c>
      <c r="AU27" s="220">
        <f>AS27*$D27</f>
        <v>261144</v>
      </c>
      <c r="AV27" s="221">
        <f>SUM(AT27:AU27)</f>
        <v>470332.98</v>
      </c>
      <c r="AW27" s="219">
        <v>2420</v>
      </c>
      <c r="AX27" s="222">
        <v>240378.6</v>
      </c>
      <c r="AY27" s="220">
        <f>AW27*$D27</f>
        <v>300080</v>
      </c>
      <c r="AZ27" s="221">
        <f>SUM(AX27:AY27)</f>
        <v>540458.6</v>
      </c>
      <c r="BA27" s="223">
        <f>SUM(E27,I27,M27,Q27,U27,Y27,AC27,AG27,AK27,AO27,AS27,AW27)</f>
        <v>11910</v>
      </c>
      <c r="BB27" s="222">
        <f>SUM(AX27,AT27,AP27,AL27,AH27,AD27,Z27,V27,R27,N27,J27,F27)</f>
        <v>966937.2300000001</v>
      </c>
      <c r="BC27" s="222">
        <f>SUM(AY27,AU27,AQ27,AM27,AI27,AE27,AA27,W27,S27,O27,K27,G27)</f>
        <v>1476840</v>
      </c>
      <c r="BD27" s="224">
        <f t="shared" ref="BD27:BD29" si="77">SUM(H27,L27,P27,T27,X27,AB27,AF27,AJ27,AN27,AR27,AV27,AZ27)</f>
        <v>2443777.23</v>
      </c>
    </row>
    <row r="28" spans="1:56" x14ac:dyDescent="0.25">
      <c r="A28" s="225" t="s">
        <v>200</v>
      </c>
      <c r="B28" s="225"/>
      <c r="C28" s="225"/>
      <c r="D28" s="225">
        <v>286</v>
      </c>
      <c r="E28" s="226">
        <v>0</v>
      </c>
      <c r="F28" s="227">
        <v>0</v>
      </c>
      <c r="G28" s="228">
        <f t="shared" ref="G28:G29" si="78">E28*$D28</f>
        <v>0</v>
      </c>
      <c r="H28" s="229">
        <f t="shared" ref="H28:H29" si="79">SUM(F28:G28)</f>
        <v>0</v>
      </c>
      <c r="I28" s="226">
        <v>0</v>
      </c>
      <c r="J28" s="227">
        <v>0</v>
      </c>
      <c r="K28" s="228">
        <f t="shared" ref="K28:K29" si="80">I28*$D28</f>
        <v>0</v>
      </c>
      <c r="L28" s="229">
        <f t="shared" ref="L28:L29" si="81">SUM(J28:K28)</f>
        <v>0</v>
      </c>
      <c r="M28" s="226">
        <v>36</v>
      </c>
      <c r="N28" s="227">
        <v>24636</v>
      </c>
      <c r="O28" s="228">
        <f t="shared" ref="O28:O29" si="82">M28*$D28</f>
        <v>10296</v>
      </c>
      <c r="P28" s="229">
        <f t="shared" ref="P28:P29" si="83">SUM(N28:O28)</f>
        <v>34932</v>
      </c>
      <c r="Q28" s="226">
        <v>42</v>
      </c>
      <c r="R28" s="227">
        <v>29092</v>
      </c>
      <c r="S28" s="228">
        <f t="shared" ref="S28:S29" si="84">Q28*$D28</f>
        <v>12012</v>
      </c>
      <c r="T28" s="229">
        <f t="shared" ref="T28:T29" si="85">SUM(R28:S28)</f>
        <v>41104</v>
      </c>
      <c r="U28" s="226">
        <v>7</v>
      </c>
      <c r="V28" s="227">
        <v>9110</v>
      </c>
      <c r="W28" s="228">
        <f t="shared" ref="W28:W29" si="86">U28*$D28</f>
        <v>2002</v>
      </c>
      <c r="X28" s="229">
        <f t="shared" ref="X28:X29" si="87">SUM(V28:W28)</f>
        <v>11112</v>
      </c>
      <c r="Y28" s="226">
        <v>25</v>
      </c>
      <c r="Z28" s="227">
        <v>29300</v>
      </c>
      <c r="AA28" s="228">
        <f t="shared" ref="AA28:AA29" si="88">Y28*$D28</f>
        <v>7150</v>
      </c>
      <c r="AB28" s="229">
        <f t="shared" ref="AB28:AB29" si="89">SUM(Z28:AA28)</f>
        <v>36450</v>
      </c>
      <c r="AC28" s="226">
        <v>47</v>
      </c>
      <c r="AD28" s="227">
        <v>55084</v>
      </c>
      <c r="AE28" s="228">
        <f t="shared" ref="AE28:AE29" si="90">AC28*$D28</f>
        <v>13442</v>
      </c>
      <c r="AF28" s="229">
        <f t="shared" ref="AF28:AF29" si="91">SUM(AD28:AE28)</f>
        <v>68526</v>
      </c>
      <c r="AG28" s="226">
        <v>10</v>
      </c>
      <c r="AH28" s="227">
        <v>11720</v>
      </c>
      <c r="AI28" s="228">
        <f t="shared" ref="AI28:AI29" si="92">AG28*$D28</f>
        <v>2860</v>
      </c>
      <c r="AJ28" s="229">
        <f t="shared" ref="AJ28:AJ29" si="93">SUM(AH28:AI28)</f>
        <v>14580</v>
      </c>
      <c r="AK28" s="226">
        <v>19</v>
      </c>
      <c r="AL28" s="227">
        <v>22268</v>
      </c>
      <c r="AM28" s="228">
        <f t="shared" ref="AM28:AM29" si="94">AK28*$D28</f>
        <v>5434</v>
      </c>
      <c r="AN28" s="229">
        <f t="shared" ref="AN28:AN29" si="95">SUM(AL28:AM28)</f>
        <v>27702</v>
      </c>
      <c r="AO28" s="226">
        <v>20</v>
      </c>
      <c r="AP28" s="227">
        <v>23440</v>
      </c>
      <c r="AQ28" s="228">
        <f t="shared" ref="AQ28:AQ29" si="96">AO28*$D28</f>
        <v>5720</v>
      </c>
      <c r="AR28" s="229">
        <f t="shared" ref="AR28:AR29" si="97">SUM(AP28:AQ28)</f>
        <v>29160</v>
      </c>
      <c r="AS28" s="226">
        <v>54</v>
      </c>
      <c r="AT28" s="227">
        <v>63288</v>
      </c>
      <c r="AU28" s="228">
        <f t="shared" ref="AU28:AU29" si="98">AS28*$D28</f>
        <v>15444</v>
      </c>
      <c r="AV28" s="229">
        <f t="shared" ref="AV28:AV29" si="99">SUM(AT28:AU28)</f>
        <v>78732</v>
      </c>
      <c r="AW28" s="226">
        <v>6</v>
      </c>
      <c r="AX28" s="227">
        <v>7032</v>
      </c>
      <c r="AY28" s="228">
        <f t="shared" ref="AY28:AY29" si="100">AW28*$D28</f>
        <v>1716</v>
      </c>
      <c r="AZ28" s="229">
        <f t="shared" ref="AZ28:AZ29" si="101">SUM(AX28:AY28)</f>
        <v>8748</v>
      </c>
      <c r="BA28" s="230">
        <f>SUM(E28,I28,M28,Q28,U28,Y28,AC28,AG28,AK28,AO28,AS28,AW28)</f>
        <v>266</v>
      </c>
      <c r="BB28" s="227">
        <f t="shared" ref="BB28:BC29" si="102">SUM(AX28,AT28,AP28,AL28,AH28,AD28,Z28,V28,R28,N28,J28,F28)</f>
        <v>274970</v>
      </c>
      <c r="BC28" s="227">
        <f t="shared" si="102"/>
        <v>76076</v>
      </c>
      <c r="BD28" s="231">
        <f t="shared" si="77"/>
        <v>351046</v>
      </c>
    </row>
    <row r="29" spans="1:56" x14ac:dyDescent="0.25">
      <c r="A29" s="225" t="s">
        <v>201</v>
      </c>
      <c r="B29" s="225"/>
      <c r="C29" s="225"/>
      <c r="D29" s="225">
        <v>499</v>
      </c>
      <c r="E29" s="226">
        <v>0</v>
      </c>
      <c r="F29" s="227">
        <v>0</v>
      </c>
      <c r="G29" s="228">
        <f t="shared" si="78"/>
        <v>0</v>
      </c>
      <c r="H29" s="229">
        <f t="shared" si="79"/>
        <v>0</v>
      </c>
      <c r="I29" s="226">
        <v>0</v>
      </c>
      <c r="J29" s="227">
        <v>0</v>
      </c>
      <c r="K29" s="228">
        <f t="shared" si="80"/>
        <v>0</v>
      </c>
      <c r="L29" s="229">
        <f t="shared" si="81"/>
        <v>0</v>
      </c>
      <c r="M29" s="226">
        <v>30</v>
      </c>
      <c r="N29" s="227">
        <v>27387</v>
      </c>
      <c r="O29" s="228">
        <f t="shared" si="82"/>
        <v>14970</v>
      </c>
      <c r="P29" s="229">
        <f t="shared" si="83"/>
        <v>42357</v>
      </c>
      <c r="Q29" s="226">
        <v>75</v>
      </c>
      <c r="R29" s="227">
        <v>112240</v>
      </c>
      <c r="S29" s="228">
        <f t="shared" si="84"/>
        <v>37425</v>
      </c>
      <c r="T29" s="229">
        <f t="shared" si="85"/>
        <v>149665</v>
      </c>
      <c r="U29" s="226">
        <v>9</v>
      </c>
      <c r="V29" s="227">
        <v>16666</v>
      </c>
      <c r="W29" s="228">
        <f t="shared" si="86"/>
        <v>4491</v>
      </c>
      <c r="X29" s="229">
        <f t="shared" si="87"/>
        <v>21157</v>
      </c>
      <c r="Y29" s="226">
        <v>25</v>
      </c>
      <c r="Z29" s="227">
        <v>27697</v>
      </c>
      <c r="AA29" s="228">
        <f t="shared" si="88"/>
        <v>12475</v>
      </c>
      <c r="AB29" s="229">
        <f t="shared" si="89"/>
        <v>40172</v>
      </c>
      <c r="AC29" s="226">
        <v>48</v>
      </c>
      <c r="AD29" s="227">
        <v>38784</v>
      </c>
      <c r="AE29" s="228">
        <f t="shared" si="90"/>
        <v>23952</v>
      </c>
      <c r="AF29" s="229">
        <f t="shared" si="91"/>
        <v>62736</v>
      </c>
      <c r="AG29" s="226">
        <v>55</v>
      </c>
      <c r="AH29" s="227">
        <v>44440</v>
      </c>
      <c r="AI29" s="228">
        <f t="shared" si="92"/>
        <v>27445</v>
      </c>
      <c r="AJ29" s="229">
        <f t="shared" si="93"/>
        <v>71885</v>
      </c>
      <c r="AK29" s="226">
        <v>14</v>
      </c>
      <c r="AL29" s="227">
        <v>11312</v>
      </c>
      <c r="AM29" s="228">
        <f t="shared" si="94"/>
        <v>6986</v>
      </c>
      <c r="AN29" s="229">
        <f t="shared" si="95"/>
        <v>18298</v>
      </c>
      <c r="AO29" s="226">
        <v>26</v>
      </c>
      <c r="AP29" s="227">
        <v>21008</v>
      </c>
      <c r="AQ29" s="228">
        <f t="shared" si="96"/>
        <v>12974</v>
      </c>
      <c r="AR29" s="229">
        <f t="shared" si="97"/>
        <v>33982</v>
      </c>
      <c r="AS29" s="226">
        <v>59</v>
      </c>
      <c r="AT29" s="227">
        <v>47672</v>
      </c>
      <c r="AU29" s="228">
        <f t="shared" si="98"/>
        <v>29441</v>
      </c>
      <c r="AV29" s="229">
        <f t="shared" si="99"/>
        <v>77113</v>
      </c>
      <c r="AW29" s="226">
        <v>0</v>
      </c>
      <c r="AX29" s="227">
        <v>0</v>
      </c>
      <c r="AY29" s="228">
        <f t="shared" si="100"/>
        <v>0</v>
      </c>
      <c r="AZ29" s="229">
        <f t="shared" si="101"/>
        <v>0</v>
      </c>
      <c r="BA29" s="230">
        <f>SUM(E29,I29,M29,Q29,U29,Y29,AC29,AG29,AK29,AO29,AS29,AW29)</f>
        <v>341</v>
      </c>
      <c r="BB29" s="227">
        <f t="shared" si="102"/>
        <v>347206</v>
      </c>
      <c r="BC29" s="227">
        <f t="shared" si="102"/>
        <v>170159</v>
      </c>
      <c r="BD29" s="231">
        <f t="shared" si="77"/>
        <v>517365</v>
      </c>
    </row>
    <row r="30" spans="1:56" x14ac:dyDescent="0.25">
      <c r="A30" s="225"/>
      <c r="B30" s="225"/>
      <c r="C30" s="225"/>
      <c r="D30" s="232"/>
      <c r="E30" s="233"/>
      <c r="F30" s="227"/>
      <c r="G30" s="228"/>
      <c r="H30" s="229"/>
      <c r="I30" s="233"/>
      <c r="J30" s="227"/>
      <c r="K30" s="228"/>
      <c r="L30" s="229"/>
      <c r="M30" s="233"/>
      <c r="N30" s="227"/>
      <c r="O30" s="228"/>
      <c r="P30" s="229"/>
      <c r="Q30" s="233"/>
      <c r="R30" s="227"/>
      <c r="S30" s="228"/>
      <c r="T30" s="229"/>
      <c r="U30" s="234"/>
      <c r="V30" s="227"/>
      <c r="W30" s="228"/>
      <c r="X30" s="229"/>
      <c r="Y30" s="235"/>
      <c r="Z30" s="227"/>
      <c r="AA30" s="228"/>
      <c r="AB30" s="229"/>
      <c r="AC30" s="234"/>
      <c r="AD30" s="227"/>
      <c r="AE30" s="228"/>
      <c r="AF30" s="229"/>
      <c r="AG30" s="234"/>
      <c r="AH30" s="227"/>
      <c r="AI30" s="228"/>
      <c r="AJ30" s="229"/>
      <c r="AK30" s="234"/>
      <c r="AL30" s="227"/>
      <c r="AM30" s="228"/>
      <c r="AN30" s="229"/>
      <c r="AO30" s="234"/>
      <c r="AP30" s="227"/>
      <c r="AQ30" s="228"/>
      <c r="AR30" s="229"/>
      <c r="AS30" s="234"/>
      <c r="AT30" s="227"/>
      <c r="AU30" s="228"/>
      <c r="AV30" s="229"/>
      <c r="AW30" s="233"/>
      <c r="AX30" s="227"/>
      <c r="AY30" s="228"/>
      <c r="AZ30" s="229"/>
      <c r="BA30" s="236"/>
      <c r="BB30" s="227"/>
      <c r="BC30" s="227"/>
      <c r="BD30" s="231"/>
    </row>
    <row r="31" spans="1:56" ht="15.75" thickBot="1" x14ac:dyDescent="0.3">
      <c r="A31" s="225"/>
      <c r="B31" s="225"/>
      <c r="C31" s="225"/>
      <c r="D31" s="232"/>
      <c r="E31" s="233"/>
      <c r="F31" s="227"/>
      <c r="G31" s="228"/>
      <c r="H31" s="229"/>
      <c r="I31" s="233"/>
      <c r="J31" s="227"/>
      <c r="K31" s="228"/>
      <c r="L31" s="229"/>
      <c r="M31" s="233"/>
      <c r="N31" s="227"/>
      <c r="O31" s="228"/>
      <c r="P31" s="229"/>
      <c r="Q31" s="233"/>
      <c r="R31" s="227"/>
      <c r="S31" s="228"/>
      <c r="T31" s="229"/>
      <c r="U31" s="233"/>
      <c r="V31" s="227"/>
      <c r="W31" s="228"/>
      <c r="X31" s="229"/>
      <c r="Y31" s="237"/>
      <c r="Z31" s="227"/>
      <c r="AA31" s="228"/>
      <c r="AB31" s="229"/>
      <c r="AC31" s="233"/>
      <c r="AD31" s="227"/>
      <c r="AE31" s="228"/>
      <c r="AF31" s="229"/>
      <c r="AG31" s="233"/>
      <c r="AH31" s="227"/>
      <c r="AI31" s="228"/>
      <c r="AJ31" s="229"/>
      <c r="AK31" s="233"/>
      <c r="AL31" s="227"/>
      <c r="AM31" s="228"/>
      <c r="AN31" s="229"/>
      <c r="AO31" s="233"/>
      <c r="AP31" s="227"/>
      <c r="AQ31" s="228"/>
      <c r="AR31" s="229"/>
      <c r="AS31" s="233"/>
      <c r="AT31" s="227"/>
      <c r="AU31" s="228"/>
      <c r="AV31" s="229"/>
      <c r="AW31" s="233"/>
      <c r="AX31" s="227"/>
      <c r="AY31" s="228"/>
      <c r="AZ31" s="229"/>
      <c r="BA31" s="236"/>
      <c r="BB31" s="227"/>
      <c r="BC31" s="227"/>
      <c r="BD31" s="231"/>
    </row>
    <row r="32" spans="1:56" ht="15.75" thickTop="1" x14ac:dyDescent="0.25">
      <c r="A32" s="238" t="s">
        <v>112</v>
      </c>
      <c r="B32" s="239"/>
      <c r="C32" s="240"/>
      <c r="D32" s="241"/>
      <c r="E32" s="242"/>
      <c r="F32" s="243">
        <f>SUM(F27:F29)</f>
        <v>0</v>
      </c>
      <c r="G32" s="243">
        <f>SUM(G27:G29)</f>
        <v>0</v>
      </c>
      <c r="H32" s="243">
        <f>SUM(H27:H29)</f>
        <v>0</v>
      </c>
      <c r="I32" s="244"/>
      <c r="J32" s="243">
        <f>SUM(J27:J29)</f>
        <v>0</v>
      </c>
      <c r="K32" s="243">
        <f>SUM(K27:K29)</f>
        <v>0</v>
      </c>
      <c r="L32" s="243">
        <f>SUM(L27:L29)</f>
        <v>0</v>
      </c>
      <c r="M32" s="244"/>
      <c r="N32" s="243">
        <f>SUM(N27:N29)</f>
        <v>145300.48000000004</v>
      </c>
      <c r="O32" s="243">
        <f>SUM(O27:O29)</f>
        <v>201842</v>
      </c>
      <c r="P32" s="243">
        <f>SUM(P27:P29)</f>
        <v>347142.48000000004</v>
      </c>
      <c r="Q32" s="244"/>
      <c r="R32" s="243">
        <f>SUM(R27:R29)</f>
        <v>179550.39</v>
      </c>
      <c r="S32" s="243">
        <f>SUM(S27:S29)</f>
        <v>199105</v>
      </c>
      <c r="T32" s="243">
        <f>SUM(T27:T29)</f>
        <v>378655.39</v>
      </c>
      <c r="U32" s="244"/>
      <c r="V32" s="243">
        <f>SUM(V27:V29)</f>
        <v>48726.8</v>
      </c>
      <c r="W32" s="243">
        <f>SUM(W27:W29)</f>
        <v>96269</v>
      </c>
      <c r="X32" s="243">
        <f>SUM(X27:X29)</f>
        <v>144995.79999999999</v>
      </c>
      <c r="Y32" s="250"/>
      <c r="Z32" s="243">
        <f>SUM(Z27:Z29)</f>
        <v>70355.66</v>
      </c>
      <c r="AA32" s="243">
        <f>SUM(AA27:AA29)</f>
        <v>68853</v>
      </c>
      <c r="AB32" s="243">
        <f>SUM(AB27:AB29)</f>
        <v>139208.66</v>
      </c>
      <c r="AC32" s="244"/>
      <c r="AD32" s="243">
        <f>SUM(AD27:AD29)</f>
        <v>106107.64</v>
      </c>
      <c r="AE32" s="243">
        <f>SUM(AE27:AE29)</f>
        <v>66658</v>
      </c>
      <c r="AF32" s="243">
        <f>SUM(AF27:AF29)</f>
        <v>172765.64</v>
      </c>
      <c r="AG32" s="244"/>
      <c r="AH32" s="243">
        <f>SUM(AH27:AH29)</f>
        <v>160158.51</v>
      </c>
      <c r="AI32" s="243">
        <f>SUM(AI27:AI29)</f>
        <v>160133</v>
      </c>
      <c r="AJ32" s="243">
        <f>SUM(AJ27:AJ29)</f>
        <v>320291.51</v>
      </c>
      <c r="AK32" s="244"/>
      <c r="AL32" s="243">
        <f>SUM(AL27:AL29)</f>
        <v>208798.12</v>
      </c>
      <c r="AM32" s="243">
        <f>SUM(AM27:AM29)</f>
        <v>231156</v>
      </c>
      <c r="AN32" s="243">
        <f>SUM(AN27:AN29)</f>
        <v>439954.12</v>
      </c>
      <c r="AO32" s="244"/>
      <c r="AP32" s="243">
        <f>SUM(AP27:AP29)</f>
        <v>102556.04999999999</v>
      </c>
      <c r="AQ32" s="243">
        <f>SUM(AQ27:AQ29)</f>
        <v>91234</v>
      </c>
      <c r="AR32" s="243">
        <f>SUM(AR27:AR29)</f>
        <v>193790.05</v>
      </c>
      <c r="AS32" s="244"/>
      <c r="AT32" s="243">
        <f>SUM(AT27:AT29)</f>
        <v>320148.98</v>
      </c>
      <c r="AU32" s="243">
        <f>SUM(AU27:AU29)</f>
        <v>306029</v>
      </c>
      <c r="AV32" s="243">
        <f>SUM(AV27:AV29)</f>
        <v>626177.98</v>
      </c>
      <c r="AW32" s="244"/>
      <c r="AX32" s="243">
        <f>SUM(AX27:AX29)</f>
        <v>247410.6</v>
      </c>
      <c r="AY32" s="243">
        <f>SUM(AY27:AY29)</f>
        <v>301796</v>
      </c>
      <c r="AZ32" s="243">
        <f>SUM(AZ27:AZ29)</f>
        <v>549206.6</v>
      </c>
      <c r="BA32" s="246"/>
      <c r="BB32" s="243">
        <f>SUM(BB27:BB29)</f>
        <v>1589113.23</v>
      </c>
      <c r="BC32" s="243">
        <f>SUM(BC27:BC29)</f>
        <v>1723075</v>
      </c>
      <c r="BD32" s="243">
        <f>SUM(BD27:BD29)</f>
        <v>3312188.23</v>
      </c>
    </row>
    <row r="34" spans="1:56" x14ac:dyDescent="0.25">
      <c r="C34" s="7" t="s">
        <v>116</v>
      </c>
    </row>
    <row r="35" spans="1:56" x14ac:dyDescent="0.25">
      <c r="A35" s="204"/>
      <c r="B35" s="205">
        <v>2026</v>
      </c>
      <c r="C35" s="206">
        <v>2026</v>
      </c>
      <c r="D35" s="207">
        <v>2026</v>
      </c>
      <c r="E35" s="323" t="s">
        <v>90</v>
      </c>
      <c r="F35" s="324"/>
      <c r="G35" s="325"/>
      <c r="H35" s="208">
        <v>1</v>
      </c>
      <c r="I35" s="323" t="s">
        <v>91</v>
      </c>
      <c r="J35" s="324"/>
      <c r="K35" s="325"/>
      <c r="L35" s="208">
        <f>H35+1</f>
        <v>2</v>
      </c>
      <c r="M35" s="323" t="s">
        <v>92</v>
      </c>
      <c r="N35" s="324"/>
      <c r="O35" s="325"/>
      <c r="P35" s="208">
        <f>L35+1</f>
        <v>3</v>
      </c>
      <c r="Q35" s="323" t="s">
        <v>93</v>
      </c>
      <c r="R35" s="324"/>
      <c r="S35" s="325"/>
      <c r="T35" s="208">
        <f>P35+1</f>
        <v>4</v>
      </c>
      <c r="U35" s="323" t="s">
        <v>94</v>
      </c>
      <c r="V35" s="324"/>
      <c r="W35" s="325"/>
      <c r="X35" s="208">
        <f>T35+1</f>
        <v>5</v>
      </c>
      <c r="Y35" s="323" t="s">
        <v>95</v>
      </c>
      <c r="Z35" s="324"/>
      <c r="AA35" s="325"/>
      <c r="AB35" s="208">
        <f>X35+1</f>
        <v>6</v>
      </c>
      <c r="AC35" s="323" t="s">
        <v>96</v>
      </c>
      <c r="AD35" s="324"/>
      <c r="AE35" s="325"/>
      <c r="AF35" s="208">
        <f>AB35+1</f>
        <v>7</v>
      </c>
      <c r="AG35" s="323" t="s">
        <v>97</v>
      </c>
      <c r="AH35" s="324"/>
      <c r="AI35" s="325"/>
      <c r="AJ35" s="208">
        <f>AF35+1</f>
        <v>8</v>
      </c>
      <c r="AK35" s="323" t="s">
        <v>98</v>
      </c>
      <c r="AL35" s="324"/>
      <c r="AM35" s="325"/>
      <c r="AN35" s="208">
        <f>AJ35+1</f>
        <v>9</v>
      </c>
      <c r="AO35" s="323" t="s">
        <v>99</v>
      </c>
      <c r="AP35" s="324"/>
      <c r="AQ35" s="325"/>
      <c r="AR35" s="208">
        <f>AN35+1</f>
        <v>10</v>
      </c>
      <c r="AS35" s="323" t="s">
        <v>100</v>
      </c>
      <c r="AT35" s="324"/>
      <c r="AU35" s="325"/>
      <c r="AV35" s="208">
        <f>AR35+1</f>
        <v>11</v>
      </c>
      <c r="AW35" s="323" t="s">
        <v>101</v>
      </c>
      <c r="AX35" s="324"/>
      <c r="AY35" s="325"/>
      <c r="AZ35" s="208">
        <f>AV35+1</f>
        <v>12</v>
      </c>
      <c r="BA35" s="326" t="s">
        <v>102</v>
      </c>
      <c r="BB35" s="324"/>
      <c r="BC35" s="324"/>
      <c r="BD35" s="327"/>
    </row>
    <row r="36" spans="1:56" ht="30" customHeight="1" x14ac:dyDescent="0.25">
      <c r="A36" s="209" t="s">
        <v>204</v>
      </c>
      <c r="B36" s="210" t="s">
        <v>106</v>
      </c>
      <c r="C36" s="211" t="s">
        <v>205</v>
      </c>
      <c r="D36" s="211" t="s">
        <v>108</v>
      </c>
      <c r="E36" s="212" t="s">
        <v>109</v>
      </c>
      <c r="F36" s="213" t="s">
        <v>110</v>
      </c>
      <c r="G36" s="214" t="s">
        <v>111</v>
      </c>
      <c r="H36" s="215" t="s">
        <v>112</v>
      </c>
      <c r="I36" s="212" t="s">
        <v>109</v>
      </c>
      <c r="J36" s="213" t="s">
        <v>110</v>
      </c>
      <c r="K36" s="214" t="s">
        <v>111</v>
      </c>
      <c r="L36" s="215" t="s">
        <v>112</v>
      </c>
      <c r="M36" s="212" t="s">
        <v>109</v>
      </c>
      <c r="N36" s="213" t="s">
        <v>110</v>
      </c>
      <c r="O36" s="214" t="s">
        <v>111</v>
      </c>
      <c r="P36" s="215" t="s">
        <v>112</v>
      </c>
      <c r="Q36" s="212" t="s">
        <v>109</v>
      </c>
      <c r="R36" s="213" t="s">
        <v>110</v>
      </c>
      <c r="S36" s="214" t="s">
        <v>111</v>
      </c>
      <c r="T36" s="215" t="s">
        <v>112</v>
      </c>
      <c r="U36" s="212" t="s">
        <v>109</v>
      </c>
      <c r="V36" s="213" t="s">
        <v>110</v>
      </c>
      <c r="W36" s="214" t="s">
        <v>111</v>
      </c>
      <c r="X36" s="215" t="s">
        <v>112</v>
      </c>
      <c r="Y36" s="209" t="s">
        <v>109</v>
      </c>
      <c r="Z36" s="213" t="s">
        <v>110</v>
      </c>
      <c r="AA36" s="214" t="s">
        <v>111</v>
      </c>
      <c r="AB36" s="215" t="s">
        <v>112</v>
      </c>
      <c r="AC36" s="212" t="s">
        <v>109</v>
      </c>
      <c r="AD36" s="213" t="s">
        <v>110</v>
      </c>
      <c r="AE36" s="214" t="s">
        <v>111</v>
      </c>
      <c r="AF36" s="215" t="s">
        <v>112</v>
      </c>
      <c r="AG36" s="212" t="s">
        <v>109</v>
      </c>
      <c r="AH36" s="213" t="s">
        <v>110</v>
      </c>
      <c r="AI36" s="214" t="s">
        <v>111</v>
      </c>
      <c r="AJ36" s="215" t="s">
        <v>112</v>
      </c>
      <c r="AK36" s="212" t="s">
        <v>109</v>
      </c>
      <c r="AL36" s="213" t="s">
        <v>110</v>
      </c>
      <c r="AM36" s="214" t="s">
        <v>111</v>
      </c>
      <c r="AN36" s="215" t="s">
        <v>112</v>
      </c>
      <c r="AO36" s="212" t="s">
        <v>109</v>
      </c>
      <c r="AP36" s="213" t="s">
        <v>110</v>
      </c>
      <c r="AQ36" s="214" t="s">
        <v>111</v>
      </c>
      <c r="AR36" s="215" t="s">
        <v>112</v>
      </c>
      <c r="AS36" s="212" t="s">
        <v>109</v>
      </c>
      <c r="AT36" s="213" t="s">
        <v>110</v>
      </c>
      <c r="AU36" s="214" t="s">
        <v>111</v>
      </c>
      <c r="AV36" s="215" t="s">
        <v>112</v>
      </c>
      <c r="AW36" s="212" t="s">
        <v>109</v>
      </c>
      <c r="AX36" s="213" t="s">
        <v>110</v>
      </c>
      <c r="AY36" s="214" t="s">
        <v>111</v>
      </c>
      <c r="AZ36" s="215" t="s">
        <v>112</v>
      </c>
      <c r="BA36" s="216" t="s">
        <v>109</v>
      </c>
      <c r="BB36" s="213" t="s">
        <v>110</v>
      </c>
      <c r="BC36" s="214" t="s">
        <v>108</v>
      </c>
      <c r="BD36" s="217" t="s">
        <v>113</v>
      </c>
    </row>
    <row r="37" spans="1:56" x14ac:dyDescent="0.25">
      <c r="A37" s="218" t="s">
        <v>199</v>
      </c>
      <c r="B37" s="218">
        <v>0</v>
      </c>
      <c r="C37" s="218">
        <f>B37*1.07</f>
        <v>0</v>
      </c>
      <c r="D37" s="218">
        <v>124</v>
      </c>
      <c r="E37" s="219">
        <v>0</v>
      </c>
      <c r="F37" s="222">
        <v>30675</v>
      </c>
      <c r="G37" s="220">
        <f>E37*$D37</f>
        <v>0</v>
      </c>
      <c r="H37" s="221">
        <f>SUM(F37:G37)</f>
        <v>30675</v>
      </c>
      <c r="I37" s="219">
        <v>0</v>
      </c>
      <c r="J37" s="222">
        <v>36086</v>
      </c>
      <c r="K37" s="220">
        <f>I37*$D37</f>
        <v>0</v>
      </c>
      <c r="L37" s="221">
        <f>SUM(J37:K37)</f>
        <v>36086</v>
      </c>
      <c r="M37" s="219">
        <v>0</v>
      </c>
      <c r="N37" s="222">
        <v>49089</v>
      </c>
      <c r="O37" s="220">
        <f>M37*$D37</f>
        <v>0</v>
      </c>
      <c r="P37" s="221">
        <f>SUM(N37:O37)</f>
        <v>49089</v>
      </c>
      <c r="Q37" s="219">
        <v>0</v>
      </c>
      <c r="R37" s="222">
        <v>34965</v>
      </c>
      <c r="S37" s="220">
        <f>Q37*$D37</f>
        <v>0</v>
      </c>
      <c r="T37" s="221">
        <f>SUM(R37:S37)</f>
        <v>34965</v>
      </c>
      <c r="U37" s="219">
        <v>0</v>
      </c>
      <c r="V37" s="222">
        <v>42164</v>
      </c>
      <c r="W37" s="220">
        <f>U37*$D37</f>
        <v>0</v>
      </c>
      <c r="X37" s="221">
        <f>SUM(V37:W37)</f>
        <v>42164</v>
      </c>
      <c r="Y37" s="219">
        <v>0</v>
      </c>
      <c r="Z37" s="222">
        <v>42515</v>
      </c>
      <c r="AA37" s="220">
        <f>Y37*$D37</f>
        <v>0</v>
      </c>
      <c r="AB37" s="221">
        <f>SUM(Z37:AA37)</f>
        <v>42515</v>
      </c>
      <c r="AC37" s="219">
        <v>0</v>
      </c>
      <c r="AD37" s="222">
        <v>49900</v>
      </c>
      <c r="AE37" s="220">
        <f>AC37*$D37</f>
        <v>0</v>
      </c>
      <c r="AF37" s="221">
        <f>SUM(AD37:AE37)</f>
        <v>49900</v>
      </c>
      <c r="AG37" s="219">
        <v>0</v>
      </c>
      <c r="AH37" s="222">
        <v>58630</v>
      </c>
      <c r="AI37" s="220">
        <f>AG37*$D37</f>
        <v>0</v>
      </c>
      <c r="AJ37" s="221">
        <f>SUM(AH37:AI37)</f>
        <v>58630</v>
      </c>
      <c r="AK37" s="219">
        <v>0</v>
      </c>
      <c r="AL37" s="222">
        <v>59334</v>
      </c>
      <c r="AM37" s="220">
        <f>AK37*$D37</f>
        <v>0</v>
      </c>
      <c r="AN37" s="221">
        <f>SUM(AL37:AM37)</f>
        <v>59334</v>
      </c>
      <c r="AO37" s="219">
        <v>0</v>
      </c>
      <c r="AP37" s="222">
        <v>58899</v>
      </c>
      <c r="AQ37" s="220">
        <f>AO37*$D37</f>
        <v>0</v>
      </c>
      <c r="AR37" s="221">
        <f>SUM(AP37:AQ37)</f>
        <v>58899</v>
      </c>
      <c r="AS37" s="219">
        <v>0</v>
      </c>
      <c r="AT37" s="222">
        <v>48381</v>
      </c>
      <c r="AU37" s="220">
        <f>AS37*$D37</f>
        <v>0</v>
      </c>
      <c r="AV37" s="221">
        <f>SUM(AT37:AU37)</f>
        <v>48381</v>
      </c>
      <c r="AW37" s="219">
        <v>0</v>
      </c>
      <c r="AX37" s="222">
        <v>29899</v>
      </c>
      <c r="AY37" s="220">
        <f>AW37*$D37</f>
        <v>0</v>
      </c>
      <c r="AZ37" s="221">
        <f>SUM(AX37:AY37)</f>
        <v>29899</v>
      </c>
      <c r="BA37" s="223">
        <f>SUM(E37,I37,M37,Q37,U37,Y37,AC37,AG37,AK37,AO37,AS37,AW37)</f>
        <v>0</v>
      </c>
      <c r="BB37" s="222">
        <f>SUM(AX37,AT37,AP37,AL37,AH37,AD37,Z37,V37,R37,N37,J37,F37)</f>
        <v>540537</v>
      </c>
      <c r="BC37" s="222">
        <f>SUM(AY37,AU37,AQ37,AM37,AI37,AE37,AA37,W37,S37,O37,K37,G37)</f>
        <v>0</v>
      </c>
      <c r="BD37" s="224">
        <f t="shared" ref="BD37:BD39" si="103">SUM(H37,L37,P37,T37,X37,AB37,AF37,AJ37,AN37,AR37,AV37,AZ37)</f>
        <v>540537</v>
      </c>
    </row>
    <row r="38" spans="1:56" x14ac:dyDescent="0.25">
      <c r="A38" s="225" t="s">
        <v>200</v>
      </c>
      <c r="B38" s="225">
        <v>0</v>
      </c>
      <c r="C38" s="225">
        <f t="shared" ref="C38:C39" si="104">B38*1.07</f>
        <v>0</v>
      </c>
      <c r="D38" s="225">
        <v>286</v>
      </c>
      <c r="E38" s="226">
        <v>0</v>
      </c>
      <c r="F38" s="227">
        <v>8218</v>
      </c>
      <c r="G38" s="228">
        <f t="shared" ref="G38:G39" si="105">E38*$D38</f>
        <v>0</v>
      </c>
      <c r="H38" s="229">
        <f t="shared" ref="H38:H39" si="106">SUM(F38:G38)</f>
        <v>8218</v>
      </c>
      <c r="I38" s="226">
        <v>0</v>
      </c>
      <c r="J38" s="227">
        <v>8942</v>
      </c>
      <c r="K38" s="228">
        <f t="shared" ref="K38:K39" si="107">I38*$D38</f>
        <v>0</v>
      </c>
      <c r="L38" s="229">
        <f t="shared" ref="L38:L39" si="108">SUM(J38:K38)</f>
        <v>8942</v>
      </c>
      <c r="M38" s="226">
        <v>0</v>
      </c>
      <c r="N38" s="227">
        <v>9961</v>
      </c>
      <c r="O38" s="228">
        <f t="shared" ref="O38:O39" si="109">M38*$D38</f>
        <v>0</v>
      </c>
      <c r="P38" s="229">
        <f t="shared" ref="P38:P39" si="110">SUM(N38:O38)</f>
        <v>9961</v>
      </c>
      <c r="Q38" s="226">
        <v>0</v>
      </c>
      <c r="R38" s="227">
        <v>10408</v>
      </c>
      <c r="S38" s="228">
        <f t="shared" ref="S38:S39" si="111">Q38*$D38</f>
        <v>0</v>
      </c>
      <c r="T38" s="229">
        <f t="shared" ref="T38:T39" si="112">SUM(R38:S38)</f>
        <v>10408</v>
      </c>
      <c r="U38" s="226">
        <v>0</v>
      </c>
      <c r="V38" s="227">
        <v>14469</v>
      </c>
      <c r="W38" s="228">
        <f t="shared" ref="W38:W39" si="113">U38*$D38</f>
        <v>0</v>
      </c>
      <c r="X38" s="229">
        <f t="shared" ref="X38:X39" si="114">SUM(V38:W38)</f>
        <v>14469</v>
      </c>
      <c r="Y38" s="226">
        <v>0</v>
      </c>
      <c r="Z38" s="227">
        <v>11762</v>
      </c>
      <c r="AA38" s="228">
        <f t="shared" ref="AA38:AA39" si="115">Y38*$D38</f>
        <v>0</v>
      </c>
      <c r="AB38" s="229">
        <f t="shared" ref="AB38:AB39" si="116">SUM(Z38:AA38)</f>
        <v>11762</v>
      </c>
      <c r="AC38" s="226">
        <v>0</v>
      </c>
      <c r="AD38" s="227">
        <v>14722</v>
      </c>
      <c r="AE38" s="228">
        <f t="shared" ref="AE38:AE39" si="117">AC38*$D38</f>
        <v>0</v>
      </c>
      <c r="AF38" s="229">
        <f t="shared" ref="AF38:AF39" si="118">SUM(AD38:AE38)</f>
        <v>14722</v>
      </c>
      <c r="AG38" s="226">
        <v>0</v>
      </c>
      <c r="AH38" s="227">
        <v>14169</v>
      </c>
      <c r="AI38" s="228">
        <f t="shared" ref="AI38:AI39" si="119">AG38*$D38</f>
        <v>0</v>
      </c>
      <c r="AJ38" s="229">
        <f t="shared" ref="AJ38:AJ39" si="120">SUM(AH38:AI38)</f>
        <v>14169</v>
      </c>
      <c r="AK38" s="226">
        <v>0</v>
      </c>
      <c r="AL38" s="227">
        <v>15655</v>
      </c>
      <c r="AM38" s="228">
        <f t="shared" ref="AM38:AM39" si="121">AK38*$D38</f>
        <v>0</v>
      </c>
      <c r="AN38" s="229">
        <f t="shared" ref="AN38:AN39" si="122">SUM(AL38:AM38)</f>
        <v>15655</v>
      </c>
      <c r="AO38" s="226">
        <v>0</v>
      </c>
      <c r="AP38" s="227">
        <v>23374</v>
      </c>
      <c r="AQ38" s="228">
        <f t="shared" ref="AQ38:AQ39" si="123">AO38*$D38</f>
        <v>0</v>
      </c>
      <c r="AR38" s="229">
        <f t="shared" ref="AR38:AR39" si="124">SUM(AP38:AQ38)</f>
        <v>23374</v>
      </c>
      <c r="AS38" s="226">
        <v>0</v>
      </c>
      <c r="AT38" s="227">
        <v>19563</v>
      </c>
      <c r="AU38" s="228">
        <f t="shared" ref="AU38:AU39" si="125">AS38*$D38</f>
        <v>0</v>
      </c>
      <c r="AV38" s="229">
        <f t="shared" ref="AV38:AV39" si="126">SUM(AT38:AU38)</f>
        <v>19563</v>
      </c>
      <c r="AW38" s="226">
        <v>0</v>
      </c>
      <c r="AX38" s="227">
        <v>12809</v>
      </c>
      <c r="AY38" s="228">
        <f t="shared" ref="AY38:AY39" si="127">AW38*$D38</f>
        <v>0</v>
      </c>
      <c r="AZ38" s="229">
        <f t="shared" ref="AZ38:AZ39" si="128">SUM(AX38:AY38)</f>
        <v>12809</v>
      </c>
      <c r="BA38" s="230">
        <f>SUM(E38,I38,M38,Q38,U38,Y38,AC38,AG38,AK38,AO38,AS38,AW38)</f>
        <v>0</v>
      </c>
      <c r="BB38" s="227">
        <f t="shared" ref="BB38:BC39" si="129">SUM(AX38,AT38,AP38,AL38,AH38,AD38,Z38,V38,R38,N38,J38,F38)</f>
        <v>164052</v>
      </c>
      <c r="BC38" s="227">
        <f t="shared" si="129"/>
        <v>0</v>
      </c>
      <c r="BD38" s="231">
        <f t="shared" si="103"/>
        <v>164052</v>
      </c>
    </row>
    <row r="39" spans="1:56" x14ac:dyDescent="0.25">
      <c r="A39" s="225" t="s">
        <v>201</v>
      </c>
      <c r="B39" s="225">
        <v>0</v>
      </c>
      <c r="C39" s="225">
        <f t="shared" si="104"/>
        <v>0</v>
      </c>
      <c r="D39" s="225">
        <v>499</v>
      </c>
      <c r="E39" s="226">
        <v>0</v>
      </c>
      <c r="F39" s="227">
        <v>20219</v>
      </c>
      <c r="G39" s="228">
        <f t="shared" si="105"/>
        <v>0</v>
      </c>
      <c r="H39" s="229">
        <f t="shared" si="106"/>
        <v>20219</v>
      </c>
      <c r="I39" s="226">
        <v>0</v>
      </c>
      <c r="J39" s="227">
        <v>18075</v>
      </c>
      <c r="K39" s="228">
        <f t="shared" si="107"/>
        <v>0</v>
      </c>
      <c r="L39" s="229">
        <f t="shared" si="108"/>
        <v>18075</v>
      </c>
      <c r="M39" s="226">
        <v>0</v>
      </c>
      <c r="N39" s="227">
        <v>22452</v>
      </c>
      <c r="O39" s="228">
        <f t="shared" si="109"/>
        <v>0</v>
      </c>
      <c r="P39" s="229">
        <f t="shared" si="110"/>
        <v>22452</v>
      </c>
      <c r="Q39" s="226">
        <v>0</v>
      </c>
      <c r="R39" s="227">
        <v>23320</v>
      </c>
      <c r="S39" s="228">
        <f t="shared" si="111"/>
        <v>0</v>
      </c>
      <c r="T39" s="229">
        <f t="shared" si="112"/>
        <v>23320</v>
      </c>
      <c r="U39" s="226">
        <v>0</v>
      </c>
      <c r="V39" s="227">
        <v>35089</v>
      </c>
      <c r="W39" s="228">
        <f t="shared" si="113"/>
        <v>0</v>
      </c>
      <c r="X39" s="229">
        <f t="shared" si="114"/>
        <v>35089</v>
      </c>
      <c r="Y39" s="226">
        <v>0</v>
      </c>
      <c r="Z39" s="227">
        <v>32195</v>
      </c>
      <c r="AA39" s="228">
        <f t="shared" si="115"/>
        <v>0</v>
      </c>
      <c r="AB39" s="229">
        <f t="shared" si="116"/>
        <v>32195</v>
      </c>
      <c r="AC39" s="226">
        <v>0</v>
      </c>
      <c r="AD39" s="227">
        <v>26765</v>
      </c>
      <c r="AE39" s="228">
        <f t="shared" si="117"/>
        <v>0</v>
      </c>
      <c r="AF39" s="229">
        <f t="shared" si="118"/>
        <v>26765</v>
      </c>
      <c r="AG39" s="226">
        <v>0</v>
      </c>
      <c r="AH39" s="227">
        <v>39259</v>
      </c>
      <c r="AI39" s="228">
        <f t="shared" si="119"/>
        <v>0</v>
      </c>
      <c r="AJ39" s="229">
        <f t="shared" si="120"/>
        <v>39259</v>
      </c>
      <c r="AK39" s="226">
        <v>0</v>
      </c>
      <c r="AL39" s="227">
        <v>40793</v>
      </c>
      <c r="AM39" s="228">
        <f t="shared" si="121"/>
        <v>0</v>
      </c>
      <c r="AN39" s="229">
        <f t="shared" si="122"/>
        <v>40793</v>
      </c>
      <c r="AO39" s="226">
        <v>0</v>
      </c>
      <c r="AP39" s="227">
        <v>44405</v>
      </c>
      <c r="AQ39" s="228">
        <f t="shared" si="123"/>
        <v>0</v>
      </c>
      <c r="AR39" s="229">
        <f t="shared" si="124"/>
        <v>44405</v>
      </c>
      <c r="AS39" s="226">
        <v>0</v>
      </c>
      <c r="AT39" s="227">
        <v>52128</v>
      </c>
      <c r="AU39" s="228">
        <f t="shared" si="125"/>
        <v>0</v>
      </c>
      <c r="AV39" s="229">
        <f t="shared" si="126"/>
        <v>52128</v>
      </c>
      <c r="AW39" s="226">
        <v>0</v>
      </c>
      <c r="AX39" s="227">
        <v>40302</v>
      </c>
      <c r="AY39" s="228">
        <f t="shared" si="127"/>
        <v>0</v>
      </c>
      <c r="AZ39" s="229">
        <f t="shared" si="128"/>
        <v>40302</v>
      </c>
      <c r="BA39" s="230">
        <f>SUM(E39,I39,M39,Q39,U39,Y39,AC39,AG39,AK39,AO39,AS39,AW39)</f>
        <v>0</v>
      </c>
      <c r="BB39" s="227">
        <f t="shared" si="129"/>
        <v>395002</v>
      </c>
      <c r="BC39" s="227">
        <f t="shared" si="129"/>
        <v>0</v>
      </c>
      <c r="BD39" s="231">
        <f t="shared" si="103"/>
        <v>395002</v>
      </c>
    </row>
    <row r="40" spans="1:56" x14ac:dyDescent="0.25">
      <c r="A40" s="225"/>
      <c r="B40" s="225"/>
      <c r="C40" s="225"/>
      <c r="D40" s="232"/>
      <c r="E40" s="233"/>
      <c r="F40" s="227"/>
      <c r="G40" s="228"/>
      <c r="H40" s="229"/>
      <c r="I40" s="233"/>
      <c r="J40" s="227"/>
      <c r="K40" s="228"/>
      <c r="L40" s="229"/>
      <c r="M40" s="233"/>
      <c r="N40" s="227"/>
      <c r="O40" s="228"/>
      <c r="P40" s="229"/>
      <c r="Q40" s="233"/>
      <c r="R40" s="227"/>
      <c r="S40" s="228"/>
      <c r="T40" s="229"/>
      <c r="U40" s="234"/>
      <c r="V40" s="227"/>
      <c r="W40" s="228"/>
      <c r="X40" s="229"/>
      <c r="Y40" s="235"/>
      <c r="Z40" s="227"/>
      <c r="AA40" s="228"/>
      <c r="AB40" s="229"/>
      <c r="AC40" s="234"/>
      <c r="AD40" s="227"/>
      <c r="AE40" s="228"/>
      <c r="AF40" s="229"/>
      <c r="AG40" s="234"/>
      <c r="AH40" s="227"/>
      <c r="AI40" s="228"/>
      <c r="AJ40" s="229"/>
      <c r="AK40" s="234"/>
      <c r="AL40" s="227"/>
      <c r="AM40" s="228"/>
      <c r="AN40" s="229"/>
      <c r="AO40" s="234"/>
      <c r="AP40" s="227"/>
      <c r="AQ40" s="228"/>
      <c r="AR40" s="229"/>
      <c r="AS40" s="234"/>
      <c r="AT40" s="227"/>
      <c r="AU40" s="228"/>
      <c r="AV40" s="229"/>
      <c r="AW40" s="233"/>
      <c r="AX40" s="227"/>
      <c r="AY40" s="228"/>
      <c r="AZ40" s="229"/>
      <c r="BA40" s="236"/>
      <c r="BB40" s="227"/>
      <c r="BC40" s="227"/>
      <c r="BD40" s="231"/>
    </row>
    <row r="41" spans="1:56" ht="15.75" thickBot="1" x14ac:dyDescent="0.3">
      <c r="A41" s="225"/>
      <c r="B41" s="225"/>
      <c r="C41" s="225"/>
      <c r="D41" s="232"/>
      <c r="E41" s="233"/>
      <c r="F41" s="227"/>
      <c r="G41" s="228"/>
      <c r="H41" s="229"/>
      <c r="I41" s="233"/>
      <c r="J41" s="227"/>
      <c r="K41" s="228"/>
      <c r="L41" s="229"/>
      <c r="M41" s="233"/>
      <c r="N41" s="227"/>
      <c r="O41" s="228"/>
      <c r="P41" s="229"/>
      <c r="Q41" s="233"/>
      <c r="R41" s="227"/>
      <c r="S41" s="228"/>
      <c r="T41" s="229"/>
      <c r="U41" s="233"/>
      <c r="V41" s="227"/>
      <c r="W41" s="228"/>
      <c r="X41" s="229"/>
      <c r="Y41" s="237"/>
      <c r="Z41" s="227"/>
      <c r="AA41" s="228"/>
      <c r="AB41" s="229"/>
      <c r="AC41" s="233"/>
      <c r="AD41" s="227"/>
      <c r="AE41" s="228"/>
      <c r="AF41" s="229"/>
      <c r="AG41" s="233"/>
      <c r="AH41" s="227"/>
      <c r="AI41" s="228"/>
      <c r="AJ41" s="229"/>
      <c r="AK41" s="233"/>
      <c r="AL41" s="227"/>
      <c r="AM41" s="228"/>
      <c r="AN41" s="229"/>
      <c r="AO41" s="233"/>
      <c r="AP41" s="227"/>
      <c r="AQ41" s="228"/>
      <c r="AR41" s="229"/>
      <c r="AS41" s="233"/>
      <c r="AT41" s="227"/>
      <c r="AU41" s="228"/>
      <c r="AV41" s="229"/>
      <c r="AW41" s="233"/>
      <c r="AX41" s="227"/>
      <c r="AY41" s="228"/>
      <c r="AZ41" s="229"/>
      <c r="BA41" s="236"/>
      <c r="BB41" s="227"/>
      <c r="BC41" s="227"/>
      <c r="BD41" s="231"/>
    </row>
    <row r="42" spans="1:56" ht="15.75" thickTop="1" x14ac:dyDescent="0.25">
      <c r="A42" s="238" t="s">
        <v>112</v>
      </c>
      <c r="B42" s="239"/>
      <c r="C42" s="240"/>
      <c r="D42" s="241"/>
      <c r="E42" s="242"/>
      <c r="F42" s="243">
        <f>SUM(F37:F39)</f>
        <v>59112</v>
      </c>
      <c r="G42" s="243">
        <f>SUM(G37:G39)</f>
        <v>0</v>
      </c>
      <c r="H42" s="243">
        <f>SUM(H37:H39)</f>
        <v>59112</v>
      </c>
      <c r="I42" s="244"/>
      <c r="J42" s="243">
        <f>SUM(J37:J39)</f>
        <v>63103</v>
      </c>
      <c r="K42" s="243">
        <f>SUM(K37:K39)</f>
        <v>0</v>
      </c>
      <c r="L42" s="243">
        <f>SUM(L37:L39)</f>
        <v>63103</v>
      </c>
      <c r="M42" s="244"/>
      <c r="N42" s="243">
        <f>SUM(N37:N39)</f>
        <v>81502</v>
      </c>
      <c r="O42" s="243">
        <f>SUM(O37:O39)</f>
        <v>0</v>
      </c>
      <c r="P42" s="243">
        <f>SUM(P37:P39)</f>
        <v>81502</v>
      </c>
      <c r="Q42" s="244"/>
      <c r="R42" s="243">
        <f>SUM(R37:R39)</f>
        <v>68693</v>
      </c>
      <c r="S42" s="243">
        <f>SUM(S37:S39)</f>
        <v>0</v>
      </c>
      <c r="T42" s="243">
        <f>SUM(T37:T39)</f>
        <v>68693</v>
      </c>
      <c r="U42" s="244"/>
      <c r="V42" s="243">
        <f>SUM(V37:V39)</f>
        <v>91722</v>
      </c>
      <c r="W42" s="243">
        <f>SUM(W37:W39)</f>
        <v>0</v>
      </c>
      <c r="X42" s="243">
        <f>SUM(X37:X39)</f>
        <v>91722</v>
      </c>
      <c r="Y42" s="250"/>
      <c r="Z42" s="243">
        <f>SUM(Z37:Z39)</f>
        <v>86472</v>
      </c>
      <c r="AA42" s="243">
        <f>SUM(AA37:AA39)</f>
        <v>0</v>
      </c>
      <c r="AB42" s="243">
        <f>SUM(AB37:AB39)</f>
        <v>86472</v>
      </c>
      <c r="AC42" s="244"/>
      <c r="AD42" s="243">
        <f>SUM(AD37:AD39)</f>
        <v>91387</v>
      </c>
      <c r="AE42" s="243">
        <f>SUM(AE37:AE39)</f>
        <v>0</v>
      </c>
      <c r="AF42" s="243">
        <f>SUM(AF37:AF39)</f>
        <v>91387</v>
      </c>
      <c r="AG42" s="244"/>
      <c r="AH42" s="243">
        <f>SUM(AH37:AH39)</f>
        <v>112058</v>
      </c>
      <c r="AI42" s="243">
        <f>SUM(AI37:AI39)</f>
        <v>0</v>
      </c>
      <c r="AJ42" s="243">
        <f>SUM(AJ37:AJ39)</f>
        <v>112058</v>
      </c>
      <c r="AK42" s="244"/>
      <c r="AL42" s="243">
        <f>SUM(AL37:AL39)</f>
        <v>115782</v>
      </c>
      <c r="AM42" s="243">
        <f>SUM(AM37:AM39)</f>
        <v>0</v>
      </c>
      <c r="AN42" s="243">
        <f>SUM(AN37:AN39)</f>
        <v>115782</v>
      </c>
      <c r="AO42" s="244"/>
      <c r="AP42" s="243">
        <f>SUM(AP37:AP39)</f>
        <v>126678</v>
      </c>
      <c r="AQ42" s="243">
        <f>SUM(AQ37:AQ39)</f>
        <v>0</v>
      </c>
      <c r="AR42" s="243">
        <f>SUM(AR37:AR39)</f>
        <v>126678</v>
      </c>
      <c r="AS42" s="244"/>
      <c r="AT42" s="243">
        <f>SUM(AT37:AT39)</f>
        <v>120072</v>
      </c>
      <c r="AU42" s="243">
        <f>SUM(AU37:AU39)</f>
        <v>0</v>
      </c>
      <c r="AV42" s="243">
        <f>SUM(AV37:AV39)</f>
        <v>120072</v>
      </c>
      <c r="AW42" s="244"/>
      <c r="AX42" s="243">
        <f>SUM(AX37:AX39)</f>
        <v>83010</v>
      </c>
      <c r="AY42" s="243">
        <f>SUM(AY37:AY39)</f>
        <v>0</v>
      </c>
      <c r="AZ42" s="243">
        <f>SUM(AZ37:AZ39)</f>
        <v>83010</v>
      </c>
      <c r="BA42" s="246"/>
      <c r="BB42" s="243">
        <f>SUM(BB37:BB39)</f>
        <v>1099591</v>
      </c>
      <c r="BC42" s="243">
        <f>SUM(BC37:BC39)</f>
        <v>0</v>
      </c>
      <c r="BD42" s="243">
        <f>SUM(BD37:BD39)</f>
        <v>1099591</v>
      </c>
    </row>
    <row r="47" spans="1:56" x14ac:dyDescent="0.25">
      <c r="D47" s="328" t="s">
        <v>194</v>
      </c>
      <c r="E47" s="328"/>
      <c r="F47" s="328"/>
    </row>
    <row r="48" spans="1:56" x14ac:dyDescent="0.25">
      <c r="C48" s="8" t="s">
        <v>195</v>
      </c>
      <c r="D48" s="9" t="s">
        <v>196</v>
      </c>
      <c r="E48" s="9" t="s">
        <v>197</v>
      </c>
      <c r="F48" s="9" t="s">
        <v>112</v>
      </c>
      <c r="H48" s="251" t="s">
        <v>198</v>
      </c>
    </row>
    <row r="49" spans="3:8" x14ac:dyDescent="0.25">
      <c r="E49" s="7"/>
      <c r="H49" s="252"/>
    </row>
    <row r="50" spans="3:8" x14ac:dyDescent="0.25">
      <c r="C50" s="253" t="s">
        <v>199</v>
      </c>
      <c r="D50" s="254">
        <f>+'Regulator Cost'!C4</f>
        <v>72.075200000000009</v>
      </c>
      <c r="E50" s="254">
        <f>+'Regulator Cost'!D4</f>
        <v>124</v>
      </c>
      <c r="F50" s="10">
        <f>SUM(D50:E50)</f>
        <v>196.0752</v>
      </c>
      <c r="H50" s="252">
        <v>1</v>
      </c>
    </row>
    <row r="51" spans="3:8" x14ac:dyDescent="0.25">
      <c r="C51" s="253" t="s">
        <v>200</v>
      </c>
      <c r="D51" s="254">
        <f>+'Regulator Cost'!C5</f>
        <v>981.04020000000003</v>
      </c>
      <c r="E51" s="254">
        <f>+'Regulator Cost'!D5</f>
        <v>286</v>
      </c>
      <c r="F51" s="10">
        <f t="shared" ref="F51:F53" si="130">SUM(D51:E51)</f>
        <v>1267.0401999999999</v>
      </c>
      <c r="H51" s="255">
        <f>ROUND(+F51/$F$50,2)</f>
        <v>6.46</v>
      </c>
    </row>
    <row r="52" spans="3:8" x14ac:dyDescent="0.25">
      <c r="C52" s="253" t="s">
        <v>201</v>
      </c>
      <c r="D52" s="254">
        <f>+'Regulator Cost'!C6</f>
        <v>1382.7075</v>
      </c>
      <c r="E52" s="254">
        <f>+'Regulator Cost'!D6</f>
        <v>499</v>
      </c>
      <c r="F52" s="10">
        <f t="shared" si="130"/>
        <v>1881.7075</v>
      </c>
      <c r="H52" s="255">
        <f t="shared" ref="H52:H53" si="131">ROUND(+F52/$F$50,2)</f>
        <v>9.6</v>
      </c>
    </row>
    <row r="53" spans="3:8" x14ac:dyDescent="0.25">
      <c r="C53" s="253" t="s">
        <v>202</v>
      </c>
      <c r="D53" s="256">
        <f>+(D51+D52)/2</f>
        <v>1181.8738499999999</v>
      </c>
      <c r="E53" s="256">
        <f>+(E51+E52)/2</f>
        <v>392.5</v>
      </c>
      <c r="F53" s="10">
        <f t="shared" si="130"/>
        <v>1574.3738499999999</v>
      </c>
      <c r="H53" s="255">
        <f t="shared" si="131"/>
        <v>8.0299999999999994</v>
      </c>
    </row>
    <row r="54" spans="3:8" x14ac:dyDescent="0.25">
      <c r="E54" s="7"/>
      <c r="H54" s="257"/>
    </row>
  </sheetData>
  <mergeCells count="70">
    <mergeCell ref="E2:G2"/>
    <mergeCell ref="I2:K2"/>
    <mergeCell ref="M2:O2"/>
    <mergeCell ref="Q2:S2"/>
    <mergeCell ref="U2:W2"/>
    <mergeCell ref="A1:D1"/>
    <mergeCell ref="E1:P1"/>
    <mergeCell ref="Q1:AB1"/>
    <mergeCell ref="AC1:AN1"/>
    <mergeCell ref="AO1:AZ1"/>
    <mergeCell ref="A11:D11"/>
    <mergeCell ref="A12:D12"/>
    <mergeCell ref="A14:B14"/>
    <mergeCell ref="E14:P14"/>
    <mergeCell ref="Q14:AB14"/>
    <mergeCell ref="Q15:S15"/>
    <mergeCell ref="U15:W15"/>
    <mergeCell ref="Y15:AA15"/>
    <mergeCell ref="AW2:AY2"/>
    <mergeCell ref="BA2:BD2"/>
    <mergeCell ref="AC14:AN14"/>
    <mergeCell ref="AO14:AZ14"/>
    <mergeCell ref="Y2:AA2"/>
    <mergeCell ref="AC2:AE2"/>
    <mergeCell ref="AG2:AI2"/>
    <mergeCell ref="AK2:AM2"/>
    <mergeCell ref="AO2:AQ2"/>
    <mergeCell ref="AS2:AU2"/>
    <mergeCell ref="Y25:AB25"/>
    <mergeCell ref="BA15:BD15"/>
    <mergeCell ref="A24:B24"/>
    <mergeCell ref="E24:P24"/>
    <mergeCell ref="Q24:AB24"/>
    <mergeCell ref="AC24:AN24"/>
    <mergeCell ref="AO24:AZ24"/>
    <mergeCell ref="AC15:AE15"/>
    <mergeCell ref="AG15:AI15"/>
    <mergeCell ref="AK15:AM15"/>
    <mergeCell ref="AO15:AQ15"/>
    <mergeCell ref="AS15:AU15"/>
    <mergeCell ref="AW15:AY15"/>
    <mergeCell ref="E15:G15"/>
    <mergeCell ref="I15:K15"/>
    <mergeCell ref="M15:O15"/>
    <mergeCell ref="E25:H25"/>
    <mergeCell ref="I25:L25"/>
    <mergeCell ref="M25:P25"/>
    <mergeCell ref="Q25:T25"/>
    <mergeCell ref="U25:X25"/>
    <mergeCell ref="BA25:BD25"/>
    <mergeCell ref="E35:G35"/>
    <mergeCell ref="I35:K35"/>
    <mergeCell ref="M35:O35"/>
    <mergeCell ref="Q35:S35"/>
    <mergeCell ref="U35:W35"/>
    <mergeCell ref="Y35:AA35"/>
    <mergeCell ref="AC35:AE35"/>
    <mergeCell ref="AG35:AI35"/>
    <mergeCell ref="AK35:AM35"/>
    <mergeCell ref="AC25:AF25"/>
    <mergeCell ref="AG25:AJ25"/>
    <mergeCell ref="AK25:AN25"/>
    <mergeCell ref="AO25:AR25"/>
    <mergeCell ref="AS25:AV25"/>
    <mergeCell ref="AW25:AZ25"/>
    <mergeCell ref="AO35:AQ35"/>
    <mergeCell ref="AS35:AU35"/>
    <mergeCell ref="AW35:AY35"/>
    <mergeCell ref="BA35:BD35"/>
    <mergeCell ref="D47:F47"/>
  </mergeCells>
  <pageMargins left="0.7" right="0.7" top="1.4270833333333299" bottom="0.75" header="0.3" footer="0.3"/>
  <pageSetup orientation="portrait" horizontalDpi="1200" verticalDpi="1200" r:id="rId1"/>
  <headerFooter>
    <oddHeader>&amp;CMIDAMERICAN ENERGY COMPANY
2026 SOUTH DAKOTA GAS RATE CASE
Docket No. NG26-___
Statement O-Workpapers Support
FOR THE YEAR ENDING DECEMBER 31, 2025&amp;RStratton Direct Exhibit 1.2, WP1
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01B18-2A49-46DE-82CF-DE061F2A0125}">
  <dimension ref="A1:L175"/>
  <sheetViews>
    <sheetView view="pageLayout" zoomScaleNormal="100" workbookViewId="0">
      <selection activeCell="A19" sqref="A19"/>
    </sheetView>
  </sheetViews>
  <sheetFormatPr defaultRowHeight="15" x14ac:dyDescent="0.25"/>
  <cols>
    <col min="1" max="2" width="2.7109375" style="7" customWidth="1"/>
    <col min="3" max="3" width="28.7109375" style="7" customWidth="1"/>
    <col min="4" max="7" width="9.140625" style="7"/>
    <col min="8" max="8" width="11.140625" style="7" bestFit="1" customWidth="1"/>
    <col min="9" max="9" width="9.42578125" style="7" bestFit="1" customWidth="1"/>
    <col min="10" max="10" width="11.28515625" style="7" bestFit="1" customWidth="1"/>
    <col min="11" max="16384" width="9.140625" style="7"/>
  </cols>
  <sheetData>
    <row r="1" spans="1:10" x14ac:dyDescent="0.25">
      <c r="A1" s="6" t="s">
        <v>210</v>
      </c>
      <c r="B1" s="6"/>
      <c r="C1" s="6"/>
    </row>
    <row r="2" spans="1:10" x14ac:dyDescent="0.25">
      <c r="A2" s="6" t="s">
        <v>211</v>
      </c>
      <c r="B2" s="6"/>
      <c r="C2" s="6"/>
    </row>
    <row r="3" spans="1:10" x14ac:dyDescent="0.25">
      <c r="A3" s="6"/>
      <c r="B3" s="6"/>
      <c r="C3" s="12" t="s">
        <v>212</v>
      </c>
    </row>
    <row r="4" spans="1:10" x14ac:dyDescent="0.25">
      <c r="A4" s="6"/>
      <c r="B4" s="6"/>
      <c r="C4" s="12" t="s">
        <v>213</v>
      </c>
    </row>
    <row r="5" spans="1:10" x14ac:dyDescent="0.25">
      <c r="A5" s="6"/>
      <c r="B5" s="6"/>
      <c r="C5" s="6"/>
    </row>
    <row r="6" spans="1:10" x14ac:dyDescent="0.25">
      <c r="A6" s="6"/>
      <c r="B6" s="6"/>
      <c r="C6" s="6"/>
      <c r="E6" s="7" t="s">
        <v>214</v>
      </c>
      <c r="F6" s="7" t="s">
        <v>215</v>
      </c>
      <c r="G6" s="7" t="s">
        <v>216</v>
      </c>
      <c r="H6" s="7" t="s">
        <v>217</v>
      </c>
      <c r="I6" s="7" t="s">
        <v>218</v>
      </c>
      <c r="J6" s="7" t="s">
        <v>219</v>
      </c>
    </row>
    <row r="7" spans="1:10" x14ac:dyDescent="0.25">
      <c r="A7" s="6"/>
      <c r="B7" s="6"/>
      <c r="C7" s="6"/>
      <c r="E7" s="7" t="s">
        <v>220</v>
      </c>
      <c r="F7" s="7" t="s">
        <v>220</v>
      </c>
      <c r="G7" s="7" t="s">
        <v>220</v>
      </c>
      <c r="H7" s="7" t="s">
        <v>220</v>
      </c>
      <c r="I7" s="7" t="s">
        <v>220</v>
      </c>
      <c r="J7" s="7" t="s">
        <v>220</v>
      </c>
    </row>
    <row r="8" spans="1:10" x14ac:dyDescent="0.25">
      <c r="A8" s="13" t="s">
        <v>221</v>
      </c>
      <c r="B8" s="6"/>
      <c r="C8" s="6"/>
      <c r="F8" s="14"/>
      <c r="G8" s="15"/>
      <c r="H8" s="15"/>
      <c r="I8" s="15"/>
    </row>
    <row r="9" spans="1:10" x14ac:dyDescent="0.25">
      <c r="A9" s="13"/>
      <c r="B9" s="6" t="s">
        <v>222</v>
      </c>
      <c r="C9" s="6"/>
      <c r="E9" s="7">
        <v>42.5</v>
      </c>
      <c r="F9" s="14"/>
      <c r="G9" s="15">
        <v>11</v>
      </c>
      <c r="H9" s="15"/>
      <c r="I9" s="15"/>
      <c r="J9" s="7">
        <v>467.5</v>
      </c>
    </row>
    <row r="10" spans="1:10" x14ac:dyDescent="0.25">
      <c r="A10" s="13"/>
      <c r="B10" s="6" t="s">
        <v>223</v>
      </c>
      <c r="C10" s="6"/>
      <c r="E10" s="7">
        <v>0.11978</v>
      </c>
      <c r="F10" s="14">
        <v>42864</v>
      </c>
      <c r="G10" s="15"/>
      <c r="H10" s="15"/>
      <c r="I10" s="15"/>
      <c r="J10" s="16">
        <v>5134.25</v>
      </c>
    </row>
    <row r="11" spans="1:10" x14ac:dyDescent="0.25">
      <c r="A11" s="13"/>
      <c r="B11" s="6" t="s">
        <v>224</v>
      </c>
      <c r="C11" s="6"/>
      <c r="E11" s="7">
        <v>15</v>
      </c>
      <c r="F11" s="14"/>
      <c r="G11" s="15">
        <v>7</v>
      </c>
      <c r="H11" s="15"/>
      <c r="I11" s="15"/>
      <c r="J11" s="7">
        <v>105</v>
      </c>
    </row>
    <row r="12" spans="1:10" x14ac:dyDescent="0.25">
      <c r="A12" s="13"/>
      <c r="B12" s="6" t="s">
        <v>225</v>
      </c>
      <c r="C12" s="6"/>
      <c r="E12" s="7">
        <v>40</v>
      </c>
      <c r="F12" s="14"/>
      <c r="G12" s="15">
        <v>1</v>
      </c>
      <c r="H12" s="15"/>
      <c r="I12" s="15"/>
      <c r="J12" s="7">
        <v>40</v>
      </c>
    </row>
    <row r="13" spans="1:10" x14ac:dyDescent="0.25">
      <c r="A13" s="13"/>
      <c r="B13" s="6" t="s">
        <v>226</v>
      </c>
      <c r="C13" s="6"/>
      <c r="E13" s="7">
        <v>70</v>
      </c>
      <c r="F13" s="14"/>
      <c r="G13" s="15">
        <v>3</v>
      </c>
      <c r="H13" s="15"/>
      <c r="I13" s="15"/>
      <c r="J13" s="7">
        <v>210</v>
      </c>
    </row>
    <row r="14" spans="1:10" x14ac:dyDescent="0.25">
      <c r="A14" s="13" t="s">
        <v>227</v>
      </c>
      <c r="B14" s="6"/>
      <c r="C14" s="6"/>
      <c r="F14" s="14"/>
      <c r="G14" s="15"/>
      <c r="H14" s="15"/>
      <c r="I14" s="15"/>
    </row>
    <row r="15" spans="1:10" x14ac:dyDescent="0.25">
      <c r="A15" s="13"/>
      <c r="B15" s="6" t="s">
        <v>222</v>
      </c>
      <c r="C15" s="6"/>
      <c r="E15" s="7">
        <v>42.5</v>
      </c>
      <c r="F15" s="14"/>
      <c r="G15" s="15">
        <v>31.7</v>
      </c>
      <c r="H15" s="15"/>
      <c r="I15" s="15"/>
      <c r="J15" s="16">
        <v>1347.25</v>
      </c>
    </row>
    <row r="16" spans="1:10" x14ac:dyDescent="0.25">
      <c r="A16" s="13"/>
      <c r="B16" s="6" t="s">
        <v>223</v>
      </c>
      <c r="C16" s="6"/>
      <c r="E16" s="7">
        <v>6.4250000000000002E-2</v>
      </c>
      <c r="F16" s="14">
        <v>189827</v>
      </c>
      <c r="G16" s="15"/>
      <c r="H16" s="15"/>
      <c r="I16" s="15"/>
      <c r="J16" s="16">
        <v>12196.38</v>
      </c>
    </row>
    <row r="17" spans="1:12" x14ac:dyDescent="0.25">
      <c r="A17" s="13"/>
      <c r="B17" s="6" t="s">
        <v>224</v>
      </c>
      <c r="C17" s="6"/>
      <c r="E17" s="7">
        <v>15</v>
      </c>
      <c r="F17" s="14"/>
      <c r="G17" s="15">
        <v>22.7</v>
      </c>
      <c r="H17" s="15"/>
      <c r="I17" s="15"/>
      <c r="J17" s="7">
        <v>340.5</v>
      </c>
    </row>
    <row r="18" spans="1:12" x14ac:dyDescent="0.25">
      <c r="A18" s="13"/>
      <c r="B18" s="6" t="s">
        <v>225</v>
      </c>
      <c r="C18" s="6"/>
      <c r="E18" s="7">
        <v>40</v>
      </c>
      <c r="F18" s="14"/>
      <c r="G18" s="15">
        <v>1</v>
      </c>
      <c r="H18" s="15"/>
      <c r="I18" s="15"/>
      <c r="J18" s="7">
        <v>40</v>
      </c>
    </row>
    <row r="19" spans="1:12" x14ac:dyDescent="0.25">
      <c r="A19" s="13"/>
      <c r="B19" s="6" t="s">
        <v>226</v>
      </c>
      <c r="C19" s="6"/>
      <c r="E19" s="7">
        <v>70</v>
      </c>
      <c r="F19" s="14"/>
      <c r="G19" s="15">
        <v>8</v>
      </c>
      <c r="H19" s="15"/>
      <c r="I19" s="15"/>
      <c r="J19" s="7">
        <v>560</v>
      </c>
    </row>
    <row r="20" spans="1:12" x14ac:dyDescent="0.25">
      <c r="A20" s="13"/>
      <c r="B20" s="6"/>
      <c r="C20" s="6"/>
      <c r="F20" s="14"/>
      <c r="G20" s="15"/>
      <c r="H20" s="15"/>
      <c r="I20" s="15"/>
    </row>
    <row r="21" spans="1:12" x14ac:dyDescent="0.25">
      <c r="A21" s="13" t="s">
        <v>228</v>
      </c>
      <c r="B21" s="6"/>
      <c r="C21" s="6"/>
    </row>
    <row r="22" spans="1:12" x14ac:dyDescent="0.25">
      <c r="A22" s="13"/>
      <c r="B22" s="6" t="s">
        <v>215</v>
      </c>
      <c r="C22" s="6"/>
      <c r="F22" s="17">
        <f>SUM(F8:F20)</f>
        <v>232691</v>
      </c>
    </row>
    <row r="23" spans="1:12" x14ac:dyDescent="0.25">
      <c r="A23" s="6"/>
      <c r="B23" s="6"/>
      <c r="C23" s="6"/>
    </row>
    <row r="24" spans="1:12" x14ac:dyDescent="0.25">
      <c r="A24" s="13" t="s">
        <v>229</v>
      </c>
      <c r="B24" s="13"/>
      <c r="C24" s="13"/>
      <c r="D24" s="8"/>
      <c r="E24" s="8"/>
      <c r="F24" s="8"/>
      <c r="G24" s="8"/>
      <c r="H24" s="8" t="s">
        <v>230</v>
      </c>
      <c r="I24" s="8" t="s">
        <v>231</v>
      </c>
      <c r="J24" s="8" t="s">
        <v>232</v>
      </c>
      <c r="K24" s="8"/>
    </row>
    <row r="25" spans="1:12" x14ac:dyDescent="0.25">
      <c r="A25" s="6"/>
      <c r="B25" s="6" t="s">
        <v>233</v>
      </c>
      <c r="C25" s="6"/>
      <c r="H25" s="18">
        <v>0</v>
      </c>
      <c r="I25" s="18">
        <v>0</v>
      </c>
      <c r="J25" s="18">
        <v>0</v>
      </c>
    </row>
    <row r="26" spans="1:12" x14ac:dyDescent="0.25">
      <c r="A26" s="6"/>
      <c r="B26" s="6" t="s">
        <v>234</v>
      </c>
      <c r="C26" s="6"/>
      <c r="H26" s="18">
        <v>132467.69</v>
      </c>
      <c r="I26" s="18">
        <v>0</v>
      </c>
      <c r="J26" s="18">
        <v>132467.69</v>
      </c>
    </row>
    <row r="27" spans="1:12" x14ac:dyDescent="0.25">
      <c r="A27" s="6"/>
      <c r="B27" s="6" t="s">
        <v>235</v>
      </c>
      <c r="C27" s="6"/>
      <c r="H27" s="18">
        <v>0</v>
      </c>
      <c r="I27" s="18">
        <v>0</v>
      </c>
      <c r="J27" s="18">
        <v>0</v>
      </c>
    </row>
    <row r="28" spans="1:12" x14ac:dyDescent="0.25">
      <c r="A28" s="13"/>
      <c r="B28" s="13"/>
      <c r="C28" s="13"/>
      <c r="D28" s="8"/>
      <c r="E28" s="8"/>
      <c r="F28" s="8"/>
      <c r="G28" s="8"/>
      <c r="H28" s="19"/>
      <c r="I28" s="19"/>
      <c r="J28" s="19"/>
      <c r="K28" s="8"/>
      <c r="L28" s="8"/>
    </row>
    <row r="29" spans="1:12" x14ac:dyDescent="0.25">
      <c r="A29" s="13" t="s">
        <v>236</v>
      </c>
      <c r="B29" s="13"/>
      <c r="C29" s="13"/>
      <c r="D29" s="8"/>
      <c r="E29" s="8"/>
      <c r="F29" s="8"/>
      <c r="G29" s="8"/>
      <c r="H29" s="8" t="s">
        <v>237</v>
      </c>
      <c r="I29" s="8" t="s">
        <v>238</v>
      </c>
      <c r="J29" s="8" t="s">
        <v>239</v>
      </c>
      <c r="K29" s="8"/>
    </row>
    <row r="30" spans="1:12" x14ac:dyDescent="0.25">
      <c r="A30" s="6"/>
      <c r="B30" s="6" t="s">
        <v>240</v>
      </c>
      <c r="C30" s="6"/>
      <c r="H30" s="18">
        <v>0</v>
      </c>
      <c r="I30" s="18">
        <v>0</v>
      </c>
      <c r="J30" s="18">
        <v>0</v>
      </c>
    </row>
    <row r="31" spans="1:12" x14ac:dyDescent="0.25">
      <c r="A31" s="6"/>
      <c r="B31" s="6" t="s">
        <v>241</v>
      </c>
      <c r="C31" s="6"/>
      <c r="H31" s="18">
        <v>0</v>
      </c>
      <c r="I31" s="18">
        <v>0</v>
      </c>
      <c r="J31" s="18">
        <v>0</v>
      </c>
    </row>
    <row r="32" spans="1:12" x14ac:dyDescent="0.25">
      <c r="A32" s="6"/>
      <c r="B32" s="6" t="s">
        <v>242</v>
      </c>
      <c r="C32" s="6"/>
      <c r="H32" s="18">
        <v>0</v>
      </c>
      <c r="I32" s="18">
        <v>0</v>
      </c>
      <c r="J32" s="18">
        <v>0</v>
      </c>
    </row>
    <row r="33" spans="1:12" x14ac:dyDescent="0.25">
      <c r="A33" s="6"/>
      <c r="B33" s="6" t="s">
        <v>243</v>
      </c>
      <c r="C33" s="6"/>
      <c r="H33" s="18">
        <v>0</v>
      </c>
      <c r="I33" s="18">
        <v>0</v>
      </c>
      <c r="J33" s="18">
        <v>0</v>
      </c>
    </row>
    <row r="34" spans="1:12" x14ac:dyDescent="0.25">
      <c r="A34" s="6"/>
      <c r="B34" s="6" t="s">
        <v>244</v>
      </c>
      <c r="C34" s="6"/>
      <c r="H34" s="18">
        <v>0</v>
      </c>
      <c r="I34" s="18">
        <v>0</v>
      </c>
      <c r="J34" s="18">
        <v>0</v>
      </c>
    </row>
    <row r="35" spans="1:12" x14ac:dyDescent="0.25">
      <c r="A35" s="6"/>
      <c r="B35" s="6" t="s">
        <v>245</v>
      </c>
      <c r="C35" s="6"/>
      <c r="H35" s="18">
        <v>0</v>
      </c>
      <c r="I35" s="18">
        <v>0</v>
      </c>
      <c r="J35" s="18">
        <v>0</v>
      </c>
    </row>
    <row r="36" spans="1:12" x14ac:dyDescent="0.25">
      <c r="A36" s="6"/>
      <c r="B36" s="6" t="s">
        <v>246</v>
      </c>
      <c r="C36" s="6"/>
      <c r="H36" s="18">
        <v>0</v>
      </c>
      <c r="I36" s="18">
        <v>0</v>
      </c>
      <c r="J36" s="18">
        <v>0</v>
      </c>
    </row>
    <row r="37" spans="1:12" x14ac:dyDescent="0.25">
      <c r="A37" s="6"/>
      <c r="B37" s="6" t="s">
        <v>247</v>
      </c>
      <c r="C37" s="6"/>
      <c r="H37" s="18">
        <v>0</v>
      </c>
      <c r="I37" s="18">
        <v>0</v>
      </c>
      <c r="J37" s="18">
        <v>0</v>
      </c>
    </row>
    <row r="38" spans="1:12" x14ac:dyDescent="0.25">
      <c r="A38" s="6"/>
      <c r="B38" s="6" t="s">
        <v>248</v>
      </c>
      <c r="C38" s="6"/>
      <c r="H38" s="18">
        <v>0</v>
      </c>
      <c r="I38" s="18">
        <v>0</v>
      </c>
      <c r="J38" s="18">
        <v>0</v>
      </c>
    </row>
    <row r="39" spans="1:12" x14ac:dyDescent="0.25">
      <c r="A39" s="6"/>
      <c r="B39" s="6" t="s">
        <v>249</v>
      </c>
      <c r="C39" s="6"/>
      <c r="H39" s="18">
        <v>0</v>
      </c>
      <c r="I39" s="18">
        <v>0</v>
      </c>
      <c r="J39" s="18">
        <v>0</v>
      </c>
    </row>
    <row r="40" spans="1:12" x14ac:dyDescent="0.25">
      <c r="A40" s="6"/>
      <c r="B40" s="6"/>
      <c r="C40" s="6"/>
      <c r="H40" s="18"/>
      <c r="I40" s="18"/>
      <c r="J40" s="18"/>
    </row>
    <row r="41" spans="1:12" x14ac:dyDescent="0.25">
      <c r="A41" s="13" t="s">
        <v>250</v>
      </c>
      <c r="B41" s="13"/>
      <c r="C41" s="13"/>
      <c r="D41" s="8"/>
      <c r="E41" s="8"/>
      <c r="F41" s="8"/>
      <c r="G41" s="8"/>
      <c r="H41" s="19" t="s">
        <v>251</v>
      </c>
      <c r="I41" s="19" t="s">
        <v>252</v>
      </c>
      <c r="J41" s="19" t="s">
        <v>253</v>
      </c>
      <c r="K41" s="8"/>
    </row>
    <row r="42" spans="1:12" x14ac:dyDescent="0.25">
      <c r="A42" s="6"/>
      <c r="B42" s="6" t="s">
        <v>254</v>
      </c>
      <c r="C42" s="6"/>
      <c r="H42" s="18">
        <v>0</v>
      </c>
      <c r="I42" s="18">
        <v>0</v>
      </c>
      <c r="J42" s="18">
        <v>0</v>
      </c>
    </row>
    <row r="43" spans="1:12" x14ac:dyDescent="0.25">
      <c r="A43" s="6"/>
      <c r="B43" s="6" t="s">
        <v>255</v>
      </c>
      <c r="C43" s="6"/>
      <c r="H43" s="18">
        <v>0</v>
      </c>
      <c r="I43" s="18">
        <v>0</v>
      </c>
      <c r="J43" s="18">
        <v>0</v>
      </c>
    </row>
    <row r="44" spans="1:12" x14ac:dyDescent="0.25">
      <c r="A44" s="6"/>
      <c r="B44" s="6" t="s">
        <v>256</v>
      </c>
      <c r="C44" s="6"/>
      <c r="H44" s="18">
        <v>0</v>
      </c>
      <c r="I44" s="18">
        <v>0</v>
      </c>
      <c r="J44" s="18">
        <v>0</v>
      </c>
    </row>
    <row r="45" spans="1:12" x14ac:dyDescent="0.25">
      <c r="A45" s="6"/>
      <c r="B45" s="6"/>
      <c r="C45" s="6"/>
      <c r="H45" s="18"/>
      <c r="I45" s="18"/>
      <c r="J45" s="18"/>
    </row>
    <row r="46" spans="1:12" x14ac:dyDescent="0.25">
      <c r="A46" s="13" t="s">
        <v>257</v>
      </c>
      <c r="B46" s="13"/>
      <c r="C46" s="13"/>
      <c r="D46" s="8"/>
      <c r="E46" s="8"/>
      <c r="F46" s="8" t="s">
        <v>215</v>
      </c>
      <c r="G46" s="8"/>
      <c r="H46" s="19" t="s">
        <v>258</v>
      </c>
      <c r="I46" s="19"/>
      <c r="J46" s="19"/>
      <c r="K46" s="8" t="s">
        <v>259</v>
      </c>
      <c r="L46" s="8" t="s">
        <v>260</v>
      </c>
    </row>
    <row r="47" spans="1:12" x14ac:dyDescent="0.25">
      <c r="A47" s="13"/>
      <c r="B47" s="13"/>
      <c r="C47" s="13"/>
      <c r="D47" s="8"/>
      <c r="E47" s="8" t="s">
        <v>261</v>
      </c>
      <c r="F47" s="8"/>
    </row>
    <row r="48" spans="1:12" x14ac:dyDescent="0.25">
      <c r="A48" s="6"/>
      <c r="B48" s="6"/>
      <c r="C48" s="6" t="s">
        <v>222</v>
      </c>
      <c r="F48" s="20"/>
      <c r="H48" s="18">
        <v>0</v>
      </c>
      <c r="I48" s="18"/>
      <c r="J48" s="18"/>
    </row>
    <row r="49" spans="1:10" x14ac:dyDescent="0.25">
      <c r="A49" s="6"/>
      <c r="B49" s="6"/>
      <c r="C49" s="6" t="s">
        <v>215</v>
      </c>
      <c r="F49" s="20">
        <v>0</v>
      </c>
      <c r="H49" s="18"/>
      <c r="I49" s="18"/>
      <c r="J49" s="18"/>
    </row>
    <row r="50" spans="1:10" x14ac:dyDescent="0.25">
      <c r="A50" s="6"/>
      <c r="B50" s="6"/>
      <c r="C50" s="6" t="s">
        <v>233</v>
      </c>
      <c r="F50" s="20"/>
      <c r="H50" s="18">
        <v>0</v>
      </c>
      <c r="I50" s="18"/>
      <c r="J50" s="18"/>
    </row>
    <row r="51" spans="1:10" x14ac:dyDescent="0.25">
      <c r="A51" s="6"/>
      <c r="B51" s="6"/>
      <c r="C51" s="6" t="s">
        <v>262</v>
      </c>
      <c r="F51" s="20"/>
      <c r="H51" s="18">
        <v>0</v>
      </c>
      <c r="I51" s="18"/>
      <c r="J51" s="18"/>
    </row>
    <row r="52" spans="1:10" x14ac:dyDescent="0.25">
      <c r="A52" s="6"/>
      <c r="B52" s="6"/>
      <c r="C52" s="6" t="s">
        <v>263</v>
      </c>
      <c r="F52" s="20"/>
      <c r="H52" s="18">
        <v>0</v>
      </c>
      <c r="I52" s="18"/>
      <c r="J52" s="18"/>
    </row>
    <row r="53" spans="1:10" x14ac:dyDescent="0.25">
      <c r="A53" s="6"/>
      <c r="B53" s="6"/>
      <c r="C53" s="6" t="s">
        <v>264</v>
      </c>
      <c r="F53" s="20"/>
      <c r="H53" s="18">
        <v>0</v>
      </c>
      <c r="I53" s="18"/>
      <c r="J53" s="18"/>
    </row>
    <row r="54" spans="1:10" x14ac:dyDescent="0.25">
      <c r="A54" s="6"/>
      <c r="B54" s="6"/>
      <c r="C54" s="6" t="s">
        <v>265</v>
      </c>
      <c r="F54" s="20"/>
      <c r="H54" s="18">
        <v>0</v>
      </c>
      <c r="I54" s="18"/>
      <c r="J54" s="18"/>
    </row>
    <row r="55" spans="1:10" x14ac:dyDescent="0.25">
      <c r="A55" s="6"/>
      <c r="B55" s="6"/>
      <c r="C55" s="6" t="s">
        <v>266</v>
      </c>
      <c r="F55" s="20"/>
      <c r="H55" s="18">
        <v>0</v>
      </c>
      <c r="I55" s="18"/>
      <c r="J55" s="18"/>
    </row>
    <row r="56" spans="1:10" x14ac:dyDescent="0.25">
      <c r="A56" s="6"/>
      <c r="B56" s="6"/>
      <c r="C56" s="6" t="s">
        <v>267</v>
      </c>
      <c r="F56" s="20"/>
      <c r="H56" s="18">
        <v>0</v>
      </c>
      <c r="I56" s="18"/>
      <c r="J56" s="18"/>
    </row>
    <row r="57" spans="1:10" x14ac:dyDescent="0.25">
      <c r="A57" s="6"/>
      <c r="B57" s="6"/>
      <c r="C57" s="6" t="s">
        <v>268</v>
      </c>
      <c r="F57" s="20"/>
      <c r="H57" s="18">
        <v>0</v>
      </c>
      <c r="I57" s="18"/>
      <c r="J57" s="18"/>
    </row>
    <row r="58" spans="1:10" x14ac:dyDescent="0.25">
      <c r="A58" s="6"/>
      <c r="B58" s="6"/>
      <c r="C58" s="6" t="s">
        <v>269</v>
      </c>
      <c r="F58" s="20"/>
      <c r="H58" s="18">
        <v>0</v>
      </c>
      <c r="I58" s="18"/>
      <c r="J58" s="18"/>
    </row>
    <row r="59" spans="1:10" x14ac:dyDescent="0.25">
      <c r="A59" s="6"/>
      <c r="B59" s="6"/>
      <c r="C59" s="6" t="s">
        <v>270</v>
      </c>
      <c r="F59" s="20"/>
      <c r="H59" s="18">
        <v>0</v>
      </c>
      <c r="I59" s="18"/>
      <c r="J59" s="18"/>
    </row>
    <row r="60" spans="1:10" x14ac:dyDescent="0.25">
      <c r="A60" s="6"/>
      <c r="B60" s="6"/>
      <c r="C60" s="6" t="s">
        <v>271</v>
      </c>
      <c r="F60" s="20"/>
      <c r="H60" s="18">
        <v>0</v>
      </c>
      <c r="I60" s="18"/>
      <c r="J60" s="18"/>
    </row>
    <row r="61" spans="1:10" x14ac:dyDescent="0.25">
      <c r="A61" s="6"/>
      <c r="B61" s="6"/>
      <c r="C61" s="6" t="s">
        <v>272</v>
      </c>
      <c r="F61" s="20"/>
      <c r="H61" s="18">
        <v>0</v>
      </c>
      <c r="I61" s="18"/>
      <c r="J61" s="18"/>
    </row>
    <row r="62" spans="1:10" x14ac:dyDescent="0.25">
      <c r="A62" s="6"/>
      <c r="B62" s="6"/>
      <c r="C62" s="6" t="s">
        <v>273</v>
      </c>
      <c r="F62" s="20"/>
      <c r="H62" s="18">
        <v>0</v>
      </c>
      <c r="I62" s="18"/>
      <c r="J62" s="18"/>
    </row>
    <row r="63" spans="1:10" x14ac:dyDescent="0.25">
      <c r="A63" s="6"/>
      <c r="B63" s="6"/>
      <c r="C63" s="6" t="s">
        <v>274</v>
      </c>
      <c r="F63" s="20"/>
      <c r="H63" s="18">
        <v>0</v>
      </c>
      <c r="I63" s="18"/>
      <c r="J63" s="18"/>
    </row>
    <row r="64" spans="1:10" x14ac:dyDescent="0.25">
      <c r="A64" s="6"/>
      <c r="B64" s="6"/>
      <c r="C64" s="6" t="s">
        <v>275</v>
      </c>
      <c r="F64" s="20"/>
      <c r="H64" s="18">
        <v>0</v>
      </c>
      <c r="I64" s="18"/>
      <c r="J64" s="18"/>
    </row>
    <row r="65" spans="1:10" x14ac:dyDescent="0.25">
      <c r="A65" s="6"/>
      <c r="B65" s="6"/>
      <c r="C65" s="6" t="s">
        <v>276</v>
      </c>
      <c r="F65" s="20"/>
      <c r="H65" s="18">
        <v>0</v>
      </c>
      <c r="I65" s="18"/>
      <c r="J65" s="18"/>
    </row>
    <row r="66" spans="1:10" x14ac:dyDescent="0.25">
      <c r="A66" s="13"/>
      <c r="B66" s="13"/>
      <c r="C66" s="13"/>
      <c r="D66" s="8"/>
      <c r="E66" s="8" t="s">
        <v>277</v>
      </c>
      <c r="F66" s="21"/>
      <c r="H66" s="18"/>
      <c r="I66" s="18"/>
      <c r="J66" s="18"/>
    </row>
    <row r="67" spans="1:10" x14ac:dyDescent="0.25">
      <c r="A67" s="6"/>
      <c r="B67" s="6"/>
      <c r="C67" s="6" t="s">
        <v>278</v>
      </c>
      <c r="F67" s="20"/>
      <c r="H67" s="18">
        <v>0</v>
      </c>
      <c r="I67" s="18"/>
      <c r="J67" s="18"/>
    </row>
    <row r="68" spans="1:10" x14ac:dyDescent="0.25">
      <c r="A68" s="6"/>
      <c r="B68" s="6"/>
      <c r="C68" s="6" t="s">
        <v>279</v>
      </c>
      <c r="F68" s="20"/>
      <c r="H68" s="18">
        <v>0</v>
      </c>
      <c r="I68" s="18"/>
      <c r="J68" s="18"/>
    </row>
    <row r="69" spans="1:10" x14ac:dyDescent="0.25">
      <c r="A69" s="6"/>
      <c r="B69" s="6"/>
      <c r="C69" s="6" t="s">
        <v>280</v>
      </c>
      <c r="F69" s="20"/>
      <c r="H69" s="18">
        <v>0</v>
      </c>
      <c r="I69" s="18"/>
      <c r="J69" s="18"/>
    </row>
    <row r="70" spans="1:10" x14ac:dyDescent="0.25">
      <c r="A70" s="6"/>
      <c r="B70" s="6"/>
      <c r="C70" s="6" t="s">
        <v>281</v>
      </c>
      <c r="F70" s="20"/>
      <c r="H70" s="18">
        <v>0</v>
      </c>
      <c r="I70" s="18"/>
      <c r="J70" s="18"/>
    </row>
    <row r="71" spans="1:10" x14ac:dyDescent="0.25">
      <c r="A71" s="6"/>
      <c r="B71" s="6"/>
      <c r="C71" s="6" t="s">
        <v>282</v>
      </c>
      <c r="F71" s="20"/>
      <c r="H71" s="18">
        <v>0</v>
      </c>
      <c r="I71" s="18"/>
      <c r="J71" s="18"/>
    </row>
    <row r="72" spans="1:10" x14ac:dyDescent="0.25">
      <c r="A72" s="6"/>
      <c r="B72" s="6"/>
      <c r="C72" s="6" t="s">
        <v>263</v>
      </c>
      <c r="F72" s="20"/>
      <c r="H72" s="18">
        <v>0</v>
      </c>
      <c r="I72" s="18"/>
      <c r="J72" s="18"/>
    </row>
    <row r="73" spans="1:10" x14ac:dyDescent="0.25">
      <c r="A73" s="6"/>
      <c r="B73" s="6"/>
      <c r="C73" s="6" t="s">
        <v>264</v>
      </c>
      <c r="F73" s="20"/>
      <c r="H73" s="18">
        <v>0</v>
      </c>
      <c r="I73" s="18"/>
      <c r="J73" s="18"/>
    </row>
    <row r="74" spans="1:10" x14ac:dyDescent="0.25">
      <c r="A74" s="6"/>
      <c r="B74" s="6"/>
      <c r="C74" s="6" t="s">
        <v>283</v>
      </c>
      <c r="F74" s="20"/>
      <c r="H74" s="18">
        <v>0</v>
      </c>
      <c r="I74" s="18"/>
      <c r="J74" s="18"/>
    </row>
    <row r="75" spans="1:10" x14ac:dyDescent="0.25">
      <c r="A75" s="6"/>
      <c r="B75" s="6"/>
      <c r="C75" s="6" t="s">
        <v>284</v>
      </c>
      <c r="F75" s="20"/>
      <c r="H75" s="18">
        <v>0</v>
      </c>
      <c r="I75" s="18"/>
      <c r="J75" s="18"/>
    </row>
    <row r="76" spans="1:10" x14ac:dyDescent="0.25">
      <c r="A76" s="6"/>
      <c r="B76" s="6"/>
      <c r="C76" s="6" t="s">
        <v>285</v>
      </c>
      <c r="F76" s="20"/>
      <c r="H76" s="18">
        <v>0</v>
      </c>
      <c r="I76" s="18"/>
      <c r="J76" s="18"/>
    </row>
    <row r="77" spans="1:10" x14ac:dyDescent="0.25">
      <c r="A77" s="6"/>
      <c r="B77" s="6"/>
      <c r="C77" s="6" t="s">
        <v>286</v>
      </c>
      <c r="F77" s="20"/>
      <c r="H77" s="18">
        <v>0</v>
      </c>
      <c r="I77" s="18"/>
      <c r="J77" s="18"/>
    </row>
    <row r="78" spans="1:10" x14ac:dyDescent="0.25">
      <c r="A78" s="6"/>
      <c r="B78" s="6"/>
      <c r="C78" s="6" t="s">
        <v>287</v>
      </c>
      <c r="F78" s="20"/>
      <c r="H78" s="18">
        <v>0</v>
      </c>
      <c r="I78" s="18"/>
      <c r="J78" s="18"/>
    </row>
    <row r="79" spans="1:10" x14ac:dyDescent="0.25">
      <c r="A79" s="6"/>
      <c r="B79" s="6"/>
      <c r="C79" s="6" t="s">
        <v>288</v>
      </c>
      <c r="F79" s="20"/>
      <c r="H79" s="18">
        <v>0</v>
      </c>
      <c r="I79" s="18"/>
      <c r="J79" s="18"/>
    </row>
    <row r="80" spans="1:10" x14ac:dyDescent="0.25">
      <c r="A80" s="6"/>
      <c r="B80" s="6"/>
      <c r="C80" s="6" t="s">
        <v>289</v>
      </c>
      <c r="F80" s="20"/>
      <c r="H80" s="18">
        <v>0</v>
      </c>
      <c r="I80" s="18"/>
      <c r="J80" s="18"/>
    </row>
    <row r="81" spans="1:10" x14ac:dyDescent="0.25">
      <c r="A81" s="6"/>
      <c r="B81" s="6"/>
      <c r="C81" s="6" t="s">
        <v>290</v>
      </c>
      <c r="F81" s="20"/>
      <c r="H81" s="18">
        <v>0</v>
      </c>
      <c r="I81" s="18"/>
      <c r="J81" s="18"/>
    </row>
    <row r="82" spans="1:10" x14ac:dyDescent="0.25">
      <c r="A82" s="6"/>
      <c r="B82" s="6"/>
      <c r="C82" s="6" t="s">
        <v>291</v>
      </c>
      <c r="F82" s="20"/>
      <c r="H82" s="18">
        <v>0</v>
      </c>
      <c r="I82" s="18"/>
      <c r="J82" s="18"/>
    </row>
    <row r="83" spans="1:10" x14ac:dyDescent="0.25">
      <c r="A83" s="6"/>
      <c r="B83" s="6"/>
      <c r="C83" s="6" t="s">
        <v>292</v>
      </c>
      <c r="F83" s="20"/>
      <c r="H83" s="18">
        <v>0</v>
      </c>
      <c r="I83" s="18"/>
      <c r="J83" s="18"/>
    </row>
    <row r="84" spans="1:10" x14ac:dyDescent="0.25">
      <c r="A84" s="6"/>
      <c r="B84" s="6"/>
      <c r="C84" s="6" t="s">
        <v>293</v>
      </c>
      <c r="F84" s="20"/>
      <c r="H84" s="18">
        <v>0</v>
      </c>
      <c r="I84" s="18"/>
      <c r="J84" s="18"/>
    </row>
    <row r="85" spans="1:10" x14ac:dyDescent="0.25">
      <c r="A85" s="6"/>
      <c r="B85" s="6"/>
      <c r="C85" s="6" t="s">
        <v>294</v>
      </c>
      <c r="F85" s="20"/>
      <c r="H85" s="18">
        <v>0</v>
      </c>
      <c r="I85" s="18"/>
      <c r="J85" s="18"/>
    </row>
    <row r="86" spans="1:10" x14ac:dyDescent="0.25">
      <c r="A86" s="6"/>
      <c r="B86" s="6"/>
      <c r="C86" s="6" t="s">
        <v>295</v>
      </c>
      <c r="F86" s="20"/>
      <c r="H86" s="18">
        <v>0</v>
      </c>
      <c r="I86" s="18"/>
      <c r="J86" s="18"/>
    </row>
    <row r="87" spans="1:10" x14ac:dyDescent="0.25">
      <c r="A87" s="6"/>
      <c r="B87" s="6"/>
      <c r="C87" s="6" t="s">
        <v>296</v>
      </c>
      <c r="F87" s="20"/>
      <c r="H87" s="18">
        <v>0</v>
      </c>
      <c r="I87" s="18"/>
      <c r="J87" s="18"/>
    </row>
    <row r="88" spans="1:10" x14ac:dyDescent="0.25">
      <c r="A88" s="6"/>
      <c r="B88" s="6"/>
      <c r="C88" s="6" t="s">
        <v>297</v>
      </c>
      <c r="F88" s="20"/>
      <c r="H88" s="18">
        <v>0</v>
      </c>
      <c r="I88" s="18"/>
      <c r="J88" s="18"/>
    </row>
    <row r="89" spans="1:10" x14ac:dyDescent="0.25">
      <c r="A89" s="6"/>
      <c r="B89" s="6"/>
      <c r="C89" s="6" t="s">
        <v>298</v>
      </c>
      <c r="F89" s="20"/>
      <c r="H89" s="18">
        <v>0</v>
      </c>
      <c r="I89" s="18"/>
      <c r="J89" s="18"/>
    </row>
    <row r="90" spans="1:10" x14ac:dyDescent="0.25">
      <c r="A90" s="6"/>
      <c r="B90" s="6"/>
      <c r="C90" s="6" t="s">
        <v>299</v>
      </c>
      <c r="F90" s="20"/>
      <c r="H90" s="18">
        <v>0</v>
      </c>
      <c r="I90" s="18"/>
      <c r="J90" s="18"/>
    </row>
    <row r="91" spans="1:10" x14ac:dyDescent="0.25">
      <c r="A91" s="6"/>
      <c r="B91" s="6"/>
      <c r="C91" s="6" t="s">
        <v>265</v>
      </c>
      <c r="F91" s="20"/>
      <c r="H91" s="18">
        <v>0</v>
      </c>
      <c r="I91" s="18"/>
      <c r="J91" s="18"/>
    </row>
    <row r="92" spans="1:10" x14ac:dyDescent="0.25">
      <c r="A92" s="6"/>
      <c r="B92" s="6"/>
      <c r="C92" s="6" t="s">
        <v>266</v>
      </c>
      <c r="F92" s="20"/>
      <c r="H92" s="18">
        <v>0</v>
      </c>
      <c r="I92" s="18"/>
      <c r="J92" s="18"/>
    </row>
    <row r="93" spans="1:10" x14ac:dyDescent="0.25">
      <c r="A93" s="6"/>
      <c r="B93" s="6"/>
      <c r="C93" s="6" t="s">
        <v>267</v>
      </c>
      <c r="F93" s="20"/>
      <c r="H93" s="18">
        <v>0</v>
      </c>
      <c r="I93" s="18"/>
      <c r="J93" s="18"/>
    </row>
    <row r="94" spans="1:10" x14ac:dyDescent="0.25">
      <c r="A94" s="6"/>
      <c r="B94" s="6"/>
      <c r="C94" s="6" t="s">
        <v>268</v>
      </c>
      <c r="F94" s="20"/>
      <c r="H94" s="18">
        <v>0</v>
      </c>
      <c r="I94" s="18"/>
      <c r="J94" s="18"/>
    </row>
    <row r="95" spans="1:10" x14ac:dyDescent="0.25">
      <c r="A95" s="6"/>
      <c r="B95" s="6"/>
      <c r="C95" s="6" t="s">
        <v>269</v>
      </c>
      <c r="F95" s="20"/>
      <c r="H95" s="18">
        <v>0</v>
      </c>
      <c r="I95" s="18"/>
      <c r="J95" s="18"/>
    </row>
    <row r="96" spans="1:10" x14ac:dyDescent="0.25">
      <c r="A96" s="6"/>
      <c r="B96" s="6"/>
      <c r="C96" s="6" t="s">
        <v>270</v>
      </c>
      <c r="F96" s="20"/>
      <c r="H96" s="18">
        <v>0</v>
      </c>
      <c r="I96" s="18"/>
      <c r="J96" s="18"/>
    </row>
    <row r="97" spans="1:12" x14ac:dyDescent="0.25">
      <c r="A97" s="6"/>
      <c r="B97" s="6"/>
      <c r="C97" s="6" t="s">
        <v>271</v>
      </c>
      <c r="F97" s="20"/>
      <c r="H97" s="18">
        <v>0</v>
      </c>
      <c r="I97" s="18"/>
      <c r="J97" s="18"/>
    </row>
    <row r="98" spans="1:12" x14ac:dyDescent="0.25">
      <c r="A98" s="6"/>
      <c r="B98" s="6"/>
      <c r="C98" s="6" t="s">
        <v>272</v>
      </c>
      <c r="F98" s="20"/>
      <c r="H98" s="18">
        <v>0</v>
      </c>
      <c r="I98" s="18"/>
      <c r="J98" s="18"/>
    </row>
    <row r="99" spans="1:12" x14ac:dyDescent="0.25">
      <c r="A99" s="6"/>
      <c r="B99" s="6"/>
      <c r="C99" s="6" t="s">
        <v>274</v>
      </c>
      <c r="F99" s="20"/>
      <c r="H99" s="18">
        <v>0</v>
      </c>
      <c r="I99" s="18"/>
      <c r="J99" s="18"/>
    </row>
    <row r="100" spans="1:12" x14ac:dyDescent="0.25">
      <c r="A100" s="6"/>
      <c r="B100" s="6"/>
      <c r="C100" s="6"/>
      <c r="F100" s="20"/>
      <c r="H100" s="18"/>
      <c r="I100" s="18"/>
      <c r="J100" s="18"/>
    </row>
    <row r="101" spans="1:12" x14ac:dyDescent="0.25">
      <c r="C101" s="7" t="s">
        <v>300</v>
      </c>
      <c r="F101" s="20"/>
      <c r="H101" s="18">
        <v>0</v>
      </c>
      <c r="I101" s="18"/>
      <c r="J101" s="18"/>
    </row>
    <row r="102" spans="1:12" x14ac:dyDescent="0.25">
      <c r="B102" s="7" t="s">
        <v>301</v>
      </c>
      <c r="F102" s="20">
        <f>SUM(F48:F101)</f>
        <v>0</v>
      </c>
      <c r="H102" s="18"/>
      <c r="I102" s="18"/>
      <c r="J102" s="22">
        <f>SUM(H48:H101)</f>
        <v>0</v>
      </c>
      <c r="K102" s="23">
        <f>SUM(J102/J166)</f>
        <v>0</v>
      </c>
      <c r="L102" s="7">
        <f>SUM(F102/J169)</f>
        <v>0</v>
      </c>
    </row>
    <row r="103" spans="1:12" x14ac:dyDescent="0.25">
      <c r="A103" s="8" t="s">
        <v>302</v>
      </c>
      <c r="B103" s="8"/>
      <c r="C103" s="8"/>
      <c r="D103" s="8"/>
      <c r="E103" s="8"/>
      <c r="F103" s="8"/>
      <c r="G103" s="8"/>
      <c r="H103" s="8"/>
      <c r="I103" s="8"/>
      <c r="J103" s="8"/>
      <c r="K103" s="8"/>
    </row>
    <row r="104" spans="1:12" x14ac:dyDescent="0.25">
      <c r="C104" s="7" t="s">
        <v>303</v>
      </c>
      <c r="H104" s="22">
        <v>0</v>
      </c>
    </row>
    <row r="105" spans="1:12" x14ac:dyDescent="0.25">
      <c r="C105" s="7" t="s">
        <v>304</v>
      </c>
      <c r="H105" s="22">
        <v>0</v>
      </c>
    </row>
    <row r="106" spans="1:12" x14ac:dyDescent="0.25">
      <c r="C106" s="7" t="s">
        <v>305</v>
      </c>
      <c r="H106" s="22">
        <v>0</v>
      </c>
    </row>
    <row r="107" spans="1:12" x14ac:dyDescent="0.25">
      <c r="C107" s="7" t="s">
        <v>306</v>
      </c>
      <c r="H107" s="22">
        <v>0</v>
      </c>
    </row>
    <row r="108" spans="1:12" x14ac:dyDescent="0.25">
      <c r="C108" s="7" t="s">
        <v>307</v>
      </c>
      <c r="H108" s="22">
        <v>0</v>
      </c>
    </row>
    <row r="109" spans="1:12" x14ac:dyDescent="0.25">
      <c r="C109" s="7" t="s">
        <v>308</v>
      </c>
      <c r="H109" s="22">
        <v>0</v>
      </c>
    </row>
    <row r="110" spans="1:12" x14ac:dyDescent="0.25">
      <c r="C110" s="7" t="s">
        <v>309</v>
      </c>
      <c r="H110" s="22">
        <v>0</v>
      </c>
    </row>
    <row r="111" spans="1:12" x14ac:dyDescent="0.25">
      <c r="C111" s="7" t="s">
        <v>310</v>
      </c>
      <c r="H111" s="22">
        <v>0</v>
      </c>
    </row>
    <row r="112" spans="1:12" x14ac:dyDescent="0.25">
      <c r="C112" s="7" t="s">
        <v>311</v>
      </c>
      <c r="H112" s="22">
        <v>0</v>
      </c>
    </row>
    <row r="113" spans="1:11" x14ac:dyDescent="0.25">
      <c r="B113" s="7" t="s">
        <v>312</v>
      </c>
      <c r="J113" s="22">
        <f>SUM(H104:H112)</f>
        <v>0</v>
      </c>
      <c r="K113" s="23">
        <f>SUM(J113/J166)</f>
        <v>0</v>
      </c>
    </row>
    <row r="114" spans="1:11" x14ac:dyDescent="0.25">
      <c r="A114" s="8" t="s">
        <v>313</v>
      </c>
      <c r="B114" s="8"/>
      <c r="C114" s="8"/>
      <c r="D114" s="8"/>
      <c r="E114" s="8"/>
      <c r="F114" s="8"/>
      <c r="G114" s="8"/>
      <c r="H114" s="8"/>
      <c r="I114" s="8" t="s">
        <v>314</v>
      </c>
      <c r="J114" s="8"/>
      <c r="K114" s="8"/>
    </row>
    <row r="115" spans="1:11" x14ac:dyDescent="0.25">
      <c r="A115" s="8"/>
      <c r="B115" s="8"/>
      <c r="C115" s="8"/>
      <c r="D115" s="8"/>
      <c r="E115" s="8" t="s">
        <v>261</v>
      </c>
      <c r="F115" s="8"/>
      <c r="G115" s="8"/>
      <c r="H115" s="8"/>
      <c r="I115" s="8"/>
    </row>
    <row r="116" spans="1:11" x14ac:dyDescent="0.25">
      <c r="C116" s="7" t="s">
        <v>215</v>
      </c>
      <c r="F116" s="20">
        <v>0</v>
      </c>
      <c r="I116" s="18"/>
      <c r="J116" s="18"/>
    </row>
    <row r="117" spans="1:11" x14ac:dyDescent="0.25">
      <c r="C117" s="7" t="s">
        <v>315</v>
      </c>
      <c r="F117" s="20"/>
      <c r="I117" s="18">
        <v>0</v>
      </c>
      <c r="J117" s="18"/>
    </row>
    <row r="118" spans="1:11" x14ac:dyDescent="0.25">
      <c r="C118" s="7" t="s">
        <v>233</v>
      </c>
      <c r="F118" s="20"/>
      <c r="I118" s="18">
        <v>0</v>
      </c>
      <c r="J118" s="18"/>
    </row>
    <row r="119" spans="1:11" x14ac:dyDescent="0.25">
      <c r="C119" s="7" t="s">
        <v>263</v>
      </c>
      <c r="F119" s="20"/>
      <c r="I119" s="18">
        <v>0</v>
      </c>
      <c r="J119" s="18"/>
    </row>
    <row r="120" spans="1:11" x14ac:dyDescent="0.25">
      <c r="C120" s="7" t="s">
        <v>300</v>
      </c>
      <c r="F120" s="20"/>
      <c r="I120" s="18">
        <v>0</v>
      </c>
      <c r="J120" s="18"/>
    </row>
    <row r="121" spans="1:11" x14ac:dyDescent="0.25">
      <c r="C121" s="7" t="s">
        <v>316</v>
      </c>
      <c r="F121" s="20"/>
      <c r="I121" s="18">
        <v>0</v>
      </c>
      <c r="J121" s="18"/>
    </row>
    <row r="122" spans="1:11" x14ac:dyDescent="0.25">
      <c r="C122" s="7" t="s">
        <v>317</v>
      </c>
      <c r="F122" s="20"/>
      <c r="I122" s="18">
        <v>0</v>
      </c>
      <c r="J122" s="18"/>
    </row>
    <row r="123" spans="1:11" x14ac:dyDescent="0.25">
      <c r="C123" s="7" t="s">
        <v>318</v>
      </c>
      <c r="F123" s="20"/>
      <c r="I123" s="18">
        <v>0</v>
      </c>
      <c r="J123" s="18"/>
    </row>
    <row r="124" spans="1:11" x14ac:dyDescent="0.25">
      <c r="C124" s="7" t="s">
        <v>319</v>
      </c>
      <c r="F124" s="20"/>
      <c r="I124" s="18">
        <v>0</v>
      </c>
      <c r="J124" s="18"/>
    </row>
    <row r="125" spans="1:11" x14ac:dyDescent="0.25">
      <c r="C125" s="7" t="s">
        <v>273</v>
      </c>
      <c r="F125" s="20"/>
      <c r="I125" s="18">
        <v>0</v>
      </c>
      <c r="J125" s="18"/>
    </row>
    <row r="126" spans="1:11" x14ac:dyDescent="0.25">
      <c r="C126" s="7" t="s">
        <v>275</v>
      </c>
      <c r="F126" s="20"/>
      <c r="I126" s="18">
        <v>0</v>
      </c>
      <c r="J126" s="18"/>
    </row>
    <row r="127" spans="1:11" x14ac:dyDescent="0.25">
      <c r="A127" s="8"/>
      <c r="B127" s="8"/>
      <c r="C127" s="8"/>
      <c r="D127" s="8"/>
      <c r="E127" s="8" t="s">
        <v>277</v>
      </c>
      <c r="F127" s="21"/>
      <c r="G127" s="8"/>
      <c r="H127" s="8"/>
      <c r="I127" s="19"/>
      <c r="J127" s="18"/>
    </row>
    <row r="128" spans="1:11" x14ac:dyDescent="0.25">
      <c r="C128" s="7" t="s">
        <v>278</v>
      </c>
      <c r="F128" s="20"/>
      <c r="I128" s="18">
        <v>0</v>
      </c>
      <c r="J128" s="18"/>
    </row>
    <row r="129" spans="3:10" x14ac:dyDescent="0.25">
      <c r="C129" s="7" t="s">
        <v>279</v>
      </c>
      <c r="F129" s="20"/>
      <c r="I129" s="18">
        <v>0</v>
      </c>
      <c r="J129" s="18"/>
    </row>
    <row r="130" spans="3:10" x14ac:dyDescent="0.25">
      <c r="C130" s="7" t="s">
        <v>280</v>
      </c>
      <c r="F130" s="20"/>
      <c r="I130" s="18">
        <v>0</v>
      </c>
      <c r="J130" s="18"/>
    </row>
    <row r="131" spans="3:10" x14ac:dyDescent="0.25">
      <c r="C131" s="7" t="s">
        <v>282</v>
      </c>
      <c r="F131" s="20"/>
      <c r="I131" s="18">
        <v>0</v>
      </c>
      <c r="J131" s="18"/>
    </row>
    <row r="132" spans="3:10" x14ac:dyDescent="0.25">
      <c r="C132" s="7" t="s">
        <v>263</v>
      </c>
      <c r="F132" s="20"/>
      <c r="I132" s="18">
        <v>0</v>
      </c>
      <c r="J132" s="18"/>
    </row>
    <row r="133" spans="3:10" x14ac:dyDescent="0.25">
      <c r="C133" s="7" t="s">
        <v>283</v>
      </c>
      <c r="F133" s="20"/>
      <c r="I133" s="18">
        <v>0</v>
      </c>
      <c r="J133" s="18"/>
    </row>
    <row r="134" spans="3:10" x14ac:dyDescent="0.25">
      <c r="C134" s="7" t="s">
        <v>285</v>
      </c>
      <c r="F134" s="20"/>
      <c r="I134" s="18">
        <v>0</v>
      </c>
      <c r="J134" s="18"/>
    </row>
    <row r="135" spans="3:10" x14ac:dyDescent="0.25">
      <c r="C135" s="7" t="s">
        <v>286</v>
      </c>
      <c r="F135" s="20"/>
      <c r="I135" s="18">
        <v>0</v>
      </c>
      <c r="J135" s="18"/>
    </row>
    <row r="136" spans="3:10" x14ac:dyDescent="0.25">
      <c r="C136" s="7" t="s">
        <v>287</v>
      </c>
      <c r="F136" s="20"/>
      <c r="I136" s="18">
        <v>0</v>
      </c>
      <c r="J136" s="18"/>
    </row>
    <row r="137" spans="3:10" x14ac:dyDescent="0.25">
      <c r="C137" s="7" t="s">
        <v>288</v>
      </c>
      <c r="F137" s="20"/>
      <c r="I137" s="18">
        <v>0</v>
      </c>
      <c r="J137" s="18"/>
    </row>
    <row r="138" spans="3:10" x14ac:dyDescent="0.25">
      <c r="C138" s="7" t="s">
        <v>289</v>
      </c>
      <c r="F138" s="20"/>
      <c r="I138" s="18">
        <v>0</v>
      </c>
      <c r="J138" s="18"/>
    </row>
    <row r="139" spans="3:10" x14ac:dyDescent="0.25">
      <c r="C139" s="7" t="s">
        <v>291</v>
      </c>
      <c r="F139" s="20"/>
      <c r="I139" s="18">
        <v>0</v>
      </c>
      <c r="J139" s="18"/>
    </row>
    <row r="140" spans="3:10" x14ac:dyDescent="0.25">
      <c r="C140" s="7" t="s">
        <v>292</v>
      </c>
      <c r="F140" s="20"/>
      <c r="I140" s="18">
        <v>0</v>
      </c>
      <c r="J140" s="18"/>
    </row>
    <row r="141" spans="3:10" x14ac:dyDescent="0.25">
      <c r="C141" s="7" t="s">
        <v>293</v>
      </c>
      <c r="F141" s="20"/>
      <c r="I141" s="18">
        <v>0</v>
      </c>
      <c r="J141" s="18"/>
    </row>
    <row r="142" spans="3:10" x14ac:dyDescent="0.25">
      <c r="C142" s="7" t="s">
        <v>294</v>
      </c>
      <c r="F142" s="20"/>
      <c r="I142" s="18">
        <v>0</v>
      </c>
      <c r="J142" s="18"/>
    </row>
    <row r="143" spans="3:10" x14ac:dyDescent="0.25">
      <c r="C143" s="7" t="s">
        <v>295</v>
      </c>
      <c r="F143" s="20"/>
      <c r="I143" s="18">
        <v>0</v>
      </c>
      <c r="J143" s="18"/>
    </row>
    <row r="144" spans="3:10" x14ac:dyDescent="0.25">
      <c r="C144" s="7" t="s">
        <v>296</v>
      </c>
      <c r="F144" s="20"/>
      <c r="I144" s="18">
        <v>0</v>
      </c>
      <c r="J144" s="18"/>
    </row>
    <row r="145" spans="1:12" x14ac:dyDescent="0.25">
      <c r="C145" s="7" t="s">
        <v>297</v>
      </c>
      <c r="F145" s="20"/>
      <c r="I145" s="18">
        <v>0</v>
      </c>
      <c r="J145" s="18"/>
    </row>
    <row r="146" spans="1:12" x14ac:dyDescent="0.25">
      <c r="C146" s="7" t="s">
        <v>298</v>
      </c>
      <c r="F146" s="20"/>
      <c r="I146" s="18">
        <v>0</v>
      </c>
      <c r="J146" s="18"/>
    </row>
    <row r="147" spans="1:12" x14ac:dyDescent="0.25">
      <c r="C147" s="7" t="s">
        <v>299</v>
      </c>
      <c r="F147" s="20"/>
      <c r="I147" s="18">
        <v>0</v>
      </c>
      <c r="J147" s="18"/>
    </row>
    <row r="148" spans="1:12" x14ac:dyDescent="0.25">
      <c r="C148" s="7" t="s">
        <v>316</v>
      </c>
      <c r="F148" s="20"/>
      <c r="I148" s="18">
        <v>0</v>
      </c>
      <c r="J148" s="18"/>
    </row>
    <row r="149" spans="1:12" x14ac:dyDescent="0.25">
      <c r="C149" s="7" t="s">
        <v>317</v>
      </c>
      <c r="F149" s="20"/>
      <c r="I149" s="18">
        <v>0</v>
      </c>
      <c r="J149" s="18"/>
    </row>
    <row r="150" spans="1:12" x14ac:dyDescent="0.25">
      <c r="C150" s="7" t="s">
        <v>318</v>
      </c>
      <c r="F150" s="20"/>
      <c r="I150" s="18">
        <v>0</v>
      </c>
      <c r="J150" s="18"/>
    </row>
    <row r="151" spans="1:12" x14ac:dyDescent="0.25">
      <c r="C151" s="7" t="s">
        <v>319</v>
      </c>
      <c r="F151" s="20"/>
      <c r="I151" s="18">
        <v>0</v>
      </c>
      <c r="J151" s="18"/>
    </row>
    <row r="152" spans="1:12" x14ac:dyDescent="0.25">
      <c r="C152" s="7" t="s">
        <v>273</v>
      </c>
      <c r="F152" s="20"/>
      <c r="I152" s="18">
        <v>0</v>
      </c>
      <c r="J152" s="18"/>
    </row>
    <row r="153" spans="1:12" x14ac:dyDescent="0.25">
      <c r="C153" s="7" t="s">
        <v>300</v>
      </c>
      <c r="F153" s="20"/>
      <c r="I153" s="18">
        <v>0</v>
      </c>
      <c r="J153" s="18"/>
    </row>
    <row r="154" spans="1:12" x14ac:dyDescent="0.25">
      <c r="F154" s="20"/>
      <c r="I154" s="18"/>
      <c r="J154" s="18"/>
    </row>
    <row r="155" spans="1:12" x14ac:dyDescent="0.25">
      <c r="B155" s="7" t="s">
        <v>320</v>
      </c>
      <c r="F155" s="20">
        <f>SUM(F116:F154)</f>
        <v>0</v>
      </c>
      <c r="I155" s="18"/>
      <c r="J155" s="22">
        <f>SUM(I116:I154)</f>
        <v>0</v>
      </c>
      <c r="K155" s="23">
        <f>SUM(J155/J166)</f>
        <v>0</v>
      </c>
      <c r="L155" s="23">
        <f>SUM(F155/J169)</f>
        <v>0</v>
      </c>
    </row>
    <row r="156" spans="1:12" x14ac:dyDescent="0.25">
      <c r="A156" s="8" t="s">
        <v>321</v>
      </c>
      <c r="F156" s="20">
        <f>SUM(F22+F102+F155)</f>
        <v>232691</v>
      </c>
      <c r="J156" s="22">
        <f>SUM(J8:J44)+J102+J113+J155</f>
        <v>152908.57</v>
      </c>
    </row>
    <row r="158" spans="1:12" x14ac:dyDescent="0.25">
      <c r="A158" s="8" t="s">
        <v>322</v>
      </c>
      <c r="F158" s="20">
        <v>0</v>
      </c>
      <c r="J158" s="22">
        <v>0</v>
      </c>
    </row>
    <row r="160" spans="1:12" x14ac:dyDescent="0.25">
      <c r="A160" s="8" t="s">
        <v>323</v>
      </c>
      <c r="F160" s="20">
        <f>SUM(F156+F158)</f>
        <v>232691</v>
      </c>
      <c r="J160" s="22">
        <f>SUM(J156+J158)</f>
        <v>152908.57</v>
      </c>
    </row>
    <row r="161" spans="1:12" x14ac:dyDescent="0.25">
      <c r="A161" s="8" t="s">
        <v>324</v>
      </c>
      <c r="F161" s="20">
        <f>SUM(J169-F160)</f>
        <v>0</v>
      </c>
      <c r="J161" s="22">
        <f>SUM(J166-J160)</f>
        <v>1.9999999989522621E-2</v>
      </c>
      <c r="K161" s="23">
        <f>SUM(J161/J166)</f>
        <v>1.3079709903493729E-7</v>
      </c>
      <c r="L161" s="23">
        <f>SUM(F161/J169)</f>
        <v>0</v>
      </c>
    </row>
    <row r="163" spans="1:12" x14ac:dyDescent="0.25">
      <c r="A163" s="8" t="s">
        <v>112</v>
      </c>
      <c r="F163" s="20">
        <f>SUM(F160+F161)</f>
        <v>232691</v>
      </c>
      <c r="J163" s="22">
        <f>SUM(J160+J161)</f>
        <v>152908.59</v>
      </c>
    </row>
    <row r="165" spans="1:12" x14ac:dyDescent="0.25">
      <c r="A165" s="9"/>
      <c r="B165" s="9"/>
      <c r="C165" s="9"/>
      <c r="D165" s="9"/>
      <c r="E165" s="9"/>
      <c r="F165" s="9"/>
      <c r="G165" s="9"/>
      <c r="H165" s="9" t="s">
        <v>258</v>
      </c>
      <c r="I165" s="9" t="s">
        <v>325</v>
      </c>
      <c r="J165" s="9" t="s">
        <v>326</v>
      </c>
      <c r="K165" s="9"/>
    </row>
    <row r="166" spans="1:12" x14ac:dyDescent="0.25">
      <c r="A166" s="8" t="s">
        <v>327</v>
      </c>
      <c r="H166" s="22">
        <v>152908.59</v>
      </c>
      <c r="I166" s="22">
        <v>0</v>
      </c>
      <c r="J166" s="22">
        <v>152908.59</v>
      </c>
    </row>
    <row r="168" spans="1:12" x14ac:dyDescent="0.25">
      <c r="A168" s="9"/>
      <c r="B168" s="9"/>
      <c r="C168" s="9"/>
      <c r="D168" s="9"/>
      <c r="E168" s="9"/>
      <c r="F168" s="9"/>
      <c r="G168" s="9"/>
      <c r="H168" s="9" t="s">
        <v>228</v>
      </c>
      <c r="I168" s="9" t="s">
        <v>325</v>
      </c>
      <c r="J168" s="9" t="s">
        <v>328</v>
      </c>
      <c r="K168" s="9"/>
    </row>
    <row r="169" spans="1:12" x14ac:dyDescent="0.25">
      <c r="A169" s="8"/>
      <c r="H169" s="20">
        <v>232691</v>
      </c>
      <c r="I169" s="20">
        <v>0</v>
      </c>
      <c r="J169" s="20">
        <v>232691</v>
      </c>
    </row>
    <row r="171" spans="1:12" x14ac:dyDescent="0.25">
      <c r="A171" s="8" t="s">
        <v>329</v>
      </c>
      <c r="H171" s="20">
        <v>232691</v>
      </c>
      <c r="J171" s="22">
        <v>152908.59</v>
      </c>
      <c r="K171" s="23"/>
      <c r="L171" s="23"/>
    </row>
    <row r="173" spans="1:12" x14ac:dyDescent="0.25">
      <c r="A173" s="8" t="s">
        <v>330</v>
      </c>
      <c r="J173" s="22">
        <v>0</v>
      </c>
    </row>
    <row r="175" spans="1:12" x14ac:dyDescent="0.25">
      <c r="A175" s="8" t="s">
        <v>331</v>
      </c>
      <c r="H175" s="20">
        <f>SUM(H171-F156)</f>
        <v>0</v>
      </c>
      <c r="J175" s="22">
        <f>SUM(J171-J156+0)</f>
        <v>1.9999999989522621E-2</v>
      </c>
      <c r="K175" s="23">
        <f>J175/J171</f>
        <v>1.3079709903493729E-7</v>
      </c>
      <c r="L175" s="23">
        <f>H175/H171</f>
        <v>0</v>
      </c>
    </row>
  </sheetData>
  <pageMargins left="0.7" right="0.7" top="1.4270833333333299" bottom="0.75" header="0.3" footer="0.3"/>
  <pageSetup scale="71" fitToHeight="0" orientation="portrait" horizontalDpi="1200" verticalDpi="1200" r:id="rId1"/>
  <headerFooter>
    <oddHeader>&amp;CMIDAMERICAN ENERGY COMPANY
2026 SOUTH DAKOTA GAS RATE CASE
Docket No. NG26-___
Statement O-Workpapers Support
FOR THE YEAR ENDING DECEMBER 31, 2025&amp;RStratton Direct Exhibit 1.2, WP1
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0281E-30E7-44A4-AA5E-91082E8E72DA}">
  <dimension ref="A1:R172"/>
  <sheetViews>
    <sheetView view="pageLayout" zoomScaleNormal="100" workbookViewId="0">
      <selection activeCell="A19" sqref="A19"/>
    </sheetView>
  </sheetViews>
  <sheetFormatPr defaultRowHeight="15" x14ac:dyDescent="0.25"/>
  <cols>
    <col min="1" max="2" width="2.7109375" style="7" customWidth="1"/>
    <col min="3" max="3" width="28.7109375" style="7" customWidth="1"/>
    <col min="4" max="5" width="9.140625" style="7"/>
    <col min="6" max="6" width="10.140625" style="7" bestFit="1" customWidth="1"/>
    <col min="7" max="7" width="9.28515625" style="7" bestFit="1" customWidth="1"/>
    <col min="8" max="8" width="12.7109375" style="7" bestFit="1" customWidth="1"/>
    <col min="9" max="9" width="15.7109375" style="7" bestFit="1" customWidth="1"/>
    <col min="10" max="10" width="15.85546875" style="7" customWidth="1"/>
    <col min="11" max="11" width="15" style="7" customWidth="1"/>
    <col min="12" max="12" width="14.28515625" style="7" bestFit="1" customWidth="1"/>
    <col min="13" max="13" width="16.28515625" style="7" customWidth="1"/>
    <col min="14" max="14" width="3.5703125" style="7" customWidth="1"/>
    <col min="15" max="18" width="14.7109375" style="7" customWidth="1"/>
    <col min="19" max="16384" width="9.140625" style="7"/>
  </cols>
  <sheetData>
    <row r="1" spans="1:18" x14ac:dyDescent="0.25">
      <c r="A1" s="6" t="s">
        <v>210</v>
      </c>
      <c r="B1" s="6"/>
      <c r="C1" s="6"/>
    </row>
    <row r="2" spans="1:18" x14ac:dyDescent="0.25">
      <c r="A2" s="6" t="s">
        <v>332</v>
      </c>
      <c r="B2" s="6"/>
      <c r="C2" s="6"/>
    </row>
    <row r="3" spans="1:18" x14ac:dyDescent="0.25">
      <c r="A3" s="6"/>
      <c r="B3" s="6"/>
      <c r="C3" s="12" t="s">
        <v>333</v>
      </c>
    </row>
    <row r="4" spans="1:18" x14ac:dyDescent="0.25">
      <c r="A4" s="6"/>
      <c r="B4" s="6"/>
      <c r="C4" s="12" t="s">
        <v>213</v>
      </c>
    </row>
    <row r="5" spans="1:18" x14ac:dyDescent="0.25">
      <c r="A5" s="6"/>
      <c r="B5" s="6"/>
      <c r="C5" s="6"/>
      <c r="J5" s="328" t="s">
        <v>334</v>
      </c>
      <c r="K5" s="328"/>
      <c r="L5" s="328"/>
      <c r="M5" s="328"/>
      <c r="O5" s="328" t="s">
        <v>335</v>
      </c>
      <c r="P5" s="328"/>
      <c r="Q5" s="328"/>
      <c r="R5" s="328"/>
    </row>
    <row r="6" spans="1:18" x14ac:dyDescent="0.25">
      <c r="A6" s="6"/>
      <c r="B6" s="6"/>
      <c r="C6" s="6"/>
      <c r="E6" s="7" t="s">
        <v>214</v>
      </c>
      <c r="F6" s="7" t="s">
        <v>215</v>
      </c>
      <c r="G6" s="7" t="s">
        <v>216</v>
      </c>
      <c r="H6" s="7" t="s">
        <v>217</v>
      </c>
      <c r="I6" s="7" t="s">
        <v>218</v>
      </c>
      <c r="J6" s="7" t="s">
        <v>219</v>
      </c>
      <c r="K6" s="335" t="s">
        <v>336</v>
      </c>
      <c r="L6" s="8"/>
      <c r="M6" s="8"/>
      <c r="O6" s="8"/>
      <c r="P6" s="8"/>
      <c r="Q6" s="8"/>
      <c r="R6" s="8"/>
    </row>
    <row r="7" spans="1:18" x14ac:dyDescent="0.25">
      <c r="A7" s="6"/>
      <c r="B7" s="6"/>
      <c r="C7" s="6"/>
      <c r="E7" s="7" t="s">
        <v>220</v>
      </c>
      <c r="F7" s="7" t="s">
        <v>220</v>
      </c>
      <c r="G7" s="7" t="s">
        <v>220</v>
      </c>
      <c r="H7" s="7" t="s">
        <v>220</v>
      </c>
      <c r="I7" s="7" t="s">
        <v>220</v>
      </c>
      <c r="J7" s="7" t="s">
        <v>220</v>
      </c>
      <c r="K7" s="335"/>
      <c r="L7" s="9" t="s">
        <v>337</v>
      </c>
      <c r="M7" s="9" t="s">
        <v>112</v>
      </c>
      <c r="O7" s="9" t="s">
        <v>34</v>
      </c>
      <c r="P7" s="9" t="s">
        <v>338</v>
      </c>
      <c r="Q7" s="9" t="s">
        <v>31</v>
      </c>
      <c r="R7" s="9" t="s">
        <v>112</v>
      </c>
    </row>
    <row r="8" spans="1:18" x14ac:dyDescent="0.25">
      <c r="A8" s="13" t="s">
        <v>339</v>
      </c>
      <c r="B8" s="6"/>
      <c r="C8" s="6"/>
      <c r="F8" s="14"/>
      <c r="G8" s="15"/>
      <c r="H8" s="15"/>
      <c r="I8" s="15"/>
    </row>
    <row r="9" spans="1:18" x14ac:dyDescent="0.25">
      <c r="A9" s="13"/>
      <c r="B9" s="6" t="s">
        <v>222</v>
      </c>
      <c r="C9" s="6"/>
      <c r="E9" s="7">
        <v>80</v>
      </c>
      <c r="F9" s="14"/>
      <c r="G9" s="15">
        <v>231.98599999999999</v>
      </c>
      <c r="H9" s="15"/>
      <c r="I9" s="15"/>
      <c r="J9" s="16">
        <v>18558.88</v>
      </c>
      <c r="K9" s="7">
        <f>12*E9</f>
        <v>960</v>
      </c>
      <c r="L9" s="7">
        <v>960</v>
      </c>
      <c r="M9" s="16">
        <f>SUM(J9:L9)</f>
        <v>20478.88</v>
      </c>
      <c r="O9" s="15">
        <f>+G9</f>
        <v>231.98599999999999</v>
      </c>
      <c r="P9" s="18">
        <f>+I66</f>
        <v>12</v>
      </c>
      <c r="Q9" s="7">
        <v>12</v>
      </c>
      <c r="R9" s="15">
        <f>SUM(O9:Q9)</f>
        <v>255.98599999999999</v>
      </c>
    </row>
    <row r="10" spans="1:18" x14ac:dyDescent="0.25">
      <c r="A10" s="13"/>
      <c r="B10" s="6" t="s">
        <v>340</v>
      </c>
      <c r="C10" s="6"/>
      <c r="E10" s="7">
        <v>35</v>
      </c>
      <c r="F10" s="14"/>
      <c r="G10" s="15">
        <v>175.99</v>
      </c>
      <c r="H10" s="15"/>
      <c r="I10" s="15"/>
      <c r="J10" s="16">
        <v>6159.51</v>
      </c>
      <c r="K10" s="20">
        <f>+H77</f>
        <v>420</v>
      </c>
      <c r="L10" s="7">
        <v>420</v>
      </c>
      <c r="M10" s="16">
        <f>SUM(J10:L10)</f>
        <v>6999.51</v>
      </c>
      <c r="O10" s="15">
        <f>+G10</f>
        <v>175.99</v>
      </c>
      <c r="P10" s="18">
        <f>+I77</f>
        <v>12</v>
      </c>
      <c r="Q10" s="7">
        <v>12</v>
      </c>
      <c r="R10" s="15">
        <f t="shared" ref="R10:R16" si="0">SUM(O10:Q10)</f>
        <v>199.99</v>
      </c>
    </row>
    <row r="11" spans="1:18" x14ac:dyDescent="0.25">
      <c r="A11" s="13"/>
      <c r="B11" s="6" t="s">
        <v>341</v>
      </c>
      <c r="C11" s="6"/>
      <c r="E11" s="7">
        <v>40</v>
      </c>
      <c r="F11" s="14"/>
      <c r="G11" s="15">
        <v>231.98599999999999</v>
      </c>
      <c r="H11" s="15"/>
      <c r="I11" s="15"/>
      <c r="J11" s="16">
        <v>9279.44</v>
      </c>
      <c r="K11" s="18">
        <f>+H71</f>
        <v>480</v>
      </c>
      <c r="M11" s="16">
        <f>SUM(J11:L11)</f>
        <v>9759.44</v>
      </c>
      <c r="O11" s="15">
        <f>+G11</f>
        <v>231.98599999999999</v>
      </c>
      <c r="P11" s="18">
        <f>+I71</f>
        <v>12</v>
      </c>
      <c r="R11" s="15">
        <f t="shared" si="0"/>
        <v>243.98599999999999</v>
      </c>
    </row>
    <row r="12" spans="1:18" x14ac:dyDescent="0.25">
      <c r="A12" s="13"/>
      <c r="B12" s="6" t="s">
        <v>223</v>
      </c>
      <c r="C12" s="6"/>
      <c r="E12" s="7">
        <v>4.1390000000000003E-2</v>
      </c>
      <c r="F12" s="14">
        <v>28086773</v>
      </c>
      <c r="G12" s="15"/>
      <c r="H12" s="15"/>
      <c r="I12" s="15"/>
      <c r="J12" s="16">
        <v>1162511.53</v>
      </c>
      <c r="K12" s="18">
        <f>+H79</f>
        <v>27323.69</v>
      </c>
      <c r="L12" s="16">
        <v>37204.31</v>
      </c>
      <c r="M12" s="16">
        <f t="shared" ref="M12:M16" si="1">SUM(J12:L12)</f>
        <v>1227039.53</v>
      </c>
      <c r="O12" s="14">
        <f>+F12</f>
        <v>28086773</v>
      </c>
      <c r="P12" s="24">
        <f>+I79</f>
        <v>660151.96907465567</v>
      </c>
      <c r="Q12" s="7">
        <v>898872</v>
      </c>
      <c r="R12" s="15">
        <f t="shared" si="0"/>
        <v>29645796.969074655</v>
      </c>
    </row>
    <row r="13" spans="1:18" x14ac:dyDescent="0.25">
      <c r="A13" s="13"/>
      <c r="B13" s="6" t="s">
        <v>342</v>
      </c>
      <c r="C13" s="6"/>
      <c r="E13" s="7">
        <v>0.16</v>
      </c>
      <c r="F13" s="14"/>
      <c r="G13" s="15"/>
      <c r="H13" s="15">
        <v>1952308</v>
      </c>
      <c r="I13" s="15"/>
      <c r="J13" s="16">
        <v>312369.28000000003</v>
      </c>
      <c r="K13" s="18">
        <f>+I69/(1+1/16)*E13</f>
        <v>15723.218823529411</v>
      </c>
      <c r="M13" s="16">
        <f t="shared" si="1"/>
        <v>328092.49882352946</v>
      </c>
      <c r="O13" s="15">
        <f>+H13</f>
        <v>1952308</v>
      </c>
      <c r="P13" s="18">
        <f>+J69</f>
        <v>98270.117647058811</v>
      </c>
      <c r="R13" s="15">
        <f t="shared" si="0"/>
        <v>2050578.1176470588</v>
      </c>
    </row>
    <row r="14" spans="1:18" x14ac:dyDescent="0.25">
      <c r="A14" s="13"/>
      <c r="B14" s="6" t="s">
        <v>225</v>
      </c>
      <c r="C14" s="6"/>
      <c r="E14" s="7">
        <v>40</v>
      </c>
      <c r="F14" s="14"/>
      <c r="G14" s="15">
        <v>124</v>
      </c>
      <c r="H14" s="15"/>
      <c r="I14" s="15"/>
      <c r="J14" s="16">
        <v>4960</v>
      </c>
      <c r="M14" s="16">
        <f t="shared" si="1"/>
        <v>4960</v>
      </c>
      <c r="O14" s="15">
        <f>+G14</f>
        <v>124</v>
      </c>
      <c r="R14" s="15">
        <f t="shared" si="0"/>
        <v>124</v>
      </c>
    </row>
    <row r="15" spans="1:18" x14ac:dyDescent="0.25">
      <c r="A15" s="13"/>
      <c r="B15" s="6" t="s">
        <v>226</v>
      </c>
      <c r="C15" s="6"/>
      <c r="E15" s="7">
        <v>70</v>
      </c>
      <c r="F15" s="14"/>
      <c r="G15" s="15">
        <v>107.99</v>
      </c>
      <c r="H15" s="15"/>
      <c r="I15" s="15"/>
      <c r="J15" s="16">
        <v>7559.02</v>
      </c>
      <c r="K15" s="18">
        <f>+H94</f>
        <v>840</v>
      </c>
      <c r="L15" s="7">
        <v>840</v>
      </c>
      <c r="M15" s="16">
        <f t="shared" si="1"/>
        <v>9239.02</v>
      </c>
      <c r="O15" s="15">
        <f>+G15</f>
        <v>107.99</v>
      </c>
      <c r="P15" s="18">
        <f>+I94</f>
        <v>12</v>
      </c>
      <c r="Q15" s="7">
        <v>12</v>
      </c>
      <c r="R15" s="15">
        <f t="shared" si="0"/>
        <v>131.99</v>
      </c>
    </row>
    <row r="16" spans="1:18" x14ac:dyDescent="0.25">
      <c r="A16" s="13"/>
      <c r="B16" s="6" t="s">
        <v>343</v>
      </c>
      <c r="C16" s="6"/>
      <c r="E16" s="7">
        <v>0.16</v>
      </c>
      <c r="F16" s="14"/>
      <c r="G16" s="15"/>
      <c r="H16" s="15"/>
      <c r="I16" s="15">
        <v>122516</v>
      </c>
      <c r="J16" s="16">
        <v>19602.560000000001</v>
      </c>
      <c r="K16" s="11">
        <f>+H69-K13</f>
        <v>982.7011764705876</v>
      </c>
      <c r="M16" s="25">
        <f t="shared" si="1"/>
        <v>20585.261176470587</v>
      </c>
      <c r="O16" s="15">
        <f>+I16</f>
        <v>122516</v>
      </c>
      <c r="P16" s="26">
        <f>+K69</f>
        <v>6141.8823529411757</v>
      </c>
      <c r="R16" s="15">
        <f t="shared" si="0"/>
        <v>128657.88235294117</v>
      </c>
    </row>
    <row r="17" spans="1:13" ht="15.75" thickBot="1" x14ac:dyDescent="0.3">
      <c r="A17" s="13"/>
      <c r="B17" s="6"/>
      <c r="C17" s="6"/>
      <c r="F17" s="14"/>
      <c r="G17" s="15"/>
      <c r="H17" s="15"/>
      <c r="I17" s="15"/>
      <c r="J17" s="27">
        <f>SUM(J9:J16)</f>
        <v>1541000.2200000002</v>
      </c>
      <c r="K17" s="16">
        <f>SUM(K9:K16)</f>
        <v>46729.61</v>
      </c>
      <c r="L17" s="10">
        <f>SUM(L9:L16)</f>
        <v>39424.31</v>
      </c>
      <c r="M17" s="10">
        <f>SUM(J17:L17)</f>
        <v>1627154.1400000004</v>
      </c>
    </row>
    <row r="18" spans="1:13" ht="15.75" thickTop="1" x14ac:dyDescent="0.25">
      <c r="A18" s="13" t="s">
        <v>228</v>
      </c>
      <c r="B18" s="6"/>
      <c r="C18" s="6"/>
      <c r="K18" s="20" t="s">
        <v>344</v>
      </c>
      <c r="M18" s="28">
        <f>+H76</f>
        <v>39861.230000000003</v>
      </c>
    </row>
    <row r="19" spans="1:13" ht="15.75" thickBot="1" x14ac:dyDescent="0.3">
      <c r="A19" s="13"/>
      <c r="B19" s="6" t="s">
        <v>215</v>
      </c>
      <c r="C19" s="6"/>
      <c r="F19" s="17">
        <f>SUM(F8:F17)</f>
        <v>28086773</v>
      </c>
      <c r="L19" s="11"/>
      <c r="M19" s="29">
        <f>SUM(M17:M18)</f>
        <v>1667015.3700000003</v>
      </c>
    </row>
    <row r="20" spans="1:13" ht="15.75" thickTop="1" x14ac:dyDescent="0.25">
      <c r="A20" s="6"/>
      <c r="B20" s="6"/>
      <c r="C20" s="6"/>
    </row>
    <row r="21" spans="1:13" x14ac:dyDescent="0.25">
      <c r="A21" s="13" t="s">
        <v>229</v>
      </c>
      <c r="B21" s="13"/>
      <c r="C21" s="13"/>
      <c r="D21" s="8"/>
      <c r="E21" s="8"/>
      <c r="F21" s="8"/>
      <c r="G21" s="8"/>
      <c r="H21" s="8" t="s">
        <v>230</v>
      </c>
      <c r="I21" s="8" t="s">
        <v>231</v>
      </c>
      <c r="J21" s="8" t="s">
        <v>232</v>
      </c>
      <c r="K21" s="8"/>
    </row>
    <row r="22" spans="1:13" x14ac:dyDescent="0.25">
      <c r="A22" s="6"/>
      <c r="B22" s="6" t="s">
        <v>233</v>
      </c>
      <c r="C22" s="6"/>
      <c r="H22" s="18">
        <v>0</v>
      </c>
      <c r="I22" s="18">
        <v>0</v>
      </c>
      <c r="J22" s="18">
        <v>0</v>
      </c>
    </row>
    <row r="23" spans="1:13" x14ac:dyDescent="0.25">
      <c r="A23" s="6"/>
      <c r="B23" s="6" t="s">
        <v>234</v>
      </c>
      <c r="C23" s="6"/>
      <c r="H23" s="18">
        <v>0</v>
      </c>
      <c r="I23" s="18">
        <v>0</v>
      </c>
      <c r="J23" s="18">
        <v>0</v>
      </c>
    </row>
    <row r="24" spans="1:13" x14ac:dyDescent="0.25">
      <c r="A24" s="6"/>
      <c r="B24" s="6" t="s">
        <v>235</v>
      </c>
      <c r="C24" s="6"/>
      <c r="H24" s="18">
        <v>0</v>
      </c>
      <c r="I24" s="18">
        <v>0</v>
      </c>
      <c r="J24" s="18">
        <v>0</v>
      </c>
    </row>
    <row r="25" spans="1:13" x14ac:dyDescent="0.25">
      <c r="A25" s="13"/>
      <c r="B25" s="13"/>
      <c r="C25" s="13"/>
      <c r="D25" s="8"/>
      <c r="E25" s="8"/>
      <c r="F25" s="8"/>
      <c r="G25" s="8"/>
      <c r="H25" s="19"/>
      <c r="I25" s="19"/>
      <c r="J25" s="19"/>
      <c r="K25" s="8"/>
      <c r="L25" s="8"/>
    </row>
    <row r="26" spans="1:13" x14ac:dyDescent="0.25">
      <c r="A26" s="13" t="s">
        <v>236</v>
      </c>
      <c r="B26" s="13"/>
      <c r="C26" s="13"/>
      <c r="D26" s="8"/>
      <c r="E26" s="8"/>
      <c r="F26" s="8"/>
      <c r="G26" s="8"/>
      <c r="H26" s="8" t="s">
        <v>237</v>
      </c>
      <c r="I26" s="8" t="s">
        <v>238</v>
      </c>
      <c r="J26" s="8" t="s">
        <v>239</v>
      </c>
      <c r="K26" s="8"/>
    </row>
    <row r="27" spans="1:13" x14ac:dyDescent="0.25">
      <c r="A27" s="6"/>
      <c r="B27" s="6" t="s">
        <v>240</v>
      </c>
      <c r="C27" s="6"/>
      <c r="H27" s="18">
        <v>0</v>
      </c>
      <c r="I27" s="18">
        <v>0</v>
      </c>
      <c r="J27" s="18">
        <v>0</v>
      </c>
    </row>
    <row r="28" spans="1:13" x14ac:dyDescent="0.25">
      <c r="A28" s="6"/>
      <c r="B28" s="6" t="s">
        <v>241</v>
      </c>
      <c r="C28" s="6"/>
      <c r="H28" s="18">
        <v>0</v>
      </c>
      <c r="I28" s="18">
        <v>0</v>
      </c>
      <c r="J28" s="18">
        <v>0</v>
      </c>
    </row>
    <row r="29" spans="1:13" x14ac:dyDescent="0.25">
      <c r="A29" s="6"/>
      <c r="B29" s="6" t="s">
        <v>242</v>
      </c>
      <c r="C29" s="6"/>
      <c r="H29" s="18">
        <v>0</v>
      </c>
      <c r="I29" s="18">
        <v>0</v>
      </c>
      <c r="J29" s="18">
        <v>0</v>
      </c>
    </row>
    <row r="30" spans="1:13" x14ac:dyDescent="0.25">
      <c r="A30" s="6"/>
      <c r="B30" s="6" t="s">
        <v>243</v>
      </c>
      <c r="C30" s="6"/>
      <c r="H30" s="18">
        <v>0</v>
      </c>
      <c r="I30" s="18">
        <v>0</v>
      </c>
      <c r="J30" s="18">
        <v>0</v>
      </c>
    </row>
    <row r="31" spans="1:13" x14ac:dyDescent="0.25">
      <c r="A31" s="6"/>
      <c r="B31" s="6" t="s">
        <v>244</v>
      </c>
      <c r="C31" s="6"/>
      <c r="H31" s="18">
        <v>0</v>
      </c>
      <c r="I31" s="18">
        <v>0</v>
      </c>
      <c r="J31" s="18">
        <v>0</v>
      </c>
    </row>
    <row r="32" spans="1:13" x14ac:dyDescent="0.25">
      <c r="A32" s="6"/>
      <c r="B32" s="6" t="s">
        <v>245</v>
      </c>
      <c r="C32" s="6"/>
      <c r="H32" s="18">
        <v>0</v>
      </c>
      <c r="I32" s="18">
        <v>0</v>
      </c>
      <c r="J32" s="18">
        <v>0</v>
      </c>
    </row>
    <row r="33" spans="1:12" x14ac:dyDescent="0.25">
      <c r="A33" s="6"/>
      <c r="B33" s="6" t="s">
        <v>246</v>
      </c>
      <c r="C33" s="6"/>
      <c r="H33" s="18">
        <v>0</v>
      </c>
      <c r="I33" s="18">
        <v>0</v>
      </c>
      <c r="J33" s="18">
        <v>0</v>
      </c>
    </row>
    <row r="34" spans="1:12" x14ac:dyDescent="0.25">
      <c r="A34" s="6"/>
      <c r="B34" s="6" t="s">
        <v>247</v>
      </c>
      <c r="C34" s="6"/>
      <c r="H34" s="18">
        <v>0</v>
      </c>
      <c r="I34" s="18">
        <v>0</v>
      </c>
      <c r="J34" s="18">
        <v>0</v>
      </c>
    </row>
    <row r="35" spans="1:12" x14ac:dyDescent="0.25">
      <c r="A35" s="6"/>
      <c r="B35" s="6" t="s">
        <v>248</v>
      </c>
      <c r="C35" s="6"/>
      <c r="H35" s="18">
        <v>0</v>
      </c>
      <c r="I35" s="18">
        <v>0</v>
      </c>
      <c r="J35" s="18">
        <v>0</v>
      </c>
    </row>
    <row r="36" spans="1:12" x14ac:dyDescent="0.25">
      <c r="A36" s="6"/>
      <c r="B36" s="6" t="s">
        <v>249</v>
      </c>
      <c r="C36" s="6"/>
      <c r="H36" s="18">
        <v>0</v>
      </c>
      <c r="I36" s="18">
        <v>0</v>
      </c>
      <c r="J36" s="18">
        <v>0</v>
      </c>
    </row>
    <row r="37" spans="1:12" x14ac:dyDescent="0.25">
      <c r="A37" s="6"/>
      <c r="B37" s="6"/>
      <c r="C37" s="6"/>
      <c r="H37" s="18"/>
      <c r="I37" s="18"/>
      <c r="J37" s="18"/>
    </row>
    <row r="38" spans="1:12" x14ac:dyDescent="0.25">
      <c r="A38" s="13" t="s">
        <v>250</v>
      </c>
      <c r="B38" s="13"/>
      <c r="C38" s="13"/>
      <c r="D38" s="8"/>
      <c r="E38" s="8"/>
      <c r="F38" s="8"/>
      <c r="G38" s="8"/>
      <c r="H38" s="19" t="s">
        <v>251</v>
      </c>
      <c r="I38" s="19" t="s">
        <v>252</v>
      </c>
      <c r="J38" s="19" t="s">
        <v>253</v>
      </c>
      <c r="K38" s="8"/>
    </row>
    <row r="39" spans="1:12" x14ac:dyDescent="0.25">
      <c r="A39" s="6"/>
      <c r="B39" s="6" t="s">
        <v>254</v>
      </c>
      <c r="C39" s="6"/>
      <c r="H39" s="18">
        <v>0</v>
      </c>
      <c r="I39" s="18">
        <v>0</v>
      </c>
      <c r="J39" s="18">
        <v>0</v>
      </c>
    </row>
    <row r="40" spans="1:12" x14ac:dyDescent="0.25">
      <c r="A40" s="6"/>
      <c r="B40" s="6" t="s">
        <v>255</v>
      </c>
      <c r="C40" s="6"/>
      <c r="H40" s="18">
        <v>0</v>
      </c>
      <c r="I40" s="18">
        <v>0</v>
      </c>
      <c r="J40" s="18">
        <v>0</v>
      </c>
    </row>
    <row r="41" spans="1:12" x14ac:dyDescent="0.25">
      <c r="A41" s="6"/>
      <c r="B41" s="6" t="s">
        <v>256</v>
      </c>
      <c r="C41" s="6"/>
      <c r="H41" s="18">
        <v>0</v>
      </c>
      <c r="I41" s="18">
        <v>0</v>
      </c>
      <c r="J41" s="18">
        <v>0</v>
      </c>
    </row>
    <row r="42" spans="1:12" x14ac:dyDescent="0.25">
      <c r="A42" s="6"/>
      <c r="B42" s="6"/>
      <c r="C42" s="6"/>
      <c r="H42" s="18"/>
      <c r="I42" s="18"/>
      <c r="J42" s="18"/>
    </row>
    <row r="43" spans="1:12" x14ac:dyDescent="0.25">
      <c r="A43" s="13" t="s">
        <v>257</v>
      </c>
      <c r="B43" s="13"/>
      <c r="C43" s="13"/>
      <c r="D43" s="8"/>
      <c r="E43" s="8"/>
      <c r="F43" s="8" t="s">
        <v>215</v>
      </c>
      <c r="G43" s="8"/>
      <c r="H43" s="19" t="s">
        <v>258</v>
      </c>
      <c r="I43" s="19"/>
      <c r="J43" s="19"/>
      <c r="K43" s="8" t="s">
        <v>259</v>
      </c>
      <c r="L43" s="8" t="s">
        <v>260</v>
      </c>
    </row>
    <row r="44" spans="1:12" x14ac:dyDescent="0.25">
      <c r="A44" s="13"/>
      <c r="B44" s="13"/>
      <c r="C44" s="13"/>
      <c r="D44" s="8"/>
      <c r="E44" s="8" t="s">
        <v>261</v>
      </c>
      <c r="F44" s="8"/>
    </row>
    <row r="45" spans="1:12" x14ac:dyDescent="0.25">
      <c r="A45" s="6"/>
      <c r="B45" s="6"/>
      <c r="C45" s="6" t="s">
        <v>222</v>
      </c>
      <c r="F45" s="20"/>
      <c r="H45" s="18">
        <v>0</v>
      </c>
      <c r="I45" s="18"/>
      <c r="J45" s="18"/>
    </row>
    <row r="46" spans="1:12" x14ac:dyDescent="0.25">
      <c r="A46" s="6"/>
      <c r="B46" s="6"/>
      <c r="C46" s="6" t="s">
        <v>215</v>
      </c>
      <c r="F46" s="20">
        <v>660152</v>
      </c>
      <c r="H46" s="18"/>
      <c r="I46" s="18"/>
      <c r="J46" s="18"/>
    </row>
    <row r="47" spans="1:12" x14ac:dyDescent="0.25">
      <c r="A47" s="6"/>
      <c r="B47" s="6"/>
      <c r="C47" s="6" t="s">
        <v>233</v>
      </c>
      <c r="F47" s="20"/>
      <c r="H47" s="18">
        <v>0</v>
      </c>
      <c r="I47" s="18"/>
      <c r="J47" s="18"/>
    </row>
    <row r="48" spans="1:12" x14ac:dyDescent="0.25">
      <c r="A48" s="6"/>
      <c r="B48" s="6"/>
      <c r="C48" s="6" t="s">
        <v>262</v>
      </c>
      <c r="F48" s="20"/>
      <c r="H48" s="18">
        <v>0</v>
      </c>
      <c r="I48" s="18"/>
      <c r="J48" s="18"/>
    </row>
    <row r="49" spans="1:10" x14ac:dyDescent="0.25">
      <c r="A49" s="6"/>
      <c r="B49" s="6"/>
      <c r="C49" s="6" t="s">
        <v>263</v>
      </c>
      <c r="F49" s="20"/>
      <c r="H49" s="18">
        <v>0</v>
      </c>
      <c r="I49" s="18"/>
      <c r="J49" s="18"/>
    </row>
    <row r="50" spans="1:10" x14ac:dyDescent="0.25">
      <c r="A50" s="6"/>
      <c r="B50" s="6"/>
      <c r="C50" s="6" t="s">
        <v>264</v>
      </c>
      <c r="F50" s="20"/>
      <c r="H50" s="18">
        <v>0</v>
      </c>
      <c r="I50" s="18"/>
      <c r="J50" s="18"/>
    </row>
    <row r="51" spans="1:10" x14ac:dyDescent="0.25">
      <c r="A51" s="6"/>
      <c r="B51" s="6"/>
      <c r="C51" s="6" t="s">
        <v>265</v>
      </c>
      <c r="F51" s="20"/>
      <c r="H51" s="18">
        <v>0</v>
      </c>
      <c r="I51" s="18"/>
      <c r="J51" s="18"/>
    </row>
    <row r="52" spans="1:10" x14ac:dyDescent="0.25">
      <c r="A52" s="6"/>
      <c r="B52" s="6"/>
      <c r="C52" s="6" t="s">
        <v>266</v>
      </c>
      <c r="F52" s="20"/>
      <c r="H52" s="18">
        <v>0</v>
      </c>
      <c r="I52" s="18"/>
      <c r="J52" s="18"/>
    </row>
    <row r="53" spans="1:10" x14ac:dyDescent="0.25">
      <c r="A53" s="6"/>
      <c r="B53" s="6"/>
      <c r="C53" s="6" t="s">
        <v>267</v>
      </c>
      <c r="F53" s="20"/>
      <c r="H53" s="18">
        <v>0</v>
      </c>
      <c r="I53" s="18"/>
      <c r="J53" s="18"/>
    </row>
    <row r="54" spans="1:10" x14ac:dyDescent="0.25">
      <c r="A54" s="6"/>
      <c r="B54" s="6"/>
      <c r="C54" s="6" t="s">
        <v>268</v>
      </c>
      <c r="F54" s="20"/>
      <c r="H54" s="18">
        <v>0</v>
      </c>
      <c r="I54" s="18"/>
      <c r="J54" s="18"/>
    </row>
    <row r="55" spans="1:10" x14ac:dyDescent="0.25">
      <c r="A55" s="6"/>
      <c r="B55" s="6"/>
      <c r="C55" s="6" t="s">
        <v>269</v>
      </c>
      <c r="F55" s="20"/>
      <c r="H55" s="18">
        <v>0</v>
      </c>
      <c r="I55" s="18"/>
      <c r="J55" s="18"/>
    </row>
    <row r="56" spans="1:10" x14ac:dyDescent="0.25">
      <c r="A56" s="6"/>
      <c r="B56" s="6"/>
      <c r="C56" s="6" t="s">
        <v>270</v>
      </c>
      <c r="F56" s="20"/>
      <c r="H56" s="18">
        <v>0</v>
      </c>
      <c r="I56" s="18"/>
      <c r="J56" s="18"/>
    </row>
    <row r="57" spans="1:10" x14ac:dyDescent="0.25">
      <c r="A57" s="6"/>
      <c r="B57" s="6"/>
      <c r="C57" s="6" t="s">
        <v>271</v>
      </c>
      <c r="F57" s="20"/>
      <c r="H57" s="18">
        <v>0</v>
      </c>
      <c r="I57" s="18"/>
      <c r="J57" s="18"/>
    </row>
    <row r="58" spans="1:10" x14ac:dyDescent="0.25">
      <c r="A58" s="6"/>
      <c r="B58" s="6"/>
      <c r="C58" s="6" t="s">
        <v>272</v>
      </c>
      <c r="F58" s="20"/>
      <c r="H58" s="18">
        <v>0</v>
      </c>
      <c r="I58" s="18"/>
      <c r="J58" s="18"/>
    </row>
    <row r="59" spans="1:10" x14ac:dyDescent="0.25">
      <c r="A59" s="6"/>
      <c r="B59" s="6"/>
      <c r="C59" s="6" t="s">
        <v>273</v>
      </c>
      <c r="F59" s="20"/>
      <c r="H59" s="18">
        <v>0</v>
      </c>
      <c r="I59" s="18"/>
      <c r="J59" s="18"/>
    </row>
    <row r="60" spans="1:10" x14ac:dyDescent="0.25">
      <c r="A60" s="6"/>
      <c r="B60" s="6"/>
      <c r="C60" s="6" t="s">
        <v>274</v>
      </c>
      <c r="F60" s="20"/>
      <c r="H60" s="18">
        <v>0</v>
      </c>
      <c r="I60" s="18"/>
      <c r="J60" s="18"/>
    </row>
    <row r="61" spans="1:10" x14ac:dyDescent="0.25">
      <c r="A61" s="6"/>
      <c r="B61" s="6"/>
      <c r="C61" s="6" t="s">
        <v>275</v>
      </c>
      <c r="F61" s="20"/>
      <c r="H61" s="18">
        <v>0</v>
      </c>
      <c r="I61" s="18"/>
      <c r="J61" s="18"/>
    </row>
    <row r="62" spans="1:10" x14ac:dyDescent="0.25">
      <c r="A62" s="6"/>
      <c r="B62" s="6"/>
      <c r="C62" s="6" t="s">
        <v>276</v>
      </c>
      <c r="F62" s="20"/>
      <c r="H62" s="18">
        <v>0</v>
      </c>
      <c r="I62" s="18"/>
      <c r="J62" s="18"/>
    </row>
    <row r="63" spans="1:10" x14ac:dyDescent="0.25">
      <c r="A63" s="13"/>
      <c r="B63" s="13"/>
      <c r="C63" s="13"/>
      <c r="D63" s="8"/>
      <c r="E63" s="8" t="s">
        <v>277</v>
      </c>
      <c r="F63" s="21"/>
      <c r="H63" s="18"/>
      <c r="I63" s="18"/>
      <c r="J63" s="18"/>
    </row>
    <row r="64" spans="1:10" x14ac:dyDescent="0.25">
      <c r="A64" s="6"/>
      <c r="B64" s="6"/>
      <c r="C64" s="6" t="s">
        <v>278</v>
      </c>
      <c r="F64" s="20"/>
      <c r="H64" s="18">
        <v>-8424.2999999999993</v>
      </c>
      <c r="I64" s="18" t="s">
        <v>345</v>
      </c>
      <c r="J64" s="18"/>
    </row>
    <row r="65" spans="1:11" x14ac:dyDescent="0.25">
      <c r="A65" s="6"/>
      <c r="B65" s="6"/>
      <c r="C65" s="6" t="s">
        <v>279</v>
      </c>
      <c r="F65" s="20"/>
      <c r="H65" s="18">
        <v>0</v>
      </c>
      <c r="I65" s="18"/>
      <c r="J65" s="18"/>
    </row>
    <row r="66" spans="1:11" x14ac:dyDescent="0.25">
      <c r="A66" s="6"/>
      <c r="B66" s="6"/>
      <c r="C66" s="6" t="s">
        <v>280</v>
      </c>
      <c r="F66" s="20"/>
      <c r="H66" s="18">
        <v>960</v>
      </c>
      <c r="I66" s="18">
        <f>+H66/E9</f>
        <v>12</v>
      </c>
      <c r="J66" s="18"/>
    </row>
    <row r="67" spans="1:11" x14ac:dyDescent="0.25">
      <c r="A67" s="6"/>
      <c r="B67" s="6"/>
      <c r="C67" s="6" t="s">
        <v>281</v>
      </c>
      <c r="F67" s="20"/>
      <c r="H67" s="18">
        <v>0</v>
      </c>
      <c r="I67" s="18"/>
      <c r="J67" s="18"/>
    </row>
    <row r="68" spans="1:11" x14ac:dyDescent="0.25">
      <c r="A68" s="6"/>
      <c r="B68" s="6"/>
      <c r="C68" s="6" t="s">
        <v>282</v>
      </c>
      <c r="F68" s="20"/>
      <c r="H68" s="18">
        <v>0</v>
      </c>
      <c r="I68" s="18"/>
      <c r="J68" s="18"/>
    </row>
    <row r="69" spans="1:11" x14ac:dyDescent="0.25">
      <c r="A69" s="6"/>
      <c r="B69" s="6"/>
      <c r="C69" s="6" t="s">
        <v>263</v>
      </c>
      <c r="F69" s="20"/>
      <c r="H69" s="18">
        <v>16705.919999999998</v>
      </c>
      <c r="I69" s="18">
        <f>+H69/E13</f>
        <v>104411.99999999999</v>
      </c>
      <c r="J69" s="18">
        <f>+I69/(1+1/16)</f>
        <v>98270.117647058811</v>
      </c>
      <c r="K69" s="7">
        <f>+J69/16</f>
        <v>6141.8823529411757</v>
      </c>
    </row>
    <row r="70" spans="1:11" x14ac:dyDescent="0.25">
      <c r="A70" s="6"/>
      <c r="B70" s="6"/>
      <c r="C70" s="6" t="s">
        <v>264</v>
      </c>
      <c r="F70" s="20"/>
      <c r="H70" s="18">
        <v>0</v>
      </c>
      <c r="I70" s="18"/>
      <c r="J70" s="18"/>
    </row>
    <row r="71" spans="1:11" x14ac:dyDescent="0.25">
      <c r="A71" s="6"/>
      <c r="B71" s="6"/>
      <c r="C71" s="6" t="s">
        <v>283</v>
      </c>
      <c r="F71" s="20"/>
      <c r="H71" s="18">
        <v>480</v>
      </c>
      <c r="I71" s="18">
        <f>+H71/E11</f>
        <v>12</v>
      </c>
      <c r="J71" s="18"/>
    </row>
    <row r="72" spans="1:11" x14ac:dyDescent="0.25">
      <c r="A72" s="6"/>
      <c r="B72" s="6"/>
      <c r="C72" s="6" t="s">
        <v>284</v>
      </c>
      <c r="F72" s="20"/>
      <c r="H72" s="18">
        <v>0</v>
      </c>
      <c r="I72" s="18"/>
      <c r="J72" s="18"/>
    </row>
    <row r="73" spans="1:11" x14ac:dyDescent="0.25">
      <c r="A73" s="6"/>
      <c r="B73" s="6"/>
      <c r="C73" s="6" t="s">
        <v>285</v>
      </c>
      <c r="F73" s="20"/>
      <c r="H73" s="18">
        <v>0</v>
      </c>
      <c r="I73" s="18"/>
      <c r="J73" s="18"/>
    </row>
    <row r="74" spans="1:11" x14ac:dyDescent="0.25">
      <c r="A74" s="6"/>
      <c r="B74" s="6"/>
      <c r="C74" s="6" t="s">
        <v>286</v>
      </c>
      <c r="F74" s="20"/>
      <c r="H74" s="18">
        <v>0</v>
      </c>
      <c r="I74" s="18"/>
      <c r="J74" s="18"/>
    </row>
    <row r="75" spans="1:11" x14ac:dyDescent="0.25">
      <c r="A75" s="6"/>
      <c r="B75" s="6"/>
      <c r="C75" s="6" t="s">
        <v>287</v>
      </c>
      <c r="F75" s="20"/>
      <c r="H75" s="18">
        <v>0</v>
      </c>
      <c r="I75" s="18"/>
      <c r="J75" s="18"/>
    </row>
    <row r="76" spans="1:11" x14ac:dyDescent="0.25">
      <c r="A76" s="6"/>
      <c r="B76" s="6"/>
      <c r="C76" s="6" t="s">
        <v>288</v>
      </c>
      <c r="F76" s="20"/>
      <c r="H76" s="18">
        <v>39861.230000000003</v>
      </c>
      <c r="I76" s="18"/>
      <c r="J76" s="30"/>
    </row>
    <row r="77" spans="1:11" x14ac:dyDescent="0.25">
      <c r="A77" s="6"/>
      <c r="B77" s="6"/>
      <c r="C77" s="6" t="s">
        <v>289</v>
      </c>
      <c r="F77" s="20"/>
      <c r="H77" s="18">
        <v>420</v>
      </c>
      <c r="I77" s="18">
        <f>+H77/E10</f>
        <v>12</v>
      </c>
      <c r="J77" s="18"/>
    </row>
    <row r="78" spans="1:11" x14ac:dyDescent="0.25">
      <c r="A78" s="6"/>
      <c r="B78" s="6"/>
      <c r="C78" s="6" t="s">
        <v>290</v>
      </c>
      <c r="F78" s="20"/>
      <c r="H78" s="18">
        <v>0</v>
      </c>
      <c r="I78" s="18"/>
      <c r="J78" s="18"/>
    </row>
    <row r="79" spans="1:11" x14ac:dyDescent="0.25">
      <c r="A79" s="6"/>
      <c r="B79" s="6"/>
      <c r="C79" s="6" t="s">
        <v>291</v>
      </c>
      <c r="F79" s="20"/>
      <c r="H79" s="18">
        <v>27323.69</v>
      </c>
      <c r="I79" s="11">
        <f>+H79/E12</f>
        <v>660151.96907465567</v>
      </c>
      <c r="J79" s="18"/>
    </row>
    <row r="80" spans="1:11" x14ac:dyDescent="0.25">
      <c r="A80" s="6"/>
      <c r="B80" s="6"/>
      <c r="C80" s="6" t="s">
        <v>292</v>
      </c>
      <c r="F80" s="20"/>
      <c r="H80" s="18">
        <v>0</v>
      </c>
      <c r="I80" s="18"/>
      <c r="J80" s="18"/>
    </row>
    <row r="81" spans="1:10" x14ac:dyDescent="0.25">
      <c r="A81" s="6"/>
      <c r="B81" s="6"/>
      <c r="C81" s="6" t="s">
        <v>293</v>
      </c>
      <c r="F81" s="20"/>
      <c r="H81" s="18">
        <v>0</v>
      </c>
      <c r="I81" s="18"/>
      <c r="J81" s="18"/>
    </row>
    <row r="82" spans="1:10" x14ac:dyDescent="0.25">
      <c r="A82" s="6"/>
      <c r="B82" s="6"/>
      <c r="C82" s="6" t="s">
        <v>294</v>
      </c>
      <c r="F82" s="20"/>
      <c r="H82" s="18">
        <v>0</v>
      </c>
      <c r="I82" s="18"/>
      <c r="J82" s="18"/>
    </row>
    <row r="83" spans="1:10" x14ac:dyDescent="0.25">
      <c r="A83" s="6"/>
      <c r="B83" s="6"/>
      <c r="C83" s="6" t="s">
        <v>295</v>
      </c>
      <c r="F83" s="20"/>
      <c r="H83" s="18">
        <v>0</v>
      </c>
      <c r="I83" s="18"/>
      <c r="J83" s="18"/>
    </row>
    <row r="84" spans="1:10" x14ac:dyDescent="0.25">
      <c r="A84" s="6"/>
      <c r="B84" s="6"/>
      <c r="C84" s="6" t="s">
        <v>296</v>
      </c>
      <c r="F84" s="20"/>
      <c r="H84" s="18">
        <v>0</v>
      </c>
      <c r="I84" s="18"/>
      <c r="J84" s="18"/>
    </row>
    <row r="85" spans="1:10" x14ac:dyDescent="0.25">
      <c r="A85" s="6"/>
      <c r="B85" s="6"/>
      <c r="C85" s="6" t="s">
        <v>297</v>
      </c>
      <c r="F85" s="20"/>
      <c r="H85" s="18">
        <v>0</v>
      </c>
      <c r="I85" s="18"/>
      <c r="J85" s="18"/>
    </row>
    <row r="86" spans="1:10" x14ac:dyDescent="0.25">
      <c r="A86" s="6"/>
      <c r="B86" s="6"/>
      <c r="C86" s="6" t="s">
        <v>298</v>
      </c>
      <c r="F86" s="20"/>
      <c r="H86" s="18">
        <v>0</v>
      </c>
      <c r="I86" s="18"/>
      <c r="J86" s="18"/>
    </row>
    <row r="87" spans="1:10" x14ac:dyDescent="0.25">
      <c r="A87" s="6"/>
      <c r="B87" s="6"/>
      <c r="C87" s="6" t="s">
        <v>299</v>
      </c>
      <c r="F87" s="20"/>
      <c r="H87" s="18">
        <v>0</v>
      </c>
      <c r="I87" s="18"/>
      <c r="J87" s="18"/>
    </row>
    <row r="88" spans="1:10" x14ac:dyDescent="0.25">
      <c r="A88" s="6"/>
      <c r="B88" s="6"/>
      <c r="C88" s="6" t="s">
        <v>265</v>
      </c>
      <c r="F88" s="20"/>
      <c r="H88" s="18">
        <v>0</v>
      </c>
      <c r="I88" s="18"/>
      <c r="J88" s="18"/>
    </row>
    <row r="89" spans="1:10" x14ac:dyDescent="0.25">
      <c r="A89" s="6"/>
      <c r="B89" s="6"/>
      <c r="C89" s="6" t="s">
        <v>266</v>
      </c>
      <c r="F89" s="20"/>
      <c r="H89" s="18">
        <v>0</v>
      </c>
      <c r="I89" s="18"/>
      <c r="J89" s="18"/>
    </row>
    <row r="90" spans="1:10" x14ac:dyDescent="0.25">
      <c r="A90" s="6"/>
      <c r="B90" s="6"/>
      <c r="C90" s="6" t="s">
        <v>267</v>
      </c>
      <c r="F90" s="20"/>
      <c r="H90" s="18">
        <v>0</v>
      </c>
      <c r="I90" s="18"/>
      <c r="J90" s="18"/>
    </row>
    <row r="91" spans="1:10" x14ac:dyDescent="0.25">
      <c r="A91" s="6"/>
      <c r="B91" s="6"/>
      <c r="C91" s="6" t="s">
        <v>268</v>
      </c>
      <c r="F91" s="20"/>
      <c r="H91" s="18">
        <v>0</v>
      </c>
      <c r="I91" s="18"/>
      <c r="J91" s="18"/>
    </row>
    <row r="92" spans="1:10" x14ac:dyDescent="0.25">
      <c r="A92" s="6"/>
      <c r="B92" s="6"/>
      <c r="C92" s="6" t="s">
        <v>269</v>
      </c>
      <c r="F92" s="20"/>
      <c r="H92" s="18">
        <v>0</v>
      </c>
      <c r="I92" s="18"/>
      <c r="J92" s="18"/>
    </row>
    <row r="93" spans="1:10" x14ac:dyDescent="0.25">
      <c r="A93" s="6"/>
      <c r="B93" s="6"/>
      <c r="C93" s="6" t="s">
        <v>270</v>
      </c>
      <c r="F93" s="20"/>
      <c r="H93" s="18">
        <v>0</v>
      </c>
      <c r="I93" s="18"/>
      <c r="J93" s="18"/>
    </row>
    <row r="94" spans="1:10" x14ac:dyDescent="0.25">
      <c r="A94" s="6"/>
      <c r="B94" s="6"/>
      <c r="C94" s="6" t="s">
        <v>271</v>
      </c>
      <c r="F94" s="20"/>
      <c r="H94" s="18">
        <v>840</v>
      </c>
      <c r="I94" s="18">
        <f>+H94/E15</f>
        <v>12</v>
      </c>
      <c r="J94" s="18"/>
    </row>
    <row r="95" spans="1:10" x14ac:dyDescent="0.25">
      <c r="A95" s="6"/>
      <c r="B95" s="6"/>
      <c r="C95" s="6" t="s">
        <v>272</v>
      </c>
      <c r="F95" s="20"/>
      <c r="H95" s="18">
        <v>0</v>
      </c>
      <c r="I95" s="18"/>
      <c r="J95" s="18"/>
    </row>
    <row r="96" spans="1:10" x14ac:dyDescent="0.25">
      <c r="A96" s="6"/>
      <c r="B96" s="6"/>
      <c r="C96" s="6" t="s">
        <v>274</v>
      </c>
      <c r="F96" s="20"/>
      <c r="H96" s="18">
        <v>0</v>
      </c>
      <c r="I96" s="18"/>
      <c r="J96" s="18"/>
    </row>
    <row r="97" spans="1:12" x14ac:dyDescent="0.25">
      <c r="A97" s="6"/>
      <c r="B97" s="6"/>
      <c r="C97" s="6"/>
      <c r="F97" s="20"/>
      <c r="H97" s="18"/>
      <c r="I97" s="18"/>
      <c r="J97" s="18"/>
    </row>
    <row r="98" spans="1:12" x14ac:dyDescent="0.25">
      <c r="A98" s="6"/>
      <c r="B98" s="6"/>
      <c r="C98" s="6" t="s">
        <v>300</v>
      </c>
      <c r="F98" s="20"/>
      <c r="H98" s="18">
        <v>0</v>
      </c>
      <c r="I98" s="18"/>
      <c r="J98" s="18"/>
    </row>
    <row r="99" spans="1:12" x14ac:dyDescent="0.25">
      <c r="A99" s="6"/>
      <c r="B99" s="6" t="s">
        <v>301</v>
      </c>
      <c r="C99" s="6"/>
      <c r="F99" s="20">
        <f>SUM(F45:F98)</f>
        <v>660152</v>
      </c>
      <c r="H99" s="18"/>
      <c r="I99" s="18"/>
      <c r="J99" s="22">
        <f>SUM(H45:H98)</f>
        <v>78166.540000000008</v>
      </c>
      <c r="K99" s="23">
        <f>SUM(J99/J163)</f>
        <v>4.8234220786223726E-2</v>
      </c>
      <c r="L99" s="7">
        <f>SUM(F99/J166)</f>
        <v>2.2964264873547344E-2</v>
      </c>
    </row>
    <row r="100" spans="1:12" x14ac:dyDescent="0.25">
      <c r="A100" s="13" t="s">
        <v>302</v>
      </c>
      <c r="B100" s="13"/>
      <c r="C100" s="13"/>
      <c r="D100" s="8"/>
      <c r="E100" s="8"/>
      <c r="F100" s="8"/>
      <c r="G100" s="8"/>
      <c r="H100" s="8"/>
      <c r="I100" s="8"/>
      <c r="J100" s="8"/>
      <c r="K100" s="8"/>
    </row>
    <row r="101" spans="1:12" x14ac:dyDescent="0.25">
      <c r="C101" s="7" t="s">
        <v>303</v>
      </c>
      <c r="H101" s="22">
        <v>0</v>
      </c>
    </row>
    <row r="102" spans="1:12" x14ac:dyDescent="0.25">
      <c r="C102" s="7" t="s">
        <v>304</v>
      </c>
      <c r="H102" s="22">
        <v>0</v>
      </c>
    </row>
    <row r="103" spans="1:12" x14ac:dyDescent="0.25">
      <c r="C103" s="7" t="s">
        <v>305</v>
      </c>
      <c r="H103" s="22">
        <v>0</v>
      </c>
    </row>
    <row r="104" spans="1:12" x14ac:dyDescent="0.25">
      <c r="C104" s="7" t="s">
        <v>306</v>
      </c>
      <c r="H104" s="22">
        <v>0</v>
      </c>
    </row>
    <row r="105" spans="1:12" x14ac:dyDescent="0.25">
      <c r="C105" s="7" t="s">
        <v>307</v>
      </c>
      <c r="H105" s="22">
        <v>0</v>
      </c>
    </row>
    <row r="106" spans="1:12" x14ac:dyDescent="0.25">
      <c r="C106" s="7" t="s">
        <v>308</v>
      </c>
      <c r="H106" s="22">
        <v>0</v>
      </c>
    </row>
    <row r="107" spans="1:12" x14ac:dyDescent="0.25">
      <c r="C107" s="7" t="s">
        <v>309</v>
      </c>
      <c r="H107" s="22">
        <v>0</v>
      </c>
    </row>
    <row r="108" spans="1:12" x14ac:dyDescent="0.25">
      <c r="C108" s="7" t="s">
        <v>310</v>
      </c>
      <c r="H108" s="22">
        <v>0</v>
      </c>
    </row>
    <row r="109" spans="1:12" x14ac:dyDescent="0.25">
      <c r="C109" s="7" t="s">
        <v>311</v>
      </c>
      <c r="H109" s="22">
        <v>0</v>
      </c>
    </row>
    <row r="110" spans="1:12" x14ac:dyDescent="0.25">
      <c r="B110" s="7" t="s">
        <v>312</v>
      </c>
      <c r="J110" s="22">
        <f>SUM(H101:H109)</f>
        <v>0</v>
      </c>
      <c r="K110" s="23">
        <f>SUM(J110/J163)</f>
        <v>0</v>
      </c>
    </row>
    <row r="111" spans="1:12" x14ac:dyDescent="0.25">
      <c r="A111" s="8" t="s">
        <v>313</v>
      </c>
      <c r="B111" s="8"/>
      <c r="C111" s="8"/>
      <c r="D111" s="8"/>
      <c r="E111" s="8"/>
      <c r="F111" s="8"/>
      <c r="G111" s="8"/>
      <c r="H111" s="8"/>
      <c r="I111" s="8" t="s">
        <v>314</v>
      </c>
      <c r="J111" s="8"/>
      <c r="K111" s="8"/>
    </row>
    <row r="112" spans="1:12" x14ac:dyDescent="0.25">
      <c r="A112" s="8"/>
      <c r="B112" s="8"/>
      <c r="C112" s="8"/>
      <c r="D112" s="8"/>
      <c r="E112" s="8" t="s">
        <v>261</v>
      </c>
      <c r="F112" s="8"/>
      <c r="G112" s="8"/>
      <c r="H112" s="8"/>
      <c r="I112" s="8"/>
    </row>
    <row r="113" spans="1:10" x14ac:dyDescent="0.25">
      <c r="C113" s="7" t="s">
        <v>215</v>
      </c>
      <c r="F113" s="20">
        <v>0</v>
      </c>
      <c r="I113" s="18"/>
      <c r="J113" s="18"/>
    </row>
    <row r="114" spans="1:10" x14ac:dyDescent="0.25">
      <c r="C114" s="7" t="s">
        <v>315</v>
      </c>
      <c r="F114" s="20"/>
      <c r="I114" s="18">
        <v>0</v>
      </c>
      <c r="J114" s="18"/>
    </row>
    <row r="115" spans="1:10" x14ac:dyDescent="0.25">
      <c r="C115" s="7" t="s">
        <v>233</v>
      </c>
      <c r="F115" s="20"/>
      <c r="I115" s="18">
        <v>0</v>
      </c>
      <c r="J115" s="18"/>
    </row>
    <row r="116" spans="1:10" x14ac:dyDescent="0.25">
      <c r="C116" s="7" t="s">
        <v>263</v>
      </c>
      <c r="F116" s="20"/>
      <c r="I116" s="18">
        <v>0</v>
      </c>
      <c r="J116" s="18"/>
    </row>
    <row r="117" spans="1:10" x14ac:dyDescent="0.25">
      <c r="C117" s="7" t="s">
        <v>300</v>
      </c>
      <c r="F117" s="20"/>
      <c r="I117" s="18">
        <v>0</v>
      </c>
      <c r="J117" s="18"/>
    </row>
    <row r="118" spans="1:10" x14ac:dyDescent="0.25">
      <c r="C118" s="7" t="s">
        <v>316</v>
      </c>
      <c r="F118" s="20"/>
      <c r="I118" s="18">
        <v>0</v>
      </c>
      <c r="J118" s="18"/>
    </row>
    <row r="119" spans="1:10" x14ac:dyDescent="0.25">
      <c r="C119" s="7" t="s">
        <v>317</v>
      </c>
      <c r="F119" s="20"/>
      <c r="I119" s="18">
        <v>0</v>
      </c>
      <c r="J119" s="18"/>
    </row>
    <row r="120" spans="1:10" x14ac:dyDescent="0.25">
      <c r="C120" s="7" t="s">
        <v>318</v>
      </c>
      <c r="F120" s="20"/>
      <c r="I120" s="18">
        <v>0</v>
      </c>
      <c r="J120" s="18"/>
    </row>
    <row r="121" spans="1:10" x14ac:dyDescent="0.25">
      <c r="C121" s="7" t="s">
        <v>319</v>
      </c>
      <c r="F121" s="20"/>
      <c r="I121" s="18">
        <v>0</v>
      </c>
      <c r="J121" s="18"/>
    </row>
    <row r="122" spans="1:10" x14ac:dyDescent="0.25">
      <c r="C122" s="7" t="s">
        <v>273</v>
      </c>
      <c r="F122" s="20"/>
      <c r="I122" s="18">
        <v>0</v>
      </c>
      <c r="J122" s="18"/>
    </row>
    <row r="123" spans="1:10" x14ac:dyDescent="0.25">
      <c r="C123" s="7" t="s">
        <v>275</v>
      </c>
      <c r="F123" s="20"/>
      <c r="I123" s="18">
        <v>0</v>
      </c>
      <c r="J123" s="18"/>
    </row>
    <row r="124" spans="1:10" x14ac:dyDescent="0.25">
      <c r="A124" s="8"/>
      <c r="B124" s="8"/>
      <c r="C124" s="8"/>
      <c r="D124" s="8"/>
      <c r="E124" s="8" t="s">
        <v>277</v>
      </c>
      <c r="F124" s="21"/>
      <c r="G124" s="8"/>
      <c r="H124" s="8"/>
      <c r="I124" s="19"/>
      <c r="J124" s="18"/>
    </row>
    <row r="125" spans="1:10" x14ac:dyDescent="0.25">
      <c r="C125" s="7" t="s">
        <v>278</v>
      </c>
      <c r="F125" s="20"/>
      <c r="I125" s="18">
        <v>0</v>
      </c>
      <c r="J125" s="18"/>
    </row>
    <row r="126" spans="1:10" x14ac:dyDescent="0.25">
      <c r="C126" s="7" t="s">
        <v>279</v>
      </c>
      <c r="F126" s="20"/>
      <c r="I126" s="18">
        <v>0</v>
      </c>
      <c r="J126" s="18"/>
    </row>
    <row r="127" spans="1:10" x14ac:dyDescent="0.25">
      <c r="C127" s="7" t="s">
        <v>280</v>
      </c>
      <c r="F127" s="20"/>
      <c r="I127" s="18">
        <v>0</v>
      </c>
      <c r="J127" s="18"/>
    </row>
    <row r="128" spans="1:10" x14ac:dyDescent="0.25">
      <c r="C128" s="7" t="s">
        <v>282</v>
      </c>
      <c r="F128" s="20"/>
      <c r="I128" s="18">
        <v>0</v>
      </c>
      <c r="J128" s="18"/>
    </row>
    <row r="129" spans="3:10" x14ac:dyDescent="0.25">
      <c r="C129" s="7" t="s">
        <v>263</v>
      </c>
      <c r="F129" s="20"/>
      <c r="I129" s="18">
        <v>0</v>
      </c>
      <c r="J129" s="18"/>
    </row>
    <row r="130" spans="3:10" x14ac:dyDescent="0.25">
      <c r="C130" s="7" t="s">
        <v>283</v>
      </c>
      <c r="F130" s="20"/>
      <c r="I130" s="18">
        <v>0</v>
      </c>
      <c r="J130" s="18"/>
    </row>
    <row r="131" spans="3:10" x14ac:dyDescent="0.25">
      <c r="C131" s="7" t="s">
        <v>285</v>
      </c>
      <c r="F131" s="20"/>
      <c r="I131" s="18">
        <v>0</v>
      </c>
      <c r="J131" s="18"/>
    </row>
    <row r="132" spans="3:10" x14ac:dyDescent="0.25">
      <c r="C132" s="7" t="s">
        <v>286</v>
      </c>
      <c r="F132" s="20"/>
      <c r="I132" s="18">
        <v>0</v>
      </c>
      <c r="J132" s="18"/>
    </row>
    <row r="133" spans="3:10" x14ac:dyDescent="0.25">
      <c r="C133" s="7" t="s">
        <v>287</v>
      </c>
      <c r="F133" s="20"/>
      <c r="I133" s="18">
        <v>0</v>
      </c>
      <c r="J133" s="18"/>
    </row>
    <row r="134" spans="3:10" x14ac:dyDescent="0.25">
      <c r="C134" s="7" t="s">
        <v>288</v>
      </c>
      <c r="F134" s="20"/>
      <c r="I134" s="18">
        <v>0</v>
      </c>
      <c r="J134" s="18"/>
    </row>
    <row r="135" spans="3:10" x14ac:dyDescent="0.25">
      <c r="C135" s="7" t="s">
        <v>289</v>
      </c>
      <c r="F135" s="20"/>
      <c r="I135" s="18">
        <v>0</v>
      </c>
      <c r="J135" s="18"/>
    </row>
    <row r="136" spans="3:10" x14ac:dyDescent="0.25">
      <c r="C136" s="7" t="s">
        <v>291</v>
      </c>
      <c r="F136" s="20"/>
      <c r="I136" s="18">
        <v>0</v>
      </c>
      <c r="J136" s="18"/>
    </row>
    <row r="137" spans="3:10" x14ac:dyDescent="0.25">
      <c r="C137" s="7" t="s">
        <v>292</v>
      </c>
      <c r="F137" s="20"/>
      <c r="I137" s="18">
        <v>0</v>
      </c>
      <c r="J137" s="18"/>
    </row>
    <row r="138" spans="3:10" x14ac:dyDescent="0.25">
      <c r="C138" s="7" t="s">
        <v>293</v>
      </c>
      <c r="F138" s="20"/>
      <c r="I138" s="18">
        <v>0</v>
      </c>
      <c r="J138" s="18"/>
    </row>
    <row r="139" spans="3:10" x14ac:dyDescent="0.25">
      <c r="C139" s="7" t="s">
        <v>294</v>
      </c>
      <c r="F139" s="20"/>
      <c r="I139" s="18">
        <v>0</v>
      </c>
      <c r="J139" s="18"/>
    </row>
    <row r="140" spans="3:10" x14ac:dyDescent="0.25">
      <c r="C140" s="7" t="s">
        <v>295</v>
      </c>
      <c r="F140" s="20"/>
      <c r="I140" s="18">
        <v>0</v>
      </c>
      <c r="J140" s="18"/>
    </row>
    <row r="141" spans="3:10" x14ac:dyDescent="0.25">
      <c r="C141" s="7" t="s">
        <v>296</v>
      </c>
      <c r="F141" s="20"/>
      <c r="I141" s="18">
        <v>0</v>
      </c>
      <c r="J141" s="18"/>
    </row>
    <row r="142" spans="3:10" x14ac:dyDescent="0.25">
      <c r="C142" s="7" t="s">
        <v>297</v>
      </c>
      <c r="F142" s="20"/>
      <c r="I142" s="18">
        <v>0</v>
      </c>
      <c r="J142" s="18"/>
    </row>
    <row r="143" spans="3:10" x14ac:dyDescent="0.25">
      <c r="C143" s="7" t="s">
        <v>298</v>
      </c>
      <c r="F143" s="20"/>
      <c r="I143" s="18">
        <v>0</v>
      </c>
      <c r="J143" s="18"/>
    </row>
    <row r="144" spans="3:10" x14ac:dyDescent="0.25">
      <c r="C144" s="7" t="s">
        <v>299</v>
      </c>
      <c r="F144" s="20"/>
      <c r="I144" s="18">
        <v>0</v>
      </c>
      <c r="J144" s="18"/>
    </row>
    <row r="145" spans="1:12" x14ac:dyDescent="0.25">
      <c r="C145" s="7" t="s">
        <v>316</v>
      </c>
      <c r="F145" s="20"/>
      <c r="I145" s="18">
        <v>0</v>
      </c>
      <c r="J145" s="18"/>
    </row>
    <row r="146" spans="1:12" x14ac:dyDescent="0.25">
      <c r="C146" s="7" t="s">
        <v>317</v>
      </c>
      <c r="F146" s="20"/>
      <c r="I146" s="18">
        <v>0</v>
      </c>
      <c r="J146" s="18"/>
    </row>
    <row r="147" spans="1:12" x14ac:dyDescent="0.25">
      <c r="C147" s="7" t="s">
        <v>318</v>
      </c>
      <c r="F147" s="20"/>
      <c r="I147" s="18">
        <v>0</v>
      </c>
      <c r="J147" s="18"/>
    </row>
    <row r="148" spans="1:12" x14ac:dyDescent="0.25">
      <c r="C148" s="7" t="s">
        <v>319</v>
      </c>
      <c r="F148" s="20"/>
      <c r="I148" s="18">
        <v>0</v>
      </c>
      <c r="J148" s="18"/>
    </row>
    <row r="149" spans="1:12" x14ac:dyDescent="0.25">
      <c r="C149" s="7" t="s">
        <v>273</v>
      </c>
      <c r="F149" s="20"/>
      <c r="I149" s="18">
        <v>0</v>
      </c>
      <c r="J149" s="18"/>
    </row>
    <row r="150" spans="1:12" x14ac:dyDescent="0.25">
      <c r="C150" s="7" t="s">
        <v>300</v>
      </c>
      <c r="F150" s="20"/>
      <c r="I150" s="18">
        <v>0</v>
      </c>
      <c r="J150" s="18"/>
    </row>
    <row r="151" spans="1:12" x14ac:dyDescent="0.25">
      <c r="F151" s="20"/>
      <c r="I151" s="18"/>
      <c r="J151" s="18"/>
    </row>
    <row r="152" spans="1:12" x14ac:dyDescent="0.25">
      <c r="B152" s="7" t="s">
        <v>320</v>
      </c>
      <c r="F152" s="20">
        <f>SUM(F113:F151)</f>
        <v>0</v>
      </c>
      <c r="I152" s="18"/>
      <c r="J152" s="22">
        <f>SUM(I113:I151)</f>
        <v>0</v>
      </c>
      <c r="K152" s="23">
        <f>SUM(J152/J163)</f>
        <v>0</v>
      </c>
      <c r="L152" s="23">
        <f>SUM(F152/J166)</f>
        <v>0</v>
      </c>
    </row>
    <row r="153" spans="1:12" x14ac:dyDescent="0.25">
      <c r="A153" s="8" t="s">
        <v>321</v>
      </c>
      <c r="F153" s="20">
        <f>SUM(F19+F99+F152)</f>
        <v>28746925</v>
      </c>
      <c r="J153" s="22">
        <f>SUM(J8:J41)+J99+J110+J152</f>
        <v>3160166.9800000004</v>
      </c>
    </row>
    <row r="155" spans="1:12" x14ac:dyDescent="0.25">
      <c r="A155" s="8" t="s">
        <v>322</v>
      </c>
      <c r="F155" s="20">
        <v>0</v>
      </c>
      <c r="J155" s="22">
        <v>0</v>
      </c>
    </row>
    <row r="157" spans="1:12" x14ac:dyDescent="0.25">
      <c r="A157" s="8" t="s">
        <v>323</v>
      </c>
      <c r="F157" s="20">
        <f>SUM(F153+F155)</f>
        <v>28746925</v>
      </c>
      <c r="J157" s="22">
        <f>SUM(J153+J155)</f>
        <v>3160166.9800000004</v>
      </c>
    </row>
    <row r="158" spans="1:12" x14ac:dyDescent="0.25">
      <c r="A158" s="8" t="s">
        <v>324</v>
      </c>
      <c r="F158" s="20">
        <f>SUM(J166-F157)</f>
        <v>0</v>
      </c>
      <c r="J158" s="22">
        <f>SUM(J163-J157)</f>
        <v>-1539605.0900000005</v>
      </c>
      <c r="K158" s="23">
        <f>SUM(J158/J163)</f>
        <v>-0.95004399369159587</v>
      </c>
      <c r="L158" s="23">
        <f>SUM(F158/J166)</f>
        <v>0</v>
      </c>
    </row>
    <row r="160" spans="1:12" x14ac:dyDescent="0.25">
      <c r="A160" s="8" t="s">
        <v>112</v>
      </c>
      <c r="F160" s="20">
        <f>SUM(F157+F158)</f>
        <v>28746925</v>
      </c>
      <c r="J160" s="22">
        <f>SUM(J157+J158)</f>
        <v>1620561.89</v>
      </c>
    </row>
    <row r="162" spans="1:12" x14ac:dyDescent="0.25">
      <c r="A162" s="9"/>
      <c r="B162" s="9"/>
      <c r="C162" s="9"/>
      <c r="D162" s="9"/>
      <c r="E162" s="9"/>
      <c r="F162" s="9"/>
      <c r="G162" s="9"/>
      <c r="H162" s="9" t="s">
        <v>258</v>
      </c>
      <c r="I162" s="9" t="s">
        <v>325</v>
      </c>
      <c r="J162" s="9" t="s">
        <v>326</v>
      </c>
      <c r="K162" s="9"/>
    </row>
    <row r="163" spans="1:12" x14ac:dyDescent="0.25">
      <c r="A163" s="8" t="s">
        <v>327</v>
      </c>
      <c r="H163" s="22">
        <v>1620561.89</v>
      </c>
      <c r="I163" s="22">
        <v>0</v>
      </c>
      <c r="J163" s="22">
        <v>1620561.89</v>
      </c>
    </row>
    <row r="165" spans="1:12" x14ac:dyDescent="0.25">
      <c r="A165" s="9"/>
      <c r="B165" s="9"/>
      <c r="C165" s="9"/>
      <c r="D165" s="9"/>
      <c r="E165" s="9"/>
      <c r="F165" s="9"/>
      <c r="G165" s="9"/>
      <c r="H165" s="9" t="s">
        <v>228</v>
      </c>
      <c r="I165" s="9" t="s">
        <v>325</v>
      </c>
      <c r="J165" s="9" t="s">
        <v>328</v>
      </c>
      <c r="K165" s="9"/>
    </row>
    <row r="166" spans="1:12" x14ac:dyDescent="0.25">
      <c r="A166" s="8"/>
      <c r="H166" s="20">
        <v>28746925</v>
      </c>
      <c r="I166" s="20">
        <v>0</v>
      </c>
      <c r="J166" s="20">
        <v>28746925</v>
      </c>
    </row>
    <row r="168" spans="1:12" x14ac:dyDescent="0.25">
      <c r="A168" s="8" t="s">
        <v>329</v>
      </c>
      <c r="H168" s="20">
        <v>28746925</v>
      </c>
      <c r="J168" s="22">
        <v>1639198.41</v>
      </c>
      <c r="K168" s="23"/>
      <c r="L168" s="23"/>
    </row>
    <row r="170" spans="1:12" x14ac:dyDescent="0.25">
      <c r="A170" s="8" t="s">
        <v>330</v>
      </c>
      <c r="J170" s="22">
        <v>0</v>
      </c>
    </row>
    <row r="172" spans="1:12" x14ac:dyDescent="0.25">
      <c r="A172" s="8" t="s">
        <v>331</v>
      </c>
      <c r="H172" s="20">
        <f>SUM(H168-F153)</f>
        <v>0</v>
      </c>
      <c r="J172" s="22">
        <f>SUM(J168-J153+0)</f>
        <v>-1520968.5700000005</v>
      </c>
      <c r="K172" s="23">
        <f>J172/J168</f>
        <v>-0.92787338050187629</v>
      </c>
      <c r="L172" s="23">
        <f>H172/H168</f>
        <v>0</v>
      </c>
    </row>
  </sheetData>
  <mergeCells count="3">
    <mergeCell ref="J5:M5"/>
    <mergeCell ref="O5:R5"/>
    <mergeCell ref="K6:K7"/>
  </mergeCells>
  <pageMargins left="0.7" right="0.7" top="1.4270833333333299" bottom="0.75" header="0.3" footer="0.3"/>
  <pageSetup scale="41" fitToHeight="2" orientation="portrait" horizontalDpi="1200" verticalDpi="1200" r:id="rId1"/>
  <headerFooter>
    <oddHeader>&amp;CMIDAMERICAN ENERGY COMPANY
2026 SOUTH DAKOTA GAS RATE CASE
Docket No. NG26-___
Statement O-Workpapers Support
FOR THE YEAR ENDING DECEMBER 31, 2025&amp;RStratton Direct Exhibit 1.2, WP1
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85A9B-8ED7-4523-A716-1A2F16BA040B}">
  <dimension ref="A1:L191"/>
  <sheetViews>
    <sheetView view="pageLayout" zoomScaleNormal="100" workbookViewId="0">
      <selection activeCell="A19" sqref="A19"/>
    </sheetView>
  </sheetViews>
  <sheetFormatPr defaultRowHeight="15" x14ac:dyDescent="0.25"/>
  <cols>
    <col min="1" max="2" width="2.7109375" style="7" customWidth="1"/>
    <col min="3" max="3" width="28.7109375" style="7" customWidth="1"/>
    <col min="4" max="6" width="9.140625" style="7"/>
    <col min="7" max="7" width="9.28515625" style="7" bestFit="1" customWidth="1"/>
    <col min="8" max="8" width="11.140625" style="7" bestFit="1" customWidth="1"/>
    <col min="9" max="9" width="9.42578125" style="7" bestFit="1" customWidth="1"/>
    <col min="10" max="10" width="11.85546875" style="7" bestFit="1" customWidth="1"/>
    <col min="11" max="16384" width="9.140625" style="7"/>
  </cols>
  <sheetData>
    <row r="1" spans="1:10" x14ac:dyDescent="0.25">
      <c r="A1" s="6" t="s">
        <v>210</v>
      </c>
      <c r="B1" s="6"/>
      <c r="C1" s="6"/>
    </row>
    <row r="2" spans="1:10" x14ac:dyDescent="0.25">
      <c r="A2" s="6" t="s">
        <v>332</v>
      </c>
      <c r="B2" s="6"/>
      <c r="C2" s="6"/>
    </row>
    <row r="3" spans="1:10" x14ac:dyDescent="0.25">
      <c r="A3" s="6"/>
      <c r="B3" s="6"/>
      <c r="C3" s="12" t="s">
        <v>333</v>
      </c>
    </row>
    <row r="4" spans="1:10" x14ac:dyDescent="0.25">
      <c r="A4" s="6"/>
      <c r="B4" s="6"/>
      <c r="C4" s="12" t="s">
        <v>346</v>
      </c>
    </row>
    <row r="5" spans="1:10" x14ac:dyDescent="0.25">
      <c r="A5" s="6"/>
      <c r="B5" s="6"/>
      <c r="C5" s="6"/>
    </row>
    <row r="6" spans="1:10" x14ac:dyDescent="0.25">
      <c r="A6" s="6"/>
      <c r="B6" s="6"/>
      <c r="C6" s="6"/>
      <c r="E6" s="7" t="s">
        <v>214</v>
      </c>
      <c r="F6" s="7" t="s">
        <v>215</v>
      </c>
      <c r="G6" s="7" t="s">
        <v>216</v>
      </c>
      <c r="H6" s="7" t="s">
        <v>217</v>
      </c>
      <c r="I6" s="7" t="s">
        <v>218</v>
      </c>
      <c r="J6" s="7" t="s">
        <v>219</v>
      </c>
    </row>
    <row r="7" spans="1:10" x14ac:dyDescent="0.25">
      <c r="A7" s="6"/>
      <c r="B7" s="6"/>
      <c r="C7" s="6"/>
      <c r="E7" s="7" t="s">
        <v>220</v>
      </c>
      <c r="F7" s="7" t="s">
        <v>220</v>
      </c>
      <c r="G7" s="7" t="s">
        <v>220</v>
      </c>
      <c r="H7" s="7" t="s">
        <v>220</v>
      </c>
      <c r="I7" s="7" t="s">
        <v>220</v>
      </c>
      <c r="J7" s="7" t="s">
        <v>220</v>
      </c>
    </row>
    <row r="8" spans="1:10" x14ac:dyDescent="0.25">
      <c r="A8" s="13" t="s">
        <v>339</v>
      </c>
      <c r="B8" s="6"/>
      <c r="C8" s="6"/>
      <c r="F8" s="14"/>
      <c r="G8" s="15"/>
      <c r="H8" s="15"/>
      <c r="I8" s="15"/>
    </row>
    <row r="9" spans="1:10" x14ac:dyDescent="0.25">
      <c r="A9" s="13"/>
      <c r="B9" s="6" t="s">
        <v>222</v>
      </c>
      <c r="C9" s="6"/>
      <c r="E9" s="7">
        <v>80</v>
      </c>
      <c r="F9" s="14"/>
      <c r="G9" s="15">
        <v>19.986000000000001</v>
      </c>
      <c r="H9" s="15"/>
      <c r="I9" s="15"/>
      <c r="J9" s="16">
        <v>1598.88</v>
      </c>
    </row>
    <row r="10" spans="1:10" x14ac:dyDescent="0.25">
      <c r="A10" s="13"/>
      <c r="B10" s="6" t="s">
        <v>340</v>
      </c>
      <c r="C10" s="6"/>
      <c r="E10" s="7">
        <v>35</v>
      </c>
      <c r="F10" s="14"/>
      <c r="G10" s="15">
        <v>13.99</v>
      </c>
      <c r="H10" s="15"/>
      <c r="I10" s="15"/>
      <c r="J10" s="7">
        <v>489.51</v>
      </c>
    </row>
    <row r="11" spans="1:10" x14ac:dyDescent="0.25">
      <c r="A11" s="13"/>
      <c r="B11" s="6" t="s">
        <v>341</v>
      </c>
      <c r="C11" s="6"/>
      <c r="E11" s="7">
        <v>40</v>
      </c>
      <c r="F11" s="14"/>
      <c r="G11" s="15">
        <v>19.986000000000001</v>
      </c>
      <c r="H11" s="15"/>
      <c r="I11" s="15"/>
      <c r="J11" s="7">
        <v>799.44</v>
      </c>
    </row>
    <row r="12" spans="1:10" x14ac:dyDescent="0.25">
      <c r="A12" s="13"/>
      <c r="B12" s="6" t="s">
        <v>223</v>
      </c>
      <c r="C12" s="6"/>
      <c r="E12" s="7">
        <v>4.1390000000000003E-2</v>
      </c>
      <c r="F12" s="14">
        <v>3021056</v>
      </c>
      <c r="G12" s="15"/>
      <c r="H12" s="15"/>
      <c r="I12" s="15"/>
      <c r="J12" s="16">
        <v>125041.51</v>
      </c>
    </row>
    <row r="13" spans="1:10" x14ac:dyDescent="0.25">
      <c r="A13" s="13"/>
      <c r="B13" s="6" t="s">
        <v>342</v>
      </c>
      <c r="C13" s="6"/>
      <c r="E13" s="7">
        <v>0.16</v>
      </c>
      <c r="F13" s="14"/>
      <c r="G13" s="15"/>
      <c r="H13" s="15">
        <v>165434</v>
      </c>
      <c r="I13" s="15"/>
      <c r="J13" s="16">
        <v>26469.439999999999</v>
      </c>
    </row>
    <row r="14" spans="1:10" x14ac:dyDescent="0.25">
      <c r="A14" s="13"/>
      <c r="B14" s="6" t="s">
        <v>225</v>
      </c>
      <c r="C14" s="6"/>
      <c r="E14" s="7">
        <v>40</v>
      </c>
      <c r="F14" s="14"/>
      <c r="G14" s="15">
        <v>11</v>
      </c>
      <c r="H14" s="15"/>
      <c r="I14" s="15"/>
      <c r="J14" s="7">
        <v>440</v>
      </c>
    </row>
    <row r="15" spans="1:10" x14ac:dyDescent="0.25">
      <c r="A15" s="13"/>
      <c r="B15" s="6" t="s">
        <v>226</v>
      </c>
      <c r="C15" s="6"/>
      <c r="E15" s="7">
        <v>70</v>
      </c>
      <c r="F15" s="14"/>
      <c r="G15" s="15">
        <v>8.99</v>
      </c>
      <c r="H15" s="15"/>
      <c r="I15" s="15"/>
      <c r="J15" s="7">
        <v>629.02</v>
      </c>
    </row>
    <row r="16" spans="1:10" x14ac:dyDescent="0.25">
      <c r="A16" s="13"/>
      <c r="B16" s="6" t="s">
        <v>343</v>
      </c>
      <c r="C16" s="6"/>
      <c r="E16" s="7">
        <v>0.16</v>
      </c>
      <c r="F16" s="14"/>
      <c r="G16" s="15"/>
      <c r="H16" s="15"/>
      <c r="I16" s="15">
        <v>10499</v>
      </c>
      <c r="J16" s="16">
        <v>1679.84</v>
      </c>
    </row>
    <row r="17" spans="1:10" x14ac:dyDescent="0.25">
      <c r="A17" s="13" t="s">
        <v>347</v>
      </c>
      <c r="B17" s="6"/>
      <c r="C17" s="6"/>
      <c r="F17" s="14"/>
      <c r="G17" s="15"/>
      <c r="H17" s="15"/>
      <c r="I17" s="15"/>
    </row>
    <row r="18" spans="1:10" x14ac:dyDescent="0.25">
      <c r="A18" s="13"/>
      <c r="B18" s="6" t="s">
        <v>222</v>
      </c>
      <c r="C18" s="6"/>
      <c r="E18" s="7">
        <v>98.74</v>
      </c>
      <c r="F18" s="14"/>
      <c r="G18" s="15">
        <v>0</v>
      </c>
      <c r="H18" s="15"/>
      <c r="I18" s="15"/>
      <c r="J18" s="7">
        <v>0</v>
      </c>
    </row>
    <row r="19" spans="1:10" x14ac:dyDescent="0.25">
      <c r="A19" s="13"/>
      <c r="B19" s="6" t="s">
        <v>340</v>
      </c>
      <c r="C19" s="6"/>
      <c r="E19" s="7">
        <v>51.84</v>
      </c>
      <c r="F19" s="14"/>
      <c r="G19" s="15">
        <v>0</v>
      </c>
      <c r="H19" s="15"/>
      <c r="I19" s="15"/>
      <c r="J19" s="7">
        <v>0</v>
      </c>
    </row>
    <row r="20" spans="1:10" x14ac:dyDescent="0.25">
      <c r="A20" s="13"/>
      <c r="B20" s="6" t="s">
        <v>341</v>
      </c>
      <c r="C20" s="6"/>
      <c r="E20" s="7">
        <v>30.86</v>
      </c>
      <c r="F20" s="14"/>
      <c r="G20" s="15">
        <v>0</v>
      </c>
      <c r="H20" s="15"/>
      <c r="I20" s="15"/>
    </row>
    <row r="21" spans="1:10" x14ac:dyDescent="0.25">
      <c r="A21" s="13"/>
      <c r="B21" s="6" t="s">
        <v>342</v>
      </c>
      <c r="C21" s="6"/>
      <c r="E21" s="7">
        <v>5.3069999999999999E-2</v>
      </c>
      <c r="F21" s="14"/>
      <c r="G21" s="15"/>
      <c r="H21" s="15">
        <v>0</v>
      </c>
      <c r="I21" s="15"/>
      <c r="J21" s="7">
        <v>0</v>
      </c>
    </row>
    <row r="22" spans="1:10" x14ac:dyDescent="0.25">
      <c r="A22" s="13"/>
      <c r="B22" s="6" t="s">
        <v>343</v>
      </c>
      <c r="C22" s="6"/>
      <c r="E22" s="7">
        <v>5.3069999999999999E-2</v>
      </c>
      <c r="F22" s="14"/>
      <c r="G22" s="15"/>
      <c r="H22" s="15"/>
      <c r="I22" s="15">
        <v>0</v>
      </c>
    </row>
    <row r="23" spans="1:10" x14ac:dyDescent="0.25">
      <c r="A23" s="13" t="s">
        <v>348</v>
      </c>
      <c r="B23" s="6"/>
      <c r="C23" s="6"/>
      <c r="F23" s="14"/>
      <c r="G23" s="15"/>
      <c r="H23" s="15"/>
      <c r="I23" s="15"/>
    </row>
    <row r="24" spans="1:10" x14ac:dyDescent="0.25">
      <c r="A24" s="13"/>
      <c r="B24" s="6" t="s">
        <v>222</v>
      </c>
      <c r="C24" s="6"/>
      <c r="E24" s="7">
        <v>80</v>
      </c>
      <c r="F24" s="14"/>
      <c r="G24" s="15">
        <v>0</v>
      </c>
      <c r="H24" s="15"/>
      <c r="I24" s="15"/>
      <c r="J24" s="7">
        <v>0</v>
      </c>
    </row>
    <row r="25" spans="1:10" x14ac:dyDescent="0.25">
      <c r="A25" s="13"/>
      <c r="B25" s="6" t="s">
        <v>340</v>
      </c>
      <c r="C25" s="6"/>
      <c r="E25" s="7">
        <v>42</v>
      </c>
      <c r="F25" s="14"/>
      <c r="G25" s="15">
        <v>0</v>
      </c>
      <c r="H25" s="15"/>
      <c r="I25" s="15"/>
      <c r="J25" s="7">
        <v>0</v>
      </c>
    </row>
    <row r="26" spans="1:10" x14ac:dyDescent="0.25">
      <c r="A26" s="13"/>
      <c r="B26" s="6" t="s">
        <v>341</v>
      </c>
      <c r="C26" s="6"/>
      <c r="E26" s="7">
        <v>25</v>
      </c>
      <c r="F26" s="14"/>
      <c r="G26" s="15">
        <v>0</v>
      </c>
      <c r="H26" s="15"/>
      <c r="I26" s="15"/>
    </row>
    <row r="27" spans="1:10" x14ac:dyDescent="0.25">
      <c r="A27" s="13"/>
      <c r="B27" s="6" t="s">
        <v>342</v>
      </c>
      <c r="C27" s="6"/>
      <c r="E27" s="7">
        <v>4.2999999999999997E-2</v>
      </c>
      <c r="F27" s="14"/>
      <c r="G27" s="15"/>
      <c r="H27" s="15">
        <v>0</v>
      </c>
      <c r="I27" s="15"/>
      <c r="J27" s="7">
        <v>0</v>
      </c>
    </row>
    <row r="28" spans="1:10" x14ac:dyDescent="0.25">
      <c r="A28" s="13"/>
      <c r="B28" s="6" t="s">
        <v>343</v>
      </c>
      <c r="C28" s="6"/>
      <c r="E28" s="7">
        <v>4.2999999999999997E-2</v>
      </c>
      <c r="F28" s="14"/>
      <c r="G28" s="15"/>
      <c r="H28" s="15"/>
      <c r="I28" s="15">
        <v>0</v>
      </c>
    </row>
    <row r="29" spans="1:10" x14ac:dyDescent="0.25">
      <c r="A29" s="13" t="s">
        <v>349</v>
      </c>
      <c r="B29" s="6"/>
      <c r="C29" s="6"/>
      <c r="F29" s="14"/>
      <c r="G29" s="15"/>
      <c r="H29" s="15"/>
      <c r="I29" s="15"/>
    </row>
    <row r="30" spans="1:10" x14ac:dyDescent="0.25">
      <c r="A30" s="13"/>
      <c r="B30" s="6" t="s">
        <v>222</v>
      </c>
      <c r="C30" s="6"/>
      <c r="E30" s="7">
        <v>80</v>
      </c>
      <c r="F30" s="14"/>
      <c r="G30" s="15">
        <v>0</v>
      </c>
      <c r="H30" s="15"/>
      <c r="I30" s="15"/>
      <c r="J30" s="7">
        <v>0</v>
      </c>
    </row>
    <row r="31" spans="1:10" x14ac:dyDescent="0.25">
      <c r="A31" s="13"/>
      <c r="B31" s="6" t="s">
        <v>340</v>
      </c>
      <c r="C31" s="6"/>
      <c r="E31" s="7">
        <v>42</v>
      </c>
      <c r="F31" s="14"/>
      <c r="G31" s="15">
        <v>0</v>
      </c>
      <c r="H31" s="15"/>
      <c r="I31" s="15"/>
      <c r="J31" s="7">
        <v>0</v>
      </c>
    </row>
    <row r="32" spans="1:10" x14ac:dyDescent="0.25">
      <c r="A32" s="13"/>
      <c r="B32" s="6" t="s">
        <v>341</v>
      </c>
      <c r="C32" s="6"/>
      <c r="E32" s="7">
        <v>25</v>
      </c>
      <c r="F32" s="14"/>
      <c r="G32" s="15">
        <v>0</v>
      </c>
      <c r="H32" s="15"/>
      <c r="I32" s="15"/>
    </row>
    <row r="33" spans="1:12" x14ac:dyDescent="0.25">
      <c r="A33" s="13"/>
      <c r="B33" s="6" t="s">
        <v>342</v>
      </c>
      <c r="C33" s="6"/>
      <c r="E33" s="7">
        <v>4.2999999999999997E-2</v>
      </c>
      <c r="F33" s="14"/>
      <c r="G33" s="15"/>
      <c r="H33" s="15">
        <v>0</v>
      </c>
      <c r="I33" s="15"/>
      <c r="J33" s="7">
        <v>0</v>
      </c>
    </row>
    <row r="34" spans="1:12" x14ac:dyDescent="0.25">
      <c r="A34" s="13"/>
      <c r="B34" s="6" t="s">
        <v>343</v>
      </c>
      <c r="C34" s="6"/>
      <c r="E34" s="7">
        <v>4.2999999999999997E-2</v>
      </c>
      <c r="F34" s="14"/>
      <c r="G34" s="15"/>
      <c r="H34" s="15"/>
      <c r="I34" s="15">
        <v>0</v>
      </c>
    </row>
    <row r="35" spans="1:12" x14ac:dyDescent="0.25">
      <c r="A35" s="13"/>
      <c r="B35" s="6"/>
      <c r="C35" s="6"/>
      <c r="F35" s="14"/>
      <c r="G35" s="15"/>
      <c r="H35" s="15"/>
      <c r="I35" s="15"/>
    </row>
    <row r="36" spans="1:12" x14ac:dyDescent="0.25">
      <c r="A36" s="13" t="s">
        <v>228</v>
      </c>
      <c r="B36" s="6"/>
      <c r="C36" s="6"/>
    </row>
    <row r="37" spans="1:12" x14ac:dyDescent="0.25">
      <c r="A37" s="13"/>
      <c r="B37" s="6" t="s">
        <v>215</v>
      </c>
      <c r="C37" s="6"/>
      <c r="F37" s="17">
        <f>SUM(F8:F35)</f>
        <v>3021056</v>
      </c>
    </row>
    <row r="38" spans="1:12" x14ac:dyDescent="0.25">
      <c r="A38" s="6"/>
      <c r="B38" s="6"/>
      <c r="C38" s="6"/>
    </row>
    <row r="39" spans="1:12" x14ac:dyDescent="0.25">
      <c r="A39" s="13" t="s">
        <v>229</v>
      </c>
      <c r="B39" s="13"/>
      <c r="C39" s="13"/>
      <c r="D39" s="8"/>
      <c r="E39" s="8"/>
      <c r="F39" s="8"/>
      <c r="G39" s="8"/>
      <c r="H39" s="8" t="s">
        <v>230</v>
      </c>
      <c r="I39" s="8" t="s">
        <v>231</v>
      </c>
      <c r="J39" s="8" t="s">
        <v>232</v>
      </c>
      <c r="K39" s="8"/>
    </row>
    <row r="40" spans="1:12" x14ac:dyDescent="0.25">
      <c r="A40" s="6"/>
      <c r="B40" s="6" t="s">
        <v>233</v>
      </c>
      <c r="C40" s="6"/>
      <c r="H40" s="18">
        <v>0</v>
      </c>
      <c r="I40" s="18">
        <v>0</v>
      </c>
      <c r="J40" s="18">
        <v>0</v>
      </c>
    </row>
    <row r="41" spans="1:12" x14ac:dyDescent="0.25">
      <c r="A41" s="6"/>
      <c r="B41" s="6" t="s">
        <v>234</v>
      </c>
      <c r="C41" s="6"/>
      <c r="H41" s="18">
        <v>0</v>
      </c>
      <c r="I41" s="18">
        <v>0</v>
      </c>
      <c r="J41" s="18">
        <v>0</v>
      </c>
    </row>
    <row r="42" spans="1:12" x14ac:dyDescent="0.25">
      <c r="A42" s="6"/>
      <c r="B42" s="6" t="s">
        <v>235</v>
      </c>
      <c r="C42" s="6"/>
      <c r="H42" s="18">
        <v>0</v>
      </c>
      <c r="I42" s="18">
        <v>0</v>
      </c>
      <c r="J42" s="18">
        <v>0</v>
      </c>
    </row>
    <row r="43" spans="1:12" x14ac:dyDescent="0.25">
      <c r="A43" s="13"/>
      <c r="B43" s="13"/>
      <c r="C43" s="13"/>
      <c r="D43" s="8"/>
      <c r="E43" s="8"/>
      <c r="F43" s="8"/>
      <c r="G43" s="8"/>
      <c r="H43" s="19"/>
      <c r="I43" s="19"/>
      <c r="J43" s="19"/>
      <c r="K43" s="8"/>
      <c r="L43" s="8"/>
    </row>
    <row r="44" spans="1:12" x14ac:dyDescent="0.25">
      <c r="A44" s="13" t="s">
        <v>236</v>
      </c>
      <c r="B44" s="13"/>
      <c r="C44" s="13"/>
      <c r="D44" s="8"/>
      <c r="E44" s="8"/>
      <c r="F44" s="8"/>
      <c r="G44" s="8"/>
      <c r="H44" s="8" t="s">
        <v>237</v>
      </c>
      <c r="I44" s="8" t="s">
        <v>238</v>
      </c>
      <c r="J44" s="8" t="s">
        <v>239</v>
      </c>
      <c r="K44" s="8"/>
    </row>
    <row r="45" spans="1:12" x14ac:dyDescent="0.25">
      <c r="A45" s="6"/>
      <c r="B45" s="6" t="s">
        <v>240</v>
      </c>
      <c r="C45" s="6"/>
      <c r="H45" s="18">
        <v>0</v>
      </c>
      <c r="I45" s="18">
        <v>0</v>
      </c>
      <c r="J45" s="18">
        <v>0</v>
      </c>
    </row>
    <row r="46" spans="1:12" x14ac:dyDescent="0.25">
      <c r="A46" s="6"/>
      <c r="B46" s="6" t="s">
        <v>241</v>
      </c>
      <c r="C46" s="6"/>
      <c r="H46" s="18">
        <v>0</v>
      </c>
      <c r="I46" s="18">
        <v>0</v>
      </c>
      <c r="J46" s="18">
        <v>0</v>
      </c>
    </row>
    <row r="47" spans="1:12" x14ac:dyDescent="0.25">
      <c r="A47" s="6"/>
      <c r="B47" s="6" t="s">
        <v>242</v>
      </c>
      <c r="C47" s="6"/>
      <c r="H47" s="18">
        <v>0</v>
      </c>
      <c r="I47" s="18">
        <v>0</v>
      </c>
      <c r="J47" s="18">
        <v>0</v>
      </c>
    </row>
    <row r="48" spans="1:12" x14ac:dyDescent="0.25">
      <c r="A48" s="6"/>
      <c r="B48" s="6" t="s">
        <v>243</v>
      </c>
      <c r="C48" s="6"/>
      <c r="H48" s="18">
        <v>0</v>
      </c>
      <c r="I48" s="18">
        <v>0</v>
      </c>
      <c r="J48" s="18">
        <v>0</v>
      </c>
    </row>
    <row r="49" spans="1:12" x14ac:dyDescent="0.25">
      <c r="A49" s="6"/>
      <c r="B49" s="6" t="s">
        <v>244</v>
      </c>
      <c r="C49" s="6"/>
      <c r="H49" s="18">
        <v>0</v>
      </c>
      <c r="I49" s="18">
        <v>0</v>
      </c>
      <c r="J49" s="18">
        <v>0</v>
      </c>
    </row>
    <row r="50" spans="1:12" x14ac:dyDescent="0.25">
      <c r="A50" s="6"/>
      <c r="B50" s="6" t="s">
        <v>245</v>
      </c>
      <c r="C50" s="6"/>
      <c r="H50" s="18">
        <v>0</v>
      </c>
      <c r="I50" s="18">
        <v>0</v>
      </c>
      <c r="J50" s="18">
        <v>0</v>
      </c>
    </row>
    <row r="51" spans="1:12" x14ac:dyDescent="0.25">
      <c r="A51" s="6"/>
      <c r="B51" s="6" t="s">
        <v>246</v>
      </c>
      <c r="C51" s="6"/>
      <c r="H51" s="18">
        <v>0</v>
      </c>
      <c r="I51" s="18">
        <v>0</v>
      </c>
      <c r="J51" s="18">
        <v>0</v>
      </c>
    </row>
    <row r="52" spans="1:12" x14ac:dyDescent="0.25">
      <c r="A52" s="6"/>
      <c r="B52" s="6" t="s">
        <v>247</v>
      </c>
      <c r="C52" s="6"/>
      <c r="H52" s="18">
        <v>0</v>
      </c>
      <c r="I52" s="18">
        <v>0</v>
      </c>
      <c r="J52" s="18">
        <v>0</v>
      </c>
    </row>
    <row r="53" spans="1:12" x14ac:dyDescent="0.25">
      <c r="A53" s="6"/>
      <c r="B53" s="6" t="s">
        <v>248</v>
      </c>
      <c r="C53" s="6"/>
      <c r="H53" s="18">
        <v>0</v>
      </c>
      <c r="I53" s="18">
        <v>0</v>
      </c>
      <c r="J53" s="18">
        <v>0</v>
      </c>
    </row>
    <row r="54" spans="1:12" x14ac:dyDescent="0.25">
      <c r="A54" s="6"/>
      <c r="B54" s="6" t="s">
        <v>249</v>
      </c>
      <c r="C54" s="6"/>
      <c r="H54" s="18">
        <v>0</v>
      </c>
      <c r="I54" s="18">
        <v>0</v>
      </c>
      <c r="J54" s="18">
        <v>0</v>
      </c>
    </row>
    <row r="55" spans="1:12" x14ac:dyDescent="0.25">
      <c r="A55" s="6"/>
      <c r="B55" s="6"/>
      <c r="C55" s="6"/>
      <c r="H55" s="18"/>
      <c r="I55" s="18"/>
      <c r="J55" s="18"/>
    </row>
    <row r="56" spans="1:12" x14ac:dyDescent="0.25">
      <c r="A56" s="13" t="s">
        <v>250</v>
      </c>
      <c r="B56" s="13"/>
      <c r="C56" s="13"/>
      <c r="D56" s="8"/>
      <c r="E56" s="8"/>
      <c r="F56" s="8"/>
      <c r="G56" s="8"/>
      <c r="H56" s="19" t="s">
        <v>251</v>
      </c>
      <c r="I56" s="19" t="s">
        <v>252</v>
      </c>
      <c r="J56" s="19" t="s">
        <v>253</v>
      </c>
      <c r="K56" s="8"/>
    </row>
    <row r="57" spans="1:12" x14ac:dyDescent="0.25">
      <c r="A57" s="6"/>
      <c r="B57" s="6" t="s">
        <v>254</v>
      </c>
      <c r="C57" s="6"/>
      <c r="H57" s="18">
        <v>0</v>
      </c>
      <c r="I57" s="18">
        <v>0</v>
      </c>
      <c r="J57" s="18">
        <v>0</v>
      </c>
    </row>
    <row r="58" spans="1:12" x14ac:dyDescent="0.25">
      <c r="A58" s="6"/>
      <c r="B58" s="6" t="s">
        <v>255</v>
      </c>
      <c r="C58" s="6"/>
      <c r="H58" s="18">
        <v>0</v>
      </c>
      <c r="I58" s="18">
        <v>0</v>
      </c>
      <c r="J58" s="18">
        <v>0</v>
      </c>
    </row>
    <row r="59" spans="1:12" x14ac:dyDescent="0.25">
      <c r="A59" s="6"/>
      <c r="B59" s="6" t="s">
        <v>256</v>
      </c>
      <c r="C59" s="6"/>
      <c r="H59" s="18">
        <v>0</v>
      </c>
      <c r="I59" s="18">
        <v>0</v>
      </c>
      <c r="J59" s="18">
        <v>0</v>
      </c>
    </row>
    <row r="60" spans="1:12" x14ac:dyDescent="0.25">
      <c r="A60" s="6"/>
      <c r="B60" s="6"/>
      <c r="C60" s="6"/>
      <c r="H60" s="18"/>
      <c r="I60" s="18"/>
      <c r="J60" s="18"/>
    </row>
    <row r="61" spans="1:12" x14ac:dyDescent="0.25">
      <c r="A61" s="13" t="s">
        <v>257</v>
      </c>
      <c r="B61" s="13"/>
      <c r="C61" s="13"/>
      <c r="D61" s="8"/>
      <c r="E61" s="8"/>
      <c r="F61" s="8" t="s">
        <v>215</v>
      </c>
      <c r="G61" s="8"/>
      <c r="H61" s="19" t="s">
        <v>258</v>
      </c>
      <c r="I61" s="19"/>
      <c r="J61" s="19"/>
      <c r="K61" s="8" t="s">
        <v>259</v>
      </c>
      <c r="L61" s="8" t="s">
        <v>260</v>
      </c>
    </row>
    <row r="62" spans="1:12" x14ac:dyDescent="0.25">
      <c r="A62" s="13"/>
      <c r="B62" s="13"/>
      <c r="C62" s="13"/>
      <c r="D62" s="8"/>
      <c r="E62" s="8" t="s">
        <v>261</v>
      </c>
      <c r="F62" s="8"/>
    </row>
    <row r="63" spans="1:12" x14ac:dyDescent="0.25">
      <c r="A63" s="6"/>
      <c r="B63" s="6"/>
      <c r="C63" s="6" t="s">
        <v>222</v>
      </c>
      <c r="F63" s="20"/>
      <c r="H63" s="18">
        <v>0</v>
      </c>
      <c r="I63" s="18"/>
      <c r="J63" s="18"/>
    </row>
    <row r="64" spans="1:12" x14ac:dyDescent="0.25">
      <c r="A64" s="6"/>
      <c r="B64" s="6"/>
      <c r="C64" s="6" t="s">
        <v>215</v>
      </c>
      <c r="F64" s="20">
        <v>137729</v>
      </c>
      <c r="H64" s="18"/>
      <c r="I64" s="18"/>
      <c r="J64" s="18"/>
    </row>
    <row r="65" spans="1:10" x14ac:dyDescent="0.25">
      <c r="A65" s="6"/>
      <c r="B65" s="6"/>
      <c r="C65" s="6" t="s">
        <v>233</v>
      </c>
      <c r="F65" s="20"/>
      <c r="H65" s="18">
        <v>0</v>
      </c>
      <c r="I65" s="18"/>
      <c r="J65" s="18"/>
    </row>
    <row r="66" spans="1:10" x14ac:dyDescent="0.25">
      <c r="A66" s="6"/>
      <c r="B66" s="6"/>
      <c r="C66" s="6" t="s">
        <v>262</v>
      </c>
      <c r="F66" s="20"/>
      <c r="H66" s="18">
        <v>0</v>
      </c>
      <c r="I66" s="18"/>
      <c r="J66" s="18"/>
    </row>
    <row r="67" spans="1:10" x14ac:dyDescent="0.25">
      <c r="A67" s="6"/>
      <c r="B67" s="6"/>
      <c r="C67" s="6" t="s">
        <v>263</v>
      </c>
      <c r="F67" s="20"/>
      <c r="H67" s="18">
        <v>0</v>
      </c>
      <c r="I67" s="18"/>
      <c r="J67" s="18"/>
    </row>
    <row r="68" spans="1:10" x14ac:dyDescent="0.25">
      <c r="A68" s="6"/>
      <c r="B68" s="6"/>
      <c r="C68" s="6" t="s">
        <v>264</v>
      </c>
      <c r="F68" s="20"/>
      <c r="H68" s="18">
        <v>0</v>
      </c>
      <c r="I68" s="18"/>
      <c r="J68" s="18"/>
    </row>
    <row r="69" spans="1:10" x14ac:dyDescent="0.25">
      <c r="A69" s="6"/>
      <c r="B69" s="6"/>
      <c r="C69" s="6" t="s">
        <v>265</v>
      </c>
      <c r="F69" s="20"/>
      <c r="H69" s="18">
        <v>0</v>
      </c>
      <c r="I69" s="18"/>
      <c r="J69" s="18"/>
    </row>
    <row r="70" spans="1:10" x14ac:dyDescent="0.25">
      <c r="A70" s="6"/>
      <c r="B70" s="6"/>
      <c r="C70" s="6" t="s">
        <v>266</v>
      </c>
      <c r="F70" s="20"/>
      <c r="H70" s="18">
        <v>0</v>
      </c>
      <c r="I70" s="18"/>
      <c r="J70" s="18"/>
    </row>
    <row r="71" spans="1:10" x14ac:dyDescent="0.25">
      <c r="A71" s="6"/>
      <c r="B71" s="6"/>
      <c r="C71" s="6" t="s">
        <v>267</v>
      </c>
      <c r="F71" s="20"/>
      <c r="H71" s="18">
        <v>0</v>
      </c>
      <c r="I71" s="18"/>
      <c r="J71" s="18"/>
    </row>
    <row r="72" spans="1:10" x14ac:dyDescent="0.25">
      <c r="A72" s="6"/>
      <c r="B72" s="6"/>
      <c r="C72" s="6" t="s">
        <v>268</v>
      </c>
      <c r="F72" s="20"/>
      <c r="H72" s="18">
        <v>0</v>
      </c>
      <c r="I72" s="18"/>
      <c r="J72" s="18"/>
    </row>
    <row r="73" spans="1:10" x14ac:dyDescent="0.25">
      <c r="A73" s="6"/>
      <c r="B73" s="6"/>
      <c r="C73" s="6" t="s">
        <v>269</v>
      </c>
      <c r="F73" s="20"/>
      <c r="H73" s="18">
        <v>0</v>
      </c>
      <c r="I73" s="18"/>
      <c r="J73" s="18"/>
    </row>
    <row r="74" spans="1:10" x14ac:dyDescent="0.25">
      <c r="A74" s="6"/>
      <c r="B74" s="6"/>
      <c r="C74" s="6" t="s">
        <v>270</v>
      </c>
      <c r="F74" s="20"/>
      <c r="H74" s="18">
        <v>0</v>
      </c>
      <c r="I74" s="18"/>
      <c r="J74" s="18"/>
    </row>
    <row r="75" spans="1:10" x14ac:dyDescent="0.25">
      <c r="A75" s="6"/>
      <c r="B75" s="6"/>
      <c r="C75" s="6" t="s">
        <v>271</v>
      </c>
      <c r="F75" s="20"/>
      <c r="H75" s="18">
        <v>0</v>
      </c>
      <c r="I75" s="18"/>
      <c r="J75" s="18"/>
    </row>
    <row r="76" spans="1:10" x14ac:dyDescent="0.25">
      <c r="A76" s="6"/>
      <c r="B76" s="6"/>
      <c r="C76" s="6" t="s">
        <v>272</v>
      </c>
      <c r="F76" s="20"/>
      <c r="H76" s="18">
        <v>0</v>
      </c>
      <c r="I76" s="18"/>
      <c r="J76" s="18"/>
    </row>
    <row r="77" spans="1:10" x14ac:dyDescent="0.25">
      <c r="A77" s="6"/>
      <c r="B77" s="6"/>
      <c r="C77" s="6" t="s">
        <v>273</v>
      </c>
      <c r="F77" s="20"/>
      <c r="H77" s="18">
        <v>0</v>
      </c>
      <c r="I77" s="18"/>
      <c r="J77" s="18"/>
    </row>
    <row r="78" spans="1:10" x14ac:dyDescent="0.25">
      <c r="A78" s="6"/>
      <c r="B78" s="6"/>
      <c r="C78" s="6" t="s">
        <v>274</v>
      </c>
      <c r="F78" s="20"/>
      <c r="H78" s="18">
        <v>0</v>
      </c>
      <c r="I78" s="18"/>
      <c r="J78" s="18"/>
    </row>
    <row r="79" spans="1:10" x14ac:dyDescent="0.25">
      <c r="A79" s="6"/>
      <c r="B79" s="6"/>
      <c r="C79" s="6" t="s">
        <v>275</v>
      </c>
      <c r="F79" s="20"/>
      <c r="H79" s="18">
        <v>0</v>
      </c>
      <c r="I79" s="18"/>
      <c r="J79" s="18"/>
    </row>
    <row r="80" spans="1:10" x14ac:dyDescent="0.25">
      <c r="A80" s="6"/>
      <c r="B80" s="6"/>
      <c r="C80" s="6" t="s">
        <v>276</v>
      </c>
      <c r="F80" s="20"/>
      <c r="H80" s="18">
        <v>0</v>
      </c>
      <c r="I80" s="18"/>
      <c r="J80" s="18"/>
    </row>
    <row r="81" spans="1:10" x14ac:dyDescent="0.25">
      <c r="A81" s="13"/>
      <c r="B81" s="13"/>
      <c r="C81" s="13"/>
      <c r="D81" s="8"/>
      <c r="E81" s="8" t="s">
        <v>277</v>
      </c>
      <c r="F81" s="21"/>
      <c r="H81" s="18"/>
      <c r="I81" s="18"/>
      <c r="J81" s="18"/>
    </row>
    <row r="82" spans="1:10" x14ac:dyDescent="0.25">
      <c r="A82" s="6"/>
      <c r="B82" s="6"/>
      <c r="C82" s="6" t="s">
        <v>278</v>
      </c>
      <c r="F82" s="20"/>
      <c r="H82" s="18">
        <v>0</v>
      </c>
      <c r="I82" s="18"/>
      <c r="J82" s="18"/>
    </row>
    <row r="83" spans="1:10" x14ac:dyDescent="0.25">
      <c r="A83" s="6"/>
      <c r="B83" s="6"/>
      <c r="C83" s="6" t="s">
        <v>279</v>
      </c>
      <c r="F83" s="20"/>
      <c r="H83" s="18">
        <v>0</v>
      </c>
      <c r="I83" s="18"/>
      <c r="J83" s="18"/>
    </row>
    <row r="84" spans="1:10" x14ac:dyDescent="0.25">
      <c r="A84" s="6"/>
      <c r="B84" s="6"/>
      <c r="C84" s="6" t="s">
        <v>280</v>
      </c>
      <c r="F84" s="20"/>
      <c r="H84" s="18">
        <v>80</v>
      </c>
      <c r="I84" s="18"/>
      <c r="J84" s="18"/>
    </row>
    <row r="85" spans="1:10" x14ac:dyDescent="0.25">
      <c r="A85" s="6"/>
      <c r="B85" s="6"/>
      <c r="C85" s="6" t="s">
        <v>281</v>
      </c>
      <c r="F85" s="20"/>
      <c r="H85" s="18">
        <v>0</v>
      </c>
      <c r="I85" s="18"/>
      <c r="J85" s="18"/>
    </row>
    <row r="86" spans="1:10" x14ac:dyDescent="0.25">
      <c r="A86" s="6"/>
      <c r="B86" s="6"/>
      <c r="C86" s="6" t="s">
        <v>282</v>
      </c>
      <c r="F86" s="20"/>
      <c r="H86" s="18">
        <v>0</v>
      </c>
      <c r="I86" s="18"/>
      <c r="J86" s="18"/>
    </row>
    <row r="87" spans="1:10" x14ac:dyDescent="0.25">
      <c r="A87" s="6"/>
      <c r="B87" s="6"/>
      <c r="C87" s="6" t="s">
        <v>263</v>
      </c>
      <c r="F87" s="20"/>
      <c r="H87" s="18">
        <v>1392.16</v>
      </c>
      <c r="I87" s="18"/>
      <c r="J87" s="18"/>
    </row>
    <row r="88" spans="1:10" x14ac:dyDescent="0.25">
      <c r="A88" s="6"/>
      <c r="B88" s="6"/>
      <c r="C88" s="6" t="s">
        <v>264</v>
      </c>
      <c r="F88" s="20"/>
      <c r="H88" s="18">
        <v>0</v>
      </c>
      <c r="I88" s="18"/>
      <c r="J88" s="18"/>
    </row>
    <row r="89" spans="1:10" x14ac:dyDescent="0.25">
      <c r="A89" s="6"/>
      <c r="B89" s="6"/>
      <c r="C89" s="6" t="s">
        <v>283</v>
      </c>
      <c r="F89" s="20"/>
      <c r="H89" s="18">
        <v>40</v>
      </c>
      <c r="I89" s="18"/>
      <c r="J89" s="18"/>
    </row>
    <row r="90" spans="1:10" x14ac:dyDescent="0.25">
      <c r="A90" s="6"/>
      <c r="B90" s="6"/>
      <c r="C90" s="6" t="s">
        <v>284</v>
      </c>
      <c r="F90" s="20"/>
      <c r="H90" s="18">
        <v>0</v>
      </c>
      <c r="I90" s="18"/>
      <c r="J90" s="18"/>
    </row>
    <row r="91" spans="1:10" x14ac:dyDescent="0.25">
      <c r="A91" s="6"/>
      <c r="B91" s="6"/>
      <c r="C91" s="6" t="s">
        <v>285</v>
      </c>
      <c r="F91" s="20"/>
      <c r="H91" s="18">
        <v>0</v>
      </c>
      <c r="I91" s="18"/>
      <c r="J91" s="18"/>
    </row>
    <row r="92" spans="1:10" x14ac:dyDescent="0.25">
      <c r="A92" s="6"/>
      <c r="B92" s="6"/>
      <c r="C92" s="6" t="s">
        <v>286</v>
      </c>
      <c r="F92" s="20"/>
      <c r="H92" s="18">
        <v>0</v>
      </c>
      <c r="I92" s="18"/>
      <c r="J92" s="18"/>
    </row>
    <row r="93" spans="1:10" x14ac:dyDescent="0.25">
      <c r="A93" s="6"/>
      <c r="B93" s="6"/>
      <c r="C93" s="6" t="s">
        <v>287</v>
      </c>
      <c r="F93" s="20"/>
      <c r="H93" s="18">
        <v>0</v>
      </c>
      <c r="I93" s="18"/>
      <c r="J93" s="18"/>
    </row>
    <row r="94" spans="1:10" x14ac:dyDescent="0.25">
      <c r="A94" s="6"/>
      <c r="B94" s="6"/>
      <c r="C94" s="6" t="s">
        <v>288</v>
      </c>
      <c r="F94" s="20"/>
      <c r="H94" s="18">
        <v>16405</v>
      </c>
      <c r="I94" s="18"/>
      <c r="J94" s="18"/>
    </row>
    <row r="95" spans="1:10" x14ac:dyDescent="0.25">
      <c r="A95" s="6"/>
      <c r="B95" s="6"/>
      <c r="C95" s="6" t="s">
        <v>289</v>
      </c>
      <c r="F95" s="20"/>
      <c r="H95" s="18">
        <v>35</v>
      </c>
      <c r="I95" s="18"/>
      <c r="J95" s="18"/>
    </row>
    <row r="96" spans="1:10" x14ac:dyDescent="0.25">
      <c r="A96" s="6"/>
      <c r="B96" s="6"/>
      <c r="C96" s="6" t="s">
        <v>290</v>
      </c>
      <c r="F96" s="20"/>
      <c r="H96" s="18">
        <v>0</v>
      </c>
      <c r="I96" s="18"/>
      <c r="J96" s="18"/>
    </row>
    <row r="97" spans="1:10" x14ac:dyDescent="0.25">
      <c r="A97" s="6"/>
      <c r="B97" s="6"/>
      <c r="C97" s="6" t="s">
        <v>291</v>
      </c>
      <c r="F97" s="20"/>
      <c r="H97" s="18">
        <v>5700.6</v>
      </c>
      <c r="I97" s="18"/>
      <c r="J97" s="18"/>
    </row>
    <row r="98" spans="1:10" x14ac:dyDescent="0.25">
      <c r="A98" s="6"/>
      <c r="B98" s="6"/>
      <c r="C98" s="6" t="s">
        <v>292</v>
      </c>
      <c r="F98" s="20"/>
      <c r="H98" s="18">
        <v>0</v>
      </c>
      <c r="I98" s="18"/>
      <c r="J98" s="18"/>
    </row>
    <row r="99" spans="1:10" x14ac:dyDescent="0.25">
      <c r="A99" s="6"/>
      <c r="B99" s="6"/>
      <c r="C99" s="6" t="s">
        <v>293</v>
      </c>
      <c r="F99" s="20"/>
      <c r="H99" s="18">
        <v>0</v>
      </c>
      <c r="I99" s="18"/>
      <c r="J99" s="18"/>
    </row>
    <row r="100" spans="1:10" x14ac:dyDescent="0.25">
      <c r="A100" s="6"/>
      <c r="B100" s="6"/>
      <c r="C100" s="6" t="s">
        <v>294</v>
      </c>
      <c r="F100" s="20"/>
      <c r="H100" s="18">
        <v>0</v>
      </c>
      <c r="I100" s="18"/>
      <c r="J100" s="18"/>
    </row>
    <row r="101" spans="1:10" x14ac:dyDescent="0.25">
      <c r="C101" s="7" t="s">
        <v>295</v>
      </c>
      <c r="F101" s="20"/>
      <c r="H101" s="18">
        <v>0</v>
      </c>
      <c r="I101" s="18"/>
      <c r="J101" s="18"/>
    </row>
    <row r="102" spans="1:10" x14ac:dyDescent="0.25">
      <c r="C102" s="7" t="s">
        <v>296</v>
      </c>
      <c r="F102" s="20"/>
      <c r="H102" s="18">
        <v>0</v>
      </c>
      <c r="I102" s="18"/>
      <c r="J102" s="18"/>
    </row>
    <row r="103" spans="1:10" x14ac:dyDescent="0.25">
      <c r="C103" s="7" t="s">
        <v>297</v>
      </c>
      <c r="F103" s="20"/>
      <c r="H103" s="18">
        <v>0</v>
      </c>
      <c r="I103" s="18"/>
      <c r="J103" s="18"/>
    </row>
    <row r="104" spans="1:10" x14ac:dyDescent="0.25">
      <c r="C104" s="7" t="s">
        <v>298</v>
      </c>
      <c r="F104" s="20"/>
      <c r="H104" s="18">
        <v>0</v>
      </c>
      <c r="I104" s="18"/>
      <c r="J104" s="18"/>
    </row>
    <row r="105" spans="1:10" x14ac:dyDescent="0.25">
      <c r="C105" s="7" t="s">
        <v>299</v>
      </c>
      <c r="F105" s="20"/>
      <c r="H105" s="18">
        <v>0</v>
      </c>
      <c r="I105" s="18"/>
      <c r="J105" s="18"/>
    </row>
    <row r="106" spans="1:10" x14ac:dyDescent="0.25">
      <c r="C106" s="7" t="s">
        <v>265</v>
      </c>
      <c r="F106" s="20"/>
      <c r="H106" s="18">
        <v>0</v>
      </c>
      <c r="I106" s="18"/>
      <c r="J106" s="18"/>
    </row>
    <row r="107" spans="1:10" x14ac:dyDescent="0.25">
      <c r="C107" s="7" t="s">
        <v>266</v>
      </c>
      <c r="F107" s="20"/>
      <c r="H107" s="18">
        <v>0</v>
      </c>
      <c r="I107" s="18"/>
      <c r="J107" s="18"/>
    </row>
    <row r="108" spans="1:10" x14ac:dyDescent="0.25">
      <c r="C108" s="7" t="s">
        <v>267</v>
      </c>
      <c r="F108" s="20"/>
      <c r="H108" s="18">
        <v>0</v>
      </c>
      <c r="I108" s="18"/>
      <c r="J108" s="18"/>
    </row>
    <row r="109" spans="1:10" x14ac:dyDescent="0.25">
      <c r="C109" s="7" t="s">
        <v>268</v>
      </c>
      <c r="F109" s="20"/>
      <c r="H109" s="18">
        <v>0</v>
      </c>
      <c r="I109" s="18"/>
      <c r="J109" s="18"/>
    </row>
    <row r="110" spans="1:10" x14ac:dyDescent="0.25">
      <c r="C110" s="7" t="s">
        <v>269</v>
      </c>
      <c r="F110" s="20"/>
      <c r="H110" s="18">
        <v>0</v>
      </c>
      <c r="I110" s="18"/>
      <c r="J110" s="18"/>
    </row>
    <row r="111" spans="1:10" x14ac:dyDescent="0.25">
      <c r="C111" s="7" t="s">
        <v>270</v>
      </c>
      <c r="F111" s="20"/>
      <c r="H111" s="18">
        <v>0</v>
      </c>
      <c r="I111" s="18"/>
      <c r="J111" s="18"/>
    </row>
    <row r="112" spans="1:10" x14ac:dyDescent="0.25">
      <c r="C112" s="7" t="s">
        <v>271</v>
      </c>
      <c r="F112" s="20"/>
      <c r="H112" s="18">
        <v>70</v>
      </c>
      <c r="I112" s="18"/>
      <c r="J112" s="18"/>
    </row>
    <row r="113" spans="1:12" x14ac:dyDescent="0.25">
      <c r="C113" s="7" t="s">
        <v>272</v>
      </c>
      <c r="F113" s="20"/>
      <c r="H113" s="18">
        <v>0</v>
      </c>
      <c r="I113" s="18"/>
      <c r="J113" s="18"/>
    </row>
    <row r="114" spans="1:12" x14ac:dyDescent="0.25">
      <c r="C114" s="7" t="s">
        <v>273</v>
      </c>
      <c r="F114" s="20"/>
      <c r="H114" s="18">
        <v>116</v>
      </c>
      <c r="I114" s="18"/>
      <c r="J114" s="18"/>
    </row>
    <row r="115" spans="1:12" x14ac:dyDescent="0.25">
      <c r="C115" s="7" t="s">
        <v>274</v>
      </c>
      <c r="F115" s="20"/>
      <c r="H115" s="18">
        <v>0</v>
      </c>
      <c r="I115" s="18"/>
      <c r="J115" s="18"/>
    </row>
    <row r="116" spans="1:12" x14ac:dyDescent="0.25">
      <c r="F116" s="20"/>
      <c r="H116" s="18"/>
      <c r="I116" s="18"/>
      <c r="J116" s="18"/>
    </row>
    <row r="117" spans="1:12" x14ac:dyDescent="0.25">
      <c r="C117" s="7" t="s">
        <v>300</v>
      </c>
      <c r="F117" s="20"/>
      <c r="H117" s="18">
        <v>0</v>
      </c>
      <c r="I117" s="18"/>
      <c r="J117" s="18"/>
    </row>
    <row r="118" spans="1:12" x14ac:dyDescent="0.25">
      <c r="B118" s="7" t="s">
        <v>301</v>
      </c>
      <c r="F118" s="20">
        <f>SUM(F63:F117)</f>
        <v>137729</v>
      </c>
      <c r="H118" s="18"/>
      <c r="I118" s="18"/>
      <c r="J118" s="22">
        <f>SUM(H63:H117)</f>
        <v>23838.760000000002</v>
      </c>
      <c r="K118" s="23">
        <f>SUM(J118/J182)</f>
        <v>0.13171345352737474</v>
      </c>
      <c r="L118" s="7">
        <f>SUM(F118/J185)</f>
        <v>4.360189123349642E-2</v>
      </c>
    </row>
    <row r="119" spans="1:12" x14ac:dyDescent="0.25">
      <c r="A119" s="8" t="s">
        <v>302</v>
      </c>
      <c r="B119" s="8"/>
      <c r="C119" s="8"/>
      <c r="D119" s="8"/>
      <c r="E119" s="8"/>
      <c r="F119" s="8"/>
      <c r="G119" s="8"/>
      <c r="H119" s="8"/>
      <c r="I119" s="8"/>
      <c r="J119" s="8"/>
      <c r="K119" s="8"/>
    </row>
    <row r="120" spans="1:12" x14ac:dyDescent="0.25">
      <c r="C120" s="7" t="s">
        <v>303</v>
      </c>
      <c r="H120" s="22">
        <v>0</v>
      </c>
    </row>
    <row r="121" spans="1:12" x14ac:dyDescent="0.25">
      <c r="C121" s="7" t="s">
        <v>304</v>
      </c>
      <c r="H121" s="22">
        <v>0</v>
      </c>
    </row>
    <row r="122" spans="1:12" x14ac:dyDescent="0.25">
      <c r="C122" s="7" t="s">
        <v>305</v>
      </c>
      <c r="H122" s="22">
        <v>0</v>
      </c>
    </row>
    <row r="123" spans="1:12" x14ac:dyDescent="0.25">
      <c r="C123" s="7" t="s">
        <v>306</v>
      </c>
      <c r="H123" s="22">
        <v>0</v>
      </c>
    </row>
    <row r="124" spans="1:12" x14ac:dyDescent="0.25">
      <c r="C124" s="7" t="s">
        <v>307</v>
      </c>
      <c r="H124" s="22">
        <v>0</v>
      </c>
    </row>
    <row r="125" spans="1:12" x14ac:dyDescent="0.25">
      <c r="C125" s="7" t="s">
        <v>308</v>
      </c>
      <c r="H125" s="22">
        <v>0</v>
      </c>
    </row>
    <row r="126" spans="1:12" x14ac:dyDescent="0.25">
      <c r="C126" s="7" t="s">
        <v>309</v>
      </c>
      <c r="H126" s="22">
        <v>0</v>
      </c>
    </row>
    <row r="127" spans="1:12" x14ac:dyDescent="0.25">
      <c r="C127" s="7" t="s">
        <v>310</v>
      </c>
      <c r="H127" s="22">
        <v>0</v>
      </c>
    </row>
    <row r="128" spans="1:12" x14ac:dyDescent="0.25">
      <c r="C128" s="7" t="s">
        <v>311</v>
      </c>
      <c r="H128" s="22">
        <v>0</v>
      </c>
    </row>
    <row r="129" spans="1:11" x14ac:dyDescent="0.25">
      <c r="B129" s="7" t="s">
        <v>312</v>
      </c>
      <c r="J129" s="22">
        <f>SUM(H120:H128)</f>
        <v>0</v>
      </c>
      <c r="K129" s="23">
        <f>SUM(J129/J182)</f>
        <v>0</v>
      </c>
    </row>
    <row r="130" spans="1:11" x14ac:dyDescent="0.25">
      <c r="A130" s="8" t="s">
        <v>313</v>
      </c>
      <c r="B130" s="8"/>
      <c r="C130" s="8"/>
      <c r="D130" s="8"/>
      <c r="E130" s="8"/>
      <c r="F130" s="8"/>
      <c r="G130" s="8"/>
      <c r="H130" s="8"/>
      <c r="I130" s="8" t="s">
        <v>314</v>
      </c>
      <c r="J130" s="8"/>
      <c r="K130" s="8"/>
    </row>
    <row r="131" spans="1:11" x14ac:dyDescent="0.25">
      <c r="A131" s="8"/>
      <c r="B131" s="8"/>
      <c r="C131" s="8"/>
      <c r="D131" s="8"/>
      <c r="E131" s="8" t="s">
        <v>261</v>
      </c>
      <c r="F131" s="8"/>
      <c r="G131" s="8"/>
      <c r="H131" s="8"/>
      <c r="I131" s="8"/>
    </row>
    <row r="132" spans="1:11" x14ac:dyDescent="0.25">
      <c r="C132" s="7" t="s">
        <v>215</v>
      </c>
      <c r="F132" s="20">
        <v>0</v>
      </c>
      <c r="I132" s="18"/>
      <c r="J132" s="18"/>
    </row>
    <row r="133" spans="1:11" x14ac:dyDescent="0.25">
      <c r="C133" s="7" t="s">
        <v>315</v>
      </c>
      <c r="F133" s="20"/>
      <c r="I133" s="18">
        <v>0</v>
      </c>
      <c r="J133" s="18"/>
    </row>
    <row r="134" spans="1:11" x14ac:dyDescent="0.25">
      <c r="C134" s="7" t="s">
        <v>233</v>
      </c>
      <c r="F134" s="20"/>
      <c r="I134" s="18">
        <v>0</v>
      </c>
      <c r="J134" s="18"/>
    </row>
    <row r="135" spans="1:11" x14ac:dyDescent="0.25">
      <c r="C135" s="7" t="s">
        <v>263</v>
      </c>
      <c r="F135" s="20"/>
      <c r="I135" s="18">
        <v>0</v>
      </c>
      <c r="J135" s="18"/>
    </row>
    <row r="136" spans="1:11" x14ac:dyDescent="0.25">
      <c r="C136" s="7" t="s">
        <v>300</v>
      </c>
      <c r="F136" s="20"/>
      <c r="I136" s="18">
        <v>0</v>
      </c>
      <c r="J136" s="18"/>
    </row>
    <row r="137" spans="1:11" x14ac:dyDescent="0.25">
      <c r="C137" s="7" t="s">
        <v>316</v>
      </c>
      <c r="F137" s="20"/>
      <c r="I137" s="18">
        <v>0</v>
      </c>
      <c r="J137" s="18"/>
    </row>
    <row r="138" spans="1:11" x14ac:dyDescent="0.25">
      <c r="C138" s="7" t="s">
        <v>317</v>
      </c>
      <c r="F138" s="20"/>
      <c r="I138" s="18">
        <v>0</v>
      </c>
      <c r="J138" s="18"/>
    </row>
    <row r="139" spans="1:11" x14ac:dyDescent="0.25">
      <c r="C139" s="7" t="s">
        <v>318</v>
      </c>
      <c r="F139" s="20"/>
      <c r="I139" s="18">
        <v>0</v>
      </c>
      <c r="J139" s="18"/>
    </row>
    <row r="140" spans="1:11" x14ac:dyDescent="0.25">
      <c r="C140" s="7" t="s">
        <v>319</v>
      </c>
      <c r="F140" s="20"/>
      <c r="I140" s="18">
        <v>0</v>
      </c>
      <c r="J140" s="18"/>
    </row>
    <row r="141" spans="1:11" x14ac:dyDescent="0.25">
      <c r="C141" s="7" t="s">
        <v>273</v>
      </c>
      <c r="F141" s="20"/>
      <c r="I141" s="18">
        <v>0</v>
      </c>
      <c r="J141" s="18"/>
    </row>
    <row r="142" spans="1:11" x14ac:dyDescent="0.25">
      <c r="C142" s="7" t="s">
        <v>275</v>
      </c>
      <c r="F142" s="20"/>
      <c r="I142" s="18">
        <v>0</v>
      </c>
      <c r="J142" s="18"/>
    </row>
    <row r="143" spans="1:11" x14ac:dyDescent="0.25">
      <c r="A143" s="8"/>
      <c r="B143" s="8"/>
      <c r="C143" s="8"/>
      <c r="D143" s="8"/>
      <c r="E143" s="8" t="s">
        <v>277</v>
      </c>
      <c r="F143" s="21"/>
      <c r="G143" s="8"/>
      <c r="H143" s="8"/>
      <c r="I143" s="19"/>
      <c r="J143" s="18"/>
    </row>
    <row r="144" spans="1:11" x14ac:dyDescent="0.25">
      <c r="C144" s="7" t="s">
        <v>278</v>
      </c>
      <c r="F144" s="20"/>
      <c r="I144" s="18">
        <v>0</v>
      </c>
      <c r="J144" s="18"/>
    </row>
    <row r="145" spans="3:10" x14ac:dyDescent="0.25">
      <c r="C145" s="7" t="s">
        <v>279</v>
      </c>
      <c r="F145" s="20"/>
      <c r="I145" s="18">
        <v>0</v>
      </c>
      <c r="J145" s="18"/>
    </row>
    <row r="146" spans="3:10" x14ac:dyDescent="0.25">
      <c r="C146" s="7" t="s">
        <v>280</v>
      </c>
      <c r="F146" s="20"/>
      <c r="I146" s="18">
        <v>0</v>
      </c>
      <c r="J146" s="18"/>
    </row>
    <row r="147" spans="3:10" x14ac:dyDescent="0.25">
      <c r="C147" s="7" t="s">
        <v>282</v>
      </c>
      <c r="F147" s="20"/>
      <c r="I147" s="18">
        <v>0</v>
      </c>
      <c r="J147" s="18"/>
    </row>
    <row r="148" spans="3:10" x14ac:dyDescent="0.25">
      <c r="C148" s="7" t="s">
        <v>263</v>
      </c>
      <c r="F148" s="20"/>
      <c r="I148" s="18">
        <v>0</v>
      </c>
      <c r="J148" s="18"/>
    </row>
    <row r="149" spans="3:10" x14ac:dyDescent="0.25">
      <c r="C149" s="7" t="s">
        <v>283</v>
      </c>
      <c r="F149" s="20"/>
      <c r="I149" s="18">
        <v>0</v>
      </c>
      <c r="J149" s="18"/>
    </row>
    <row r="150" spans="3:10" x14ac:dyDescent="0.25">
      <c r="C150" s="7" t="s">
        <v>285</v>
      </c>
      <c r="F150" s="20"/>
      <c r="I150" s="18">
        <v>0</v>
      </c>
      <c r="J150" s="18"/>
    </row>
    <row r="151" spans="3:10" x14ac:dyDescent="0.25">
      <c r="C151" s="7" t="s">
        <v>286</v>
      </c>
      <c r="F151" s="20"/>
      <c r="I151" s="18">
        <v>0</v>
      </c>
      <c r="J151" s="18"/>
    </row>
    <row r="152" spans="3:10" x14ac:dyDescent="0.25">
      <c r="C152" s="7" t="s">
        <v>287</v>
      </c>
      <c r="F152" s="20"/>
      <c r="I152" s="18">
        <v>0</v>
      </c>
      <c r="J152" s="18"/>
    </row>
    <row r="153" spans="3:10" x14ac:dyDescent="0.25">
      <c r="C153" s="7" t="s">
        <v>288</v>
      </c>
      <c r="F153" s="20"/>
      <c r="I153" s="18">
        <v>0</v>
      </c>
      <c r="J153" s="18"/>
    </row>
    <row r="154" spans="3:10" x14ac:dyDescent="0.25">
      <c r="C154" s="7" t="s">
        <v>289</v>
      </c>
      <c r="F154" s="20"/>
      <c r="I154" s="18">
        <v>0</v>
      </c>
      <c r="J154" s="18"/>
    </row>
    <row r="155" spans="3:10" x14ac:dyDescent="0.25">
      <c r="C155" s="7" t="s">
        <v>291</v>
      </c>
      <c r="F155" s="20"/>
      <c r="I155" s="18">
        <v>0</v>
      </c>
      <c r="J155" s="18"/>
    </row>
    <row r="156" spans="3:10" x14ac:dyDescent="0.25">
      <c r="C156" s="7" t="s">
        <v>292</v>
      </c>
      <c r="F156" s="20"/>
      <c r="I156" s="18">
        <v>0</v>
      </c>
      <c r="J156" s="18"/>
    </row>
    <row r="157" spans="3:10" x14ac:dyDescent="0.25">
      <c r="C157" s="7" t="s">
        <v>293</v>
      </c>
      <c r="F157" s="20"/>
      <c r="I157" s="18">
        <v>0</v>
      </c>
      <c r="J157" s="18"/>
    </row>
    <row r="158" spans="3:10" x14ac:dyDescent="0.25">
      <c r="C158" s="7" t="s">
        <v>294</v>
      </c>
      <c r="F158" s="20"/>
      <c r="I158" s="18">
        <v>0</v>
      </c>
      <c r="J158" s="18"/>
    </row>
    <row r="159" spans="3:10" x14ac:dyDescent="0.25">
      <c r="C159" s="7" t="s">
        <v>295</v>
      </c>
      <c r="F159" s="20"/>
      <c r="I159" s="18">
        <v>0</v>
      </c>
      <c r="J159" s="18"/>
    </row>
    <row r="160" spans="3:10" x14ac:dyDescent="0.25">
      <c r="C160" s="7" t="s">
        <v>296</v>
      </c>
      <c r="F160" s="20"/>
      <c r="I160" s="18">
        <v>0</v>
      </c>
      <c r="J160" s="18"/>
    </row>
    <row r="161" spans="1:12" x14ac:dyDescent="0.25">
      <c r="C161" s="7" t="s">
        <v>297</v>
      </c>
      <c r="F161" s="20"/>
      <c r="I161" s="18">
        <v>0</v>
      </c>
      <c r="J161" s="18"/>
    </row>
    <row r="162" spans="1:12" x14ac:dyDescent="0.25">
      <c r="C162" s="7" t="s">
        <v>298</v>
      </c>
      <c r="F162" s="20"/>
      <c r="I162" s="18">
        <v>0</v>
      </c>
      <c r="J162" s="18"/>
    </row>
    <row r="163" spans="1:12" x14ac:dyDescent="0.25">
      <c r="C163" s="7" t="s">
        <v>299</v>
      </c>
      <c r="F163" s="20"/>
      <c r="I163" s="18">
        <v>0</v>
      </c>
      <c r="J163" s="18"/>
    </row>
    <row r="164" spans="1:12" x14ac:dyDescent="0.25">
      <c r="C164" s="7" t="s">
        <v>316</v>
      </c>
      <c r="F164" s="20"/>
      <c r="I164" s="18">
        <v>0</v>
      </c>
      <c r="J164" s="18"/>
    </row>
    <row r="165" spans="1:12" x14ac:dyDescent="0.25">
      <c r="C165" s="7" t="s">
        <v>317</v>
      </c>
      <c r="F165" s="20"/>
      <c r="I165" s="18">
        <v>0</v>
      </c>
      <c r="J165" s="18"/>
    </row>
    <row r="166" spans="1:12" x14ac:dyDescent="0.25">
      <c r="C166" s="7" t="s">
        <v>318</v>
      </c>
      <c r="F166" s="20"/>
      <c r="I166" s="18">
        <v>0</v>
      </c>
      <c r="J166" s="18"/>
    </row>
    <row r="167" spans="1:12" x14ac:dyDescent="0.25">
      <c r="C167" s="7" t="s">
        <v>319</v>
      </c>
      <c r="F167" s="20"/>
      <c r="I167" s="18">
        <v>0</v>
      </c>
      <c r="J167" s="18"/>
    </row>
    <row r="168" spans="1:12" x14ac:dyDescent="0.25">
      <c r="C168" s="7" t="s">
        <v>273</v>
      </c>
      <c r="F168" s="20"/>
      <c r="I168" s="18">
        <v>0</v>
      </c>
      <c r="J168" s="18"/>
    </row>
    <row r="169" spans="1:12" x14ac:dyDescent="0.25">
      <c r="C169" s="7" t="s">
        <v>300</v>
      </c>
      <c r="F169" s="20"/>
      <c r="I169" s="18">
        <v>0</v>
      </c>
      <c r="J169" s="18"/>
    </row>
    <row r="170" spans="1:12" x14ac:dyDescent="0.25">
      <c r="F170" s="20"/>
      <c r="I170" s="18"/>
      <c r="J170" s="18"/>
    </row>
    <row r="171" spans="1:12" x14ac:dyDescent="0.25">
      <c r="B171" s="7" t="s">
        <v>320</v>
      </c>
      <c r="F171" s="20">
        <f>SUM(F132:F170)</f>
        <v>0</v>
      </c>
      <c r="I171" s="18"/>
      <c r="J171" s="22">
        <f>SUM(I132:I170)</f>
        <v>0</v>
      </c>
      <c r="K171" s="23">
        <f>SUM(J171/J182)</f>
        <v>0</v>
      </c>
      <c r="L171" s="23">
        <f>SUM(F171/J185)</f>
        <v>0</v>
      </c>
    </row>
    <row r="172" spans="1:12" x14ac:dyDescent="0.25">
      <c r="A172" s="8" t="s">
        <v>321</v>
      </c>
      <c r="F172" s="20">
        <f>SUM(F37+F118+F171)</f>
        <v>3158785</v>
      </c>
      <c r="J172" s="22">
        <f>SUM(J8:J59)+J118+J129+J171</f>
        <v>180986.4</v>
      </c>
    </row>
    <row r="174" spans="1:12" x14ac:dyDescent="0.25">
      <c r="A174" s="8" t="s">
        <v>322</v>
      </c>
      <c r="F174" s="20">
        <v>0</v>
      </c>
      <c r="J174" s="22">
        <v>0</v>
      </c>
    </row>
    <row r="176" spans="1:12" x14ac:dyDescent="0.25">
      <c r="A176" s="8" t="s">
        <v>323</v>
      </c>
      <c r="F176" s="20">
        <f>SUM(F172+F174)</f>
        <v>3158785</v>
      </c>
      <c r="J176" s="22">
        <f>SUM(J172+J174)</f>
        <v>180986.4</v>
      </c>
    </row>
    <row r="177" spans="1:12" x14ac:dyDescent="0.25">
      <c r="A177" s="8" t="s">
        <v>324</v>
      </c>
      <c r="F177" s="20">
        <f>SUM(J185-F176)</f>
        <v>0</v>
      </c>
      <c r="J177" s="22">
        <f>SUM(J182-J176)</f>
        <v>3.1600000000034925</v>
      </c>
      <c r="K177" s="23">
        <f>SUM(J177/J182)</f>
        <v>1.7459570596245952E-5</v>
      </c>
      <c r="L177" s="23">
        <f>SUM(F177/J185)</f>
        <v>0</v>
      </c>
    </row>
    <row r="179" spans="1:12" x14ac:dyDescent="0.25">
      <c r="A179" s="8" t="s">
        <v>112</v>
      </c>
      <c r="F179" s="20">
        <f>SUM(F176+F177)</f>
        <v>3158785</v>
      </c>
      <c r="J179" s="22">
        <f>SUM(J176+J177)</f>
        <v>180989.56</v>
      </c>
    </row>
    <row r="181" spans="1:12" x14ac:dyDescent="0.25">
      <c r="A181" s="9"/>
      <c r="B181" s="9"/>
      <c r="C181" s="9"/>
      <c r="D181" s="9"/>
      <c r="E181" s="9"/>
      <c r="F181" s="9"/>
      <c r="G181" s="9"/>
      <c r="H181" s="9" t="s">
        <v>258</v>
      </c>
      <c r="I181" s="9" t="s">
        <v>325</v>
      </c>
      <c r="J181" s="9" t="s">
        <v>326</v>
      </c>
      <c r="K181" s="9"/>
    </row>
    <row r="182" spans="1:12" x14ac:dyDescent="0.25">
      <c r="A182" s="8" t="s">
        <v>327</v>
      </c>
      <c r="H182" s="22">
        <v>180989.56</v>
      </c>
      <c r="I182" s="22">
        <v>0</v>
      </c>
      <c r="J182" s="22">
        <v>180989.56</v>
      </c>
    </row>
    <row r="184" spans="1:12" x14ac:dyDescent="0.25">
      <c r="A184" s="9"/>
      <c r="B184" s="9"/>
      <c r="C184" s="9"/>
      <c r="D184" s="9"/>
      <c r="E184" s="9"/>
      <c r="F184" s="9"/>
      <c r="G184" s="9"/>
      <c r="H184" s="9" t="s">
        <v>228</v>
      </c>
      <c r="I184" s="9" t="s">
        <v>325</v>
      </c>
      <c r="J184" s="9" t="s">
        <v>328</v>
      </c>
      <c r="K184" s="9"/>
    </row>
    <row r="185" spans="1:12" x14ac:dyDescent="0.25">
      <c r="A185" s="8"/>
      <c r="H185" s="20">
        <v>3158785</v>
      </c>
      <c r="I185" s="20">
        <v>0</v>
      </c>
      <c r="J185" s="20">
        <v>3158785</v>
      </c>
    </row>
    <row r="187" spans="1:12" x14ac:dyDescent="0.25">
      <c r="A187" s="8" t="s">
        <v>329</v>
      </c>
      <c r="H187" s="20">
        <v>0</v>
      </c>
      <c r="J187" s="22">
        <v>0</v>
      </c>
      <c r="K187" s="23"/>
      <c r="L187" s="23"/>
    </row>
    <row r="189" spans="1:12" x14ac:dyDescent="0.25">
      <c r="A189" s="8" t="s">
        <v>330</v>
      </c>
      <c r="J189" s="22">
        <v>0</v>
      </c>
    </row>
    <row r="191" spans="1:12" x14ac:dyDescent="0.25">
      <c r="A191" s="8"/>
      <c r="H191" s="20"/>
      <c r="J191" s="22"/>
      <c r="K191" s="23"/>
      <c r="L191" s="23"/>
    </row>
  </sheetData>
  <pageMargins left="0.7" right="0.7" top="1.4270833333333299" bottom="0.75" header="0.3" footer="0.3"/>
  <pageSetup scale="70" fitToHeight="0" orientation="portrait" horizontalDpi="1200" verticalDpi="1200" r:id="rId1"/>
  <headerFooter>
    <oddHeader>&amp;CMIDAMERICAN ENERGY COMPANY
2026 SOUTH DAKOTA GAS RATE CASE
Docket No. NG26-___
Statement O-Workpapers Support
FOR THE YEAR ENDING DECEMBER 31, 2025&amp;RStratton Direct Exhibit 1.2, WP1
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4DCA0-C03B-4A90-B587-E40CCFA45B96}">
  <sheetPr>
    <tabColor theme="0" tint="-0.14999847407452621"/>
  </sheetPr>
  <dimension ref="A2:L57"/>
  <sheetViews>
    <sheetView view="pageLayout" zoomScaleNormal="100" workbookViewId="0">
      <selection activeCell="A19" sqref="A19"/>
    </sheetView>
  </sheetViews>
  <sheetFormatPr defaultRowHeight="12.75" x14ac:dyDescent="0.2"/>
  <cols>
    <col min="1" max="1" width="9.140625" style="265"/>
    <col min="2" max="2" width="36" style="265" customWidth="1"/>
    <col min="3" max="3" width="15.28515625" style="265" customWidth="1"/>
    <col min="4" max="4" width="16" style="265" bestFit="1" customWidth="1"/>
    <col min="5" max="5" width="15.5703125" style="265" customWidth="1"/>
    <col min="6" max="6" width="18.5703125" style="265" customWidth="1"/>
    <col min="7" max="7" width="15.42578125" style="265" customWidth="1"/>
    <col min="8" max="8" width="1.28515625" style="265" customWidth="1"/>
    <col min="9" max="9" width="54.28515625" style="265" customWidth="1"/>
    <col min="10" max="10" width="1.42578125" style="265" customWidth="1"/>
    <col min="11" max="11" width="19" style="265" customWidth="1"/>
    <col min="12" max="12" width="66" style="265" customWidth="1"/>
    <col min="13" max="251" width="9.140625" style="265"/>
    <col min="252" max="252" width="30.7109375" style="265" customWidth="1"/>
    <col min="253" max="253" width="12" style="265" customWidth="1"/>
    <col min="254" max="254" width="16" style="265" bestFit="1" customWidth="1"/>
    <col min="255" max="255" width="15.5703125" style="265" customWidth="1"/>
    <col min="256" max="256" width="18.5703125" style="265" customWidth="1"/>
    <col min="257" max="257" width="14.85546875" style="265" customWidth="1"/>
    <col min="258" max="258" width="16.5703125" style="265" customWidth="1"/>
    <col min="259" max="259" width="15.42578125" style="265" customWidth="1"/>
    <col min="260" max="507" width="9.140625" style="265"/>
    <col min="508" max="508" width="30.7109375" style="265" customWidth="1"/>
    <col min="509" max="509" width="12" style="265" customWidth="1"/>
    <col min="510" max="510" width="16" style="265" bestFit="1" customWidth="1"/>
    <col min="511" max="511" width="15.5703125" style="265" customWidth="1"/>
    <col min="512" max="512" width="18.5703125" style="265" customWidth="1"/>
    <col min="513" max="513" width="14.85546875" style="265" customWidth="1"/>
    <col min="514" max="514" width="16.5703125" style="265" customWidth="1"/>
    <col min="515" max="515" width="15.42578125" style="265" customWidth="1"/>
    <col min="516" max="763" width="9.140625" style="265"/>
    <col min="764" max="764" width="30.7109375" style="265" customWidth="1"/>
    <col min="765" max="765" width="12" style="265" customWidth="1"/>
    <col min="766" max="766" width="16" style="265" bestFit="1" customWidth="1"/>
    <col min="767" max="767" width="15.5703125" style="265" customWidth="1"/>
    <col min="768" max="768" width="18.5703125" style="265" customWidth="1"/>
    <col min="769" max="769" width="14.85546875" style="265" customWidth="1"/>
    <col min="770" max="770" width="16.5703125" style="265" customWidth="1"/>
    <col min="771" max="771" width="15.42578125" style="265" customWidth="1"/>
    <col min="772" max="1019" width="9.140625" style="265"/>
    <col min="1020" max="1020" width="30.7109375" style="265" customWidth="1"/>
    <col min="1021" max="1021" width="12" style="265" customWidth="1"/>
    <col min="1022" max="1022" width="16" style="265" bestFit="1" customWidth="1"/>
    <col min="1023" max="1023" width="15.5703125" style="265" customWidth="1"/>
    <col min="1024" max="1024" width="18.5703125" style="265" customWidth="1"/>
    <col min="1025" max="1025" width="14.85546875" style="265" customWidth="1"/>
    <col min="1026" max="1026" width="16.5703125" style="265" customWidth="1"/>
    <col min="1027" max="1027" width="15.42578125" style="265" customWidth="1"/>
    <col min="1028" max="1275" width="9.140625" style="265"/>
    <col min="1276" max="1276" width="30.7109375" style="265" customWidth="1"/>
    <col min="1277" max="1277" width="12" style="265" customWidth="1"/>
    <col min="1278" max="1278" width="16" style="265" bestFit="1" customWidth="1"/>
    <col min="1279" max="1279" width="15.5703125" style="265" customWidth="1"/>
    <col min="1280" max="1280" width="18.5703125" style="265" customWidth="1"/>
    <col min="1281" max="1281" width="14.85546875" style="265" customWidth="1"/>
    <col min="1282" max="1282" width="16.5703125" style="265" customWidth="1"/>
    <col min="1283" max="1283" width="15.42578125" style="265" customWidth="1"/>
    <col min="1284" max="1531" width="9.140625" style="265"/>
    <col min="1532" max="1532" width="30.7109375" style="265" customWidth="1"/>
    <col min="1533" max="1533" width="12" style="265" customWidth="1"/>
    <col min="1534" max="1534" width="16" style="265" bestFit="1" customWidth="1"/>
    <col min="1535" max="1535" width="15.5703125" style="265" customWidth="1"/>
    <col min="1536" max="1536" width="18.5703125" style="265" customWidth="1"/>
    <col min="1537" max="1537" width="14.85546875" style="265" customWidth="1"/>
    <col min="1538" max="1538" width="16.5703125" style="265" customWidth="1"/>
    <col min="1539" max="1539" width="15.42578125" style="265" customWidth="1"/>
    <col min="1540" max="1787" width="9.140625" style="265"/>
    <col min="1788" max="1788" width="30.7109375" style="265" customWidth="1"/>
    <col min="1789" max="1789" width="12" style="265" customWidth="1"/>
    <col min="1790" max="1790" width="16" style="265" bestFit="1" customWidth="1"/>
    <col min="1791" max="1791" width="15.5703125" style="265" customWidth="1"/>
    <col min="1792" max="1792" width="18.5703125" style="265" customWidth="1"/>
    <col min="1793" max="1793" width="14.85546875" style="265" customWidth="1"/>
    <col min="1794" max="1794" width="16.5703125" style="265" customWidth="1"/>
    <col min="1795" max="1795" width="15.42578125" style="265" customWidth="1"/>
    <col min="1796" max="2043" width="9.140625" style="265"/>
    <col min="2044" max="2044" width="30.7109375" style="265" customWidth="1"/>
    <col min="2045" max="2045" width="12" style="265" customWidth="1"/>
    <col min="2046" max="2046" width="16" style="265" bestFit="1" customWidth="1"/>
    <col min="2047" max="2047" width="15.5703125" style="265" customWidth="1"/>
    <col min="2048" max="2048" width="18.5703125" style="265" customWidth="1"/>
    <col min="2049" max="2049" width="14.85546875" style="265" customWidth="1"/>
    <col min="2050" max="2050" width="16.5703125" style="265" customWidth="1"/>
    <col min="2051" max="2051" width="15.42578125" style="265" customWidth="1"/>
    <col min="2052" max="2299" width="9.140625" style="265"/>
    <col min="2300" max="2300" width="30.7109375" style="265" customWidth="1"/>
    <col min="2301" max="2301" width="12" style="265" customWidth="1"/>
    <col min="2302" max="2302" width="16" style="265" bestFit="1" customWidth="1"/>
    <col min="2303" max="2303" width="15.5703125" style="265" customWidth="1"/>
    <col min="2304" max="2304" width="18.5703125" style="265" customWidth="1"/>
    <col min="2305" max="2305" width="14.85546875" style="265" customWidth="1"/>
    <col min="2306" max="2306" width="16.5703125" style="265" customWidth="1"/>
    <col min="2307" max="2307" width="15.42578125" style="265" customWidth="1"/>
    <col min="2308" max="2555" width="9.140625" style="265"/>
    <col min="2556" max="2556" width="30.7109375" style="265" customWidth="1"/>
    <col min="2557" max="2557" width="12" style="265" customWidth="1"/>
    <col min="2558" max="2558" width="16" style="265" bestFit="1" customWidth="1"/>
    <col min="2559" max="2559" width="15.5703125" style="265" customWidth="1"/>
    <col min="2560" max="2560" width="18.5703125" style="265" customWidth="1"/>
    <col min="2561" max="2561" width="14.85546875" style="265" customWidth="1"/>
    <col min="2562" max="2562" width="16.5703125" style="265" customWidth="1"/>
    <col min="2563" max="2563" width="15.42578125" style="265" customWidth="1"/>
    <col min="2564" max="2811" width="9.140625" style="265"/>
    <col min="2812" max="2812" width="30.7109375" style="265" customWidth="1"/>
    <col min="2813" max="2813" width="12" style="265" customWidth="1"/>
    <col min="2814" max="2814" width="16" style="265" bestFit="1" customWidth="1"/>
    <col min="2815" max="2815" width="15.5703125" style="265" customWidth="1"/>
    <col min="2816" max="2816" width="18.5703125" style="265" customWidth="1"/>
    <col min="2817" max="2817" width="14.85546875" style="265" customWidth="1"/>
    <col min="2818" max="2818" width="16.5703125" style="265" customWidth="1"/>
    <col min="2819" max="2819" width="15.42578125" style="265" customWidth="1"/>
    <col min="2820" max="3067" width="9.140625" style="265"/>
    <col min="3068" max="3068" width="30.7109375" style="265" customWidth="1"/>
    <col min="3069" max="3069" width="12" style="265" customWidth="1"/>
    <col min="3070" max="3070" width="16" style="265" bestFit="1" customWidth="1"/>
    <col min="3071" max="3071" width="15.5703125" style="265" customWidth="1"/>
    <col min="3072" max="3072" width="18.5703125" style="265" customWidth="1"/>
    <col min="3073" max="3073" width="14.85546875" style="265" customWidth="1"/>
    <col min="3074" max="3074" width="16.5703125" style="265" customWidth="1"/>
    <col min="3075" max="3075" width="15.42578125" style="265" customWidth="1"/>
    <col min="3076" max="3323" width="9.140625" style="265"/>
    <col min="3324" max="3324" width="30.7109375" style="265" customWidth="1"/>
    <col min="3325" max="3325" width="12" style="265" customWidth="1"/>
    <col min="3326" max="3326" width="16" style="265" bestFit="1" customWidth="1"/>
    <col min="3327" max="3327" width="15.5703125" style="265" customWidth="1"/>
    <col min="3328" max="3328" width="18.5703125" style="265" customWidth="1"/>
    <col min="3329" max="3329" width="14.85546875" style="265" customWidth="1"/>
    <col min="3330" max="3330" width="16.5703125" style="265" customWidth="1"/>
    <col min="3331" max="3331" width="15.42578125" style="265" customWidth="1"/>
    <col min="3332" max="3579" width="9.140625" style="265"/>
    <col min="3580" max="3580" width="30.7109375" style="265" customWidth="1"/>
    <col min="3581" max="3581" width="12" style="265" customWidth="1"/>
    <col min="3582" max="3582" width="16" style="265" bestFit="1" customWidth="1"/>
    <col min="3583" max="3583" width="15.5703125" style="265" customWidth="1"/>
    <col min="3584" max="3584" width="18.5703125" style="265" customWidth="1"/>
    <col min="3585" max="3585" width="14.85546875" style="265" customWidth="1"/>
    <col min="3586" max="3586" width="16.5703125" style="265" customWidth="1"/>
    <col min="3587" max="3587" width="15.42578125" style="265" customWidth="1"/>
    <col min="3588" max="3835" width="9.140625" style="265"/>
    <col min="3836" max="3836" width="30.7109375" style="265" customWidth="1"/>
    <col min="3837" max="3837" width="12" style="265" customWidth="1"/>
    <col min="3838" max="3838" width="16" style="265" bestFit="1" customWidth="1"/>
    <col min="3839" max="3839" width="15.5703125" style="265" customWidth="1"/>
    <col min="3840" max="3840" width="18.5703125" style="265" customWidth="1"/>
    <col min="3841" max="3841" width="14.85546875" style="265" customWidth="1"/>
    <col min="3842" max="3842" width="16.5703125" style="265" customWidth="1"/>
    <col min="3843" max="3843" width="15.42578125" style="265" customWidth="1"/>
    <col min="3844" max="4091" width="9.140625" style="265"/>
    <col min="4092" max="4092" width="30.7109375" style="265" customWidth="1"/>
    <col min="4093" max="4093" width="12" style="265" customWidth="1"/>
    <col min="4094" max="4094" width="16" style="265" bestFit="1" customWidth="1"/>
    <col min="4095" max="4095" width="15.5703125" style="265" customWidth="1"/>
    <col min="4096" max="4096" width="18.5703125" style="265" customWidth="1"/>
    <col min="4097" max="4097" width="14.85546875" style="265" customWidth="1"/>
    <col min="4098" max="4098" width="16.5703125" style="265" customWidth="1"/>
    <col min="4099" max="4099" width="15.42578125" style="265" customWidth="1"/>
    <col min="4100" max="4347" width="9.140625" style="265"/>
    <col min="4348" max="4348" width="30.7109375" style="265" customWidth="1"/>
    <col min="4349" max="4349" width="12" style="265" customWidth="1"/>
    <col min="4350" max="4350" width="16" style="265" bestFit="1" customWidth="1"/>
    <col min="4351" max="4351" width="15.5703125" style="265" customWidth="1"/>
    <col min="4352" max="4352" width="18.5703125" style="265" customWidth="1"/>
    <col min="4353" max="4353" width="14.85546875" style="265" customWidth="1"/>
    <col min="4354" max="4354" width="16.5703125" style="265" customWidth="1"/>
    <col min="4355" max="4355" width="15.42578125" style="265" customWidth="1"/>
    <col min="4356" max="4603" width="9.140625" style="265"/>
    <col min="4604" max="4604" width="30.7109375" style="265" customWidth="1"/>
    <col min="4605" max="4605" width="12" style="265" customWidth="1"/>
    <col min="4606" max="4606" width="16" style="265" bestFit="1" customWidth="1"/>
    <col min="4607" max="4607" width="15.5703125" style="265" customWidth="1"/>
    <col min="4608" max="4608" width="18.5703125" style="265" customWidth="1"/>
    <col min="4609" max="4609" width="14.85546875" style="265" customWidth="1"/>
    <col min="4610" max="4610" width="16.5703125" style="265" customWidth="1"/>
    <col min="4611" max="4611" width="15.42578125" style="265" customWidth="1"/>
    <col min="4612" max="4859" width="9.140625" style="265"/>
    <col min="4860" max="4860" width="30.7109375" style="265" customWidth="1"/>
    <col min="4861" max="4861" width="12" style="265" customWidth="1"/>
    <col min="4862" max="4862" width="16" style="265" bestFit="1" customWidth="1"/>
    <col min="4863" max="4863" width="15.5703125" style="265" customWidth="1"/>
    <col min="4864" max="4864" width="18.5703125" style="265" customWidth="1"/>
    <col min="4865" max="4865" width="14.85546875" style="265" customWidth="1"/>
    <col min="4866" max="4866" width="16.5703125" style="265" customWidth="1"/>
    <col min="4867" max="4867" width="15.42578125" style="265" customWidth="1"/>
    <col min="4868" max="5115" width="9.140625" style="265"/>
    <col min="5116" max="5116" width="30.7109375" style="265" customWidth="1"/>
    <col min="5117" max="5117" width="12" style="265" customWidth="1"/>
    <col min="5118" max="5118" width="16" style="265" bestFit="1" customWidth="1"/>
    <col min="5119" max="5119" width="15.5703125" style="265" customWidth="1"/>
    <col min="5120" max="5120" width="18.5703125" style="265" customWidth="1"/>
    <col min="5121" max="5121" width="14.85546875" style="265" customWidth="1"/>
    <col min="5122" max="5122" width="16.5703125" style="265" customWidth="1"/>
    <col min="5123" max="5123" width="15.42578125" style="265" customWidth="1"/>
    <col min="5124" max="5371" width="9.140625" style="265"/>
    <col min="5372" max="5372" width="30.7109375" style="265" customWidth="1"/>
    <col min="5373" max="5373" width="12" style="265" customWidth="1"/>
    <col min="5374" max="5374" width="16" style="265" bestFit="1" customWidth="1"/>
    <col min="5375" max="5375" width="15.5703125" style="265" customWidth="1"/>
    <col min="5376" max="5376" width="18.5703125" style="265" customWidth="1"/>
    <col min="5377" max="5377" width="14.85546875" style="265" customWidth="1"/>
    <col min="5378" max="5378" width="16.5703125" style="265" customWidth="1"/>
    <col min="5379" max="5379" width="15.42578125" style="265" customWidth="1"/>
    <col min="5380" max="5627" width="9.140625" style="265"/>
    <col min="5628" max="5628" width="30.7109375" style="265" customWidth="1"/>
    <col min="5629" max="5629" width="12" style="265" customWidth="1"/>
    <col min="5630" max="5630" width="16" style="265" bestFit="1" customWidth="1"/>
    <col min="5631" max="5631" width="15.5703125" style="265" customWidth="1"/>
    <col min="5632" max="5632" width="18.5703125" style="265" customWidth="1"/>
    <col min="5633" max="5633" width="14.85546875" style="265" customWidth="1"/>
    <col min="5634" max="5634" width="16.5703125" style="265" customWidth="1"/>
    <col min="5635" max="5635" width="15.42578125" style="265" customWidth="1"/>
    <col min="5636" max="5883" width="9.140625" style="265"/>
    <col min="5884" max="5884" width="30.7109375" style="265" customWidth="1"/>
    <col min="5885" max="5885" width="12" style="265" customWidth="1"/>
    <col min="5886" max="5886" width="16" style="265" bestFit="1" customWidth="1"/>
    <col min="5887" max="5887" width="15.5703125" style="265" customWidth="1"/>
    <col min="5888" max="5888" width="18.5703125" style="265" customWidth="1"/>
    <col min="5889" max="5889" width="14.85546875" style="265" customWidth="1"/>
    <col min="5890" max="5890" width="16.5703125" style="265" customWidth="1"/>
    <col min="5891" max="5891" width="15.42578125" style="265" customWidth="1"/>
    <col min="5892" max="6139" width="9.140625" style="265"/>
    <col min="6140" max="6140" width="30.7109375" style="265" customWidth="1"/>
    <col min="6141" max="6141" width="12" style="265" customWidth="1"/>
    <col min="6142" max="6142" width="16" style="265" bestFit="1" customWidth="1"/>
    <col min="6143" max="6143" width="15.5703125" style="265" customWidth="1"/>
    <col min="6144" max="6144" width="18.5703125" style="265" customWidth="1"/>
    <col min="6145" max="6145" width="14.85546875" style="265" customWidth="1"/>
    <col min="6146" max="6146" width="16.5703125" style="265" customWidth="1"/>
    <col min="6147" max="6147" width="15.42578125" style="265" customWidth="1"/>
    <col min="6148" max="6395" width="9.140625" style="265"/>
    <col min="6396" max="6396" width="30.7109375" style="265" customWidth="1"/>
    <col min="6397" max="6397" width="12" style="265" customWidth="1"/>
    <col min="6398" max="6398" width="16" style="265" bestFit="1" customWidth="1"/>
    <col min="6399" max="6399" width="15.5703125" style="265" customWidth="1"/>
    <col min="6400" max="6400" width="18.5703125" style="265" customWidth="1"/>
    <col min="6401" max="6401" width="14.85546875" style="265" customWidth="1"/>
    <col min="6402" max="6402" width="16.5703125" style="265" customWidth="1"/>
    <col min="6403" max="6403" width="15.42578125" style="265" customWidth="1"/>
    <col min="6404" max="6651" width="9.140625" style="265"/>
    <col min="6652" max="6652" width="30.7109375" style="265" customWidth="1"/>
    <col min="6653" max="6653" width="12" style="265" customWidth="1"/>
    <col min="6654" max="6654" width="16" style="265" bestFit="1" customWidth="1"/>
    <col min="6655" max="6655" width="15.5703125" style="265" customWidth="1"/>
    <col min="6656" max="6656" width="18.5703125" style="265" customWidth="1"/>
    <col min="6657" max="6657" width="14.85546875" style="265" customWidth="1"/>
    <col min="6658" max="6658" width="16.5703125" style="265" customWidth="1"/>
    <col min="6659" max="6659" width="15.42578125" style="265" customWidth="1"/>
    <col min="6660" max="6907" width="9.140625" style="265"/>
    <col min="6908" max="6908" width="30.7109375" style="265" customWidth="1"/>
    <col min="6909" max="6909" width="12" style="265" customWidth="1"/>
    <col min="6910" max="6910" width="16" style="265" bestFit="1" customWidth="1"/>
    <col min="6911" max="6911" width="15.5703125" style="265" customWidth="1"/>
    <col min="6912" max="6912" width="18.5703125" style="265" customWidth="1"/>
    <col min="6913" max="6913" width="14.85546875" style="265" customWidth="1"/>
    <col min="6914" max="6914" width="16.5703125" style="265" customWidth="1"/>
    <col min="6915" max="6915" width="15.42578125" style="265" customWidth="1"/>
    <col min="6916" max="7163" width="9.140625" style="265"/>
    <col min="7164" max="7164" width="30.7109375" style="265" customWidth="1"/>
    <col min="7165" max="7165" width="12" style="265" customWidth="1"/>
    <col min="7166" max="7166" width="16" style="265" bestFit="1" customWidth="1"/>
    <col min="7167" max="7167" width="15.5703125" style="265" customWidth="1"/>
    <col min="7168" max="7168" width="18.5703125" style="265" customWidth="1"/>
    <col min="7169" max="7169" width="14.85546875" style="265" customWidth="1"/>
    <col min="7170" max="7170" width="16.5703125" style="265" customWidth="1"/>
    <col min="7171" max="7171" width="15.42578125" style="265" customWidth="1"/>
    <col min="7172" max="7419" width="9.140625" style="265"/>
    <col min="7420" max="7420" width="30.7109375" style="265" customWidth="1"/>
    <col min="7421" max="7421" width="12" style="265" customWidth="1"/>
    <col min="7422" max="7422" width="16" style="265" bestFit="1" customWidth="1"/>
    <col min="7423" max="7423" width="15.5703125" style="265" customWidth="1"/>
    <col min="7424" max="7424" width="18.5703125" style="265" customWidth="1"/>
    <col min="7425" max="7425" width="14.85546875" style="265" customWidth="1"/>
    <col min="7426" max="7426" width="16.5703125" style="265" customWidth="1"/>
    <col min="7427" max="7427" width="15.42578125" style="265" customWidth="1"/>
    <col min="7428" max="7675" width="9.140625" style="265"/>
    <col min="7676" max="7676" width="30.7109375" style="265" customWidth="1"/>
    <col min="7677" max="7677" width="12" style="265" customWidth="1"/>
    <col min="7678" max="7678" width="16" style="265" bestFit="1" customWidth="1"/>
    <col min="7679" max="7679" width="15.5703125" style="265" customWidth="1"/>
    <col min="7680" max="7680" width="18.5703125" style="265" customWidth="1"/>
    <col min="7681" max="7681" width="14.85546875" style="265" customWidth="1"/>
    <col min="7682" max="7682" width="16.5703125" style="265" customWidth="1"/>
    <col min="7683" max="7683" width="15.42578125" style="265" customWidth="1"/>
    <col min="7684" max="7931" width="9.140625" style="265"/>
    <col min="7932" max="7932" width="30.7109375" style="265" customWidth="1"/>
    <col min="7933" max="7933" width="12" style="265" customWidth="1"/>
    <col min="7934" max="7934" width="16" style="265" bestFit="1" customWidth="1"/>
    <col min="7935" max="7935" width="15.5703125" style="265" customWidth="1"/>
    <col min="7936" max="7936" width="18.5703125" style="265" customWidth="1"/>
    <col min="7937" max="7937" width="14.85546875" style="265" customWidth="1"/>
    <col min="7938" max="7938" width="16.5703125" style="265" customWidth="1"/>
    <col min="7939" max="7939" width="15.42578125" style="265" customWidth="1"/>
    <col min="7940" max="8187" width="9.140625" style="265"/>
    <col min="8188" max="8188" width="30.7109375" style="265" customWidth="1"/>
    <col min="8189" max="8189" width="12" style="265" customWidth="1"/>
    <col min="8190" max="8190" width="16" style="265" bestFit="1" customWidth="1"/>
    <col min="8191" max="8191" width="15.5703125" style="265" customWidth="1"/>
    <col min="8192" max="8192" width="18.5703125" style="265" customWidth="1"/>
    <col min="8193" max="8193" width="14.85546875" style="265" customWidth="1"/>
    <col min="8194" max="8194" width="16.5703125" style="265" customWidth="1"/>
    <col min="8195" max="8195" width="15.42578125" style="265" customWidth="1"/>
    <col min="8196" max="8443" width="9.140625" style="265"/>
    <col min="8444" max="8444" width="30.7109375" style="265" customWidth="1"/>
    <col min="8445" max="8445" width="12" style="265" customWidth="1"/>
    <col min="8446" max="8446" width="16" style="265" bestFit="1" customWidth="1"/>
    <col min="8447" max="8447" width="15.5703125" style="265" customWidth="1"/>
    <col min="8448" max="8448" width="18.5703125" style="265" customWidth="1"/>
    <col min="8449" max="8449" width="14.85546875" style="265" customWidth="1"/>
    <col min="8450" max="8450" width="16.5703125" style="265" customWidth="1"/>
    <col min="8451" max="8451" width="15.42578125" style="265" customWidth="1"/>
    <col min="8452" max="8699" width="9.140625" style="265"/>
    <col min="8700" max="8700" width="30.7109375" style="265" customWidth="1"/>
    <col min="8701" max="8701" width="12" style="265" customWidth="1"/>
    <col min="8702" max="8702" width="16" style="265" bestFit="1" customWidth="1"/>
    <col min="8703" max="8703" width="15.5703125" style="265" customWidth="1"/>
    <col min="8704" max="8704" width="18.5703125" style="265" customWidth="1"/>
    <col min="8705" max="8705" width="14.85546875" style="265" customWidth="1"/>
    <col min="8706" max="8706" width="16.5703125" style="265" customWidth="1"/>
    <col min="8707" max="8707" width="15.42578125" style="265" customWidth="1"/>
    <col min="8708" max="8955" width="9.140625" style="265"/>
    <col min="8956" max="8956" width="30.7109375" style="265" customWidth="1"/>
    <col min="8957" max="8957" width="12" style="265" customWidth="1"/>
    <col min="8958" max="8958" width="16" style="265" bestFit="1" customWidth="1"/>
    <col min="8959" max="8959" width="15.5703125" style="265" customWidth="1"/>
    <col min="8960" max="8960" width="18.5703125" style="265" customWidth="1"/>
    <col min="8961" max="8961" width="14.85546875" style="265" customWidth="1"/>
    <col min="8962" max="8962" width="16.5703125" style="265" customWidth="1"/>
    <col min="8963" max="8963" width="15.42578125" style="265" customWidth="1"/>
    <col min="8964" max="9211" width="9.140625" style="265"/>
    <col min="9212" max="9212" width="30.7109375" style="265" customWidth="1"/>
    <col min="9213" max="9213" width="12" style="265" customWidth="1"/>
    <col min="9214" max="9214" width="16" style="265" bestFit="1" customWidth="1"/>
    <col min="9215" max="9215" width="15.5703125" style="265" customWidth="1"/>
    <col min="9216" max="9216" width="18.5703125" style="265" customWidth="1"/>
    <col min="9217" max="9217" width="14.85546875" style="265" customWidth="1"/>
    <col min="9218" max="9218" width="16.5703125" style="265" customWidth="1"/>
    <col min="9219" max="9219" width="15.42578125" style="265" customWidth="1"/>
    <col min="9220" max="9467" width="9.140625" style="265"/>
    <col min="9468" max="9468" width="30.7109375" style="265" customWidth="1"/>
    <col min="9469" max="9469" width="12" style="265" customWidth="1"/>
    <col min="9470" max="9470" width="16" style="265" bestFit="1" customWidth="1"/>
    <col min="9471" max="9471" width="15.5703125" style="265" customWidth="1"/>
    <col min="9472" max="9472" width="18.5703125" style="265" customWidth="1"/>
    <col min="9473" max="9473" width="14.85546875" style="265" customWidth="1"/>
    <col min="9474" max="9474" width="16.5703125" style="265" customWidth="1"/>
    <col min="9475" max="9475" width="15.42578125" style="265" customWidth="1"/>
    <col min="9476" max="9723" width="9.140625" style="265"/>
    <col min="9724" max="9724" width="30.7109375" style="265" customWidth="1"/>
    <col min="9725" max="9725" width="12" style="265" customWidth="1"/>
    <col min="9726" max="9726" width="16" style="265" bestFit="1" customWidth="1"/>
    <col min="9727" max="9727" width="15.5703125" style="265" customWidth="1"/>
    <col min="9728" max="9728" width="18.5703125" style="265" customWidth="1"/>
    <col min="9729" max="9729" width="14.85546875" style="265" customWidth="1"/>
    <col min="9730" max="9730" width="16.5703125" style="265" customWidth="1"/>
    <col min="9731" max="9731" width="15.42578125" style="265" customWidth="1"/>
    <col min="9732" max="9979" width="9.140625" style="265"/>
    <col min="9980" max="9980" width="30.7109375" style="265" customWidth="1"/>
    <col min="9981" max="9981" width="12" style="265" customWidth="1"/>
    <col min="9982" max="9982" width="16" style="265" bestFit="1" customWidth="1"/>
    <col min="9983" max="9983" width="15.5703125" style="265" customWidth="1"/>
    <col min="9984" max="9984" width="18.5703125" style="265" customWidth="1"/>
    <col min="9985" max="9985" width="14.85546875" style="265" customWidth="1"/>
    <col min="9986" max="9986" width="16.5703125" style="265" customWidth="1"/>
    <col min="9987" max="9987" width="15.42578125" style="265" customWidth="1"/>
    <col min="9988" max="10235" width="9.140625" style="265"/>
    <col min="10236" max="10236" width="30.7109375" style="265" customWidth="1"/>
    <col min="10237" max="10237" width="12" style="265" customWidth="1"/>
    <col min="10238" max="10238" width="16" style="265" bestFit="1" customWidth="1"/>
    <col min="10239" max="10239" width="15.5703125" style="265" customWidth="1"/>
    <col min="10240" max="10240" width="18.5703125" style="265" customWidth="1"/>
    <col min="10241" max="10241" width="14.85546875" style="265" customWidth="1"/>
    <col min="10242" max="10242" width="16.5703125" style="265" customWidth="1"/>
    <col min="10243" max="10243" width="15.42578125" style="265" customWidth="1"/>
    <col min="10244" max="10491" width="9.140625" style="265"/>
    <col min="10492" max="10492" width="30.7109375" style="265" customWidth="1"/>
    <col min="10493" max="10493" width="12" style="265" customWidth="1"/>
    <col min="10494" max="10494" width="16" style="265" bestFit="1" customWidth="1"/>
    <col min="10495" max="10495" width="15.5703125" style="265" customWidth="1"/>
    <col min="10496" max="10496" width="18.5703125" style="265" customWidth="1"/>
    <col min="10497" max="10497" width="14.85546875" style="265" customWidth="1"/>
    <col min="10498" max="10498" width="16.5703125" style="265" customWidth="1"/>
    <col min="10499" max="10499" width="15.42578125" style="265" customWidth="1"/>
    <col min="10500" max="10747" width="9.140625" style="265"/>
    <col min="10748" max="10748" width="30.7109375" style="265" customWidth="1"/>
    <col min="10749" max="10749" width="12" style="265" customWidth="1"/>
    <col min="10750" max="10750" width="16" style="265" bestFit="1" customWidth="1"/>
    <col min="10751" max="10751" width="15.5703125" style="265" customWidth="1"/>
    <col min="10752" max="10752" width="18.5703125" style="265" customWidth="1"/>
    <col min="10753" max="10753" width="14.85546875" style="265" customWidth="1"/>
    <col min="10754" max="10754" width="16.5703125" style="265" customWidth="1"/>
    <col min="10755" max="10755" width="15.42578125" style="265" customWidth="1"/>
    <col min="10756" max="11003" width="9.140625" style="265"/>
    <col min="11004" max="11004" width="30.7109375" style="265" customWidth="1"/>
    <col min="11005" max="11005" width="12" style="265" customWidth="1"/>
    <col min="11006" max="11006" width="16" style="265" bestFit="1" customWidth="1"/>
    <col min="11007" max="11007" width="15.5703125" style="265" customWidth="1"/>
    <col min="11008" max="11008" width="18.5703125" style="265" customWidth="1"/>
    <col min="11009" max="11009" width="14.85546875" style="265" customWidth="1"/>
    <col min="11010" max="11010" width="16.5703125" style="265" customWidth="1"/>
    <col min="11011" max="11011" width="15.42578125" style="265" customWidth="1"/>
    <col min="11012" max="11259" width="9.140625" style="265"/>
    <col min="11260" max="11260" width="30.7109375" style="265" customWidth="1"/>
    <col min="11261" max="11261" width="12" style="265" customWidth="1"/>
    <col min="11262" max="11262" width="16" style="265" bestFit="1" customWidth="1"/>
    <col min="11263" max="11263" width="15.5703125" style="265" customWidth="1"/>
    <col min="11264" max="11264" width="18.5703125" style="265" customWidth="1"/>
    <col min="11265" max="11265" width="14.85546875" style="265" customWidth="1"/>
    <col min="11266" max="11266" width="16.5703125" style="265" customWidth="1"/>
    <col min="11267" max="11267" width="15.42578125" style="265" customWidth="1"/>
    <col min="11268" max="11515" width="9.140625" style="265"/>
    <col min="11516" max="11516" width="30.7109375" style="265" customWidth="1"/>
    <col min="11517" max="11517" width="12" style="265" customWidth="1"/>
    <col min="11518" max="11518" width="16" style="265" bestFit="1" customWidth="1"/>
    <col min="11519" max="11519" width="15.5703125" style="265" customWidth="1"/>
    <col min="11520" max="11520" width="18.5703125" style="265" customWidth="1"/>
    <col min="11521" max="11521" width="14.85546875" style="265" customWidth="1"/>
    <col min="11522" max="11522" width="16.5703125" style="265" customWidth="1"/>
    <col min="11523" max="11523" width="15.42578125" style="265" customWidth="1"/>
    <col min="11524" max="11771" width="9.140625" style="265"/>
    <col min="11772" max="11772" width="30.7109375" style="265" customWidth="1"/>
    <col min="11773" max="11773" width="12" style="265" customWidth="1"/>
    <col min="11774" max="11774" width="16" style="265" bestFit="1" customWidth="1"/>
    <col min="11775" max="11775" width="15.5703125" style="265" customWidth="1"/>
    <col min="11776" max="11776" width="18.5703125" style="265" customWidth="1"/>
    <col min="11777" max="11777" width="14.85546875" style="265" customWidth="1"/>
    <col min="11778" max="11778" width="16.5703125" style="265" customWidth="1"/>
    <col min="11779" max="11779" width="15.42578125" style="265" customWidth="1"/>
    <col min="11780" max="12027" width="9.140625" style="265"/>
    <col min="12028" max="12028" width="30.7109375" style="265" customWidth="1"/>
    <col min="12029" max="12029" width="12" style="265" customWidth="1"/>
    <col min="12030" max="12030" width="16" style="265" bestFit="1" customWidth="1"/>
    <col min="12031" max="12031" width="15.5703125" style="265" customWidth="1"/>
    <col min="12032" max="12032" width="18.5703125" style="265" customWidth="1"/>
    <col min="12033" max="12033" width="14.85546875" style="265" customWidth="1"/>
    <col min="12034" max="12034" width="16.5703125" style="265" customWidth="1"/>
    <col min="12035" max="12035" width="15.42578125" style="265" customWidth="1"/>
    <col min="12036" max="12283" width="9.140625" style="265"/>
    <col min="12284" max="12284" width="30.7109375" style="265" customWidth="1"/>
    <col min="12285" max="12285" width="12" style="265" customWidth="1"/>
    <col min="12286" max="12286" width="16" style="265" bestFit="1" customWidth="1"/>
    <col min="12287" max="12287" width="15.5703125" style="265" customWidth="1"/>
    <col min="12288" max="12288" width="18.5703125" style="265" customWidth="1"/>
    <col min="12289" max="12289" width="14.85546875" style="265" customWidth="1"/>
    <col min="12290" max="12290" width="16.5703125" style="265" customWidth="1"/>
    <col min="12291" max="12291" width="15.42578125" style="265" customWidth="1"/>
    <col min="12292" max="12539" width="9.140625" style="265"/>
    <col min="12540" max="12540" width="30.7109375" style="265" customWidth="1"/>
    <col min="12541" max="12541" width="12" style="265" customWidth="1"/>
    <col min="12542" max="12542" width="16" style="265" bestFit="1" customWidth="1"/>
    <col min="12543" max="12543" width="15.5703125" style="265" customWidth="1"/>
    <col min="12544" max="12544" width="18.5703125" style="265" customWidth="1"/>
    <col min="12545" max="12545" width="14.85546875" style="265" customWidth="1"/>
    <col min="12546" max="12546" width="16.5703125" style="265" customWidth="1"/>
    <col min="12547" max="12547" width="15.42578125" style="265" customWidth="1"/>
    <col min="12548" max="12795" width="9.140625" style="265"/>
    <col min="12796" max="12796" width="30.7109375" style="265" customWidth="1"/>
    <col min="12797" max="12797" width="12" style="265" customWidth="1"/>
    <col min="12798" max="12798" width="16" style="265" bestFit="1" customWidth="1"/>
    <col min="12799" max="12799" width="15.5703125" style="265" customWidth="1"/>
    <col min="12800" max="12800" width="18.5703125" style="265" customWidth="1"/>
    <col min="12801" max="12801" width="14.85546875" style="265" customWidth="1"/>
    <col min="12802" max="12802" width="16.5703125" style="265" customWidth="1"/>
    <col min="12803" max="12803" width="15.42578125" style="265" customWidth="1"/>
    <col min="12804" max="13051" width="9.140625" style="265"/>
    <col min="13052" max="13052" width="30.7109375" style="265" customWidth="1"/>
    <col min="13053" max="13053" width="12" style="265" customWidth="1"/>
    <col min="13054" max="13054" width="16" style="265" bestFit="1" customWidth="1"/>
    <col min="13055" max="13055" width="15.5703125" style="265" customWidth="1"/>
    <col min="13056" max="13056" width="18.5703125" style="265" customWidth="1"/>
    <col min="13057" max="13057" width="14.85546875" style="265" customWidth="1"/>
    <col min="13058" max="13058" width="16.5703125" style="265" customWidth="1"/>
    <col min="13059" max="13059" width="15.42578125" style="265" customWidth="1"/>
    <col min="13060" max="13307" width="9.140625" style="265"/>
    <col min="13308" max="13308" width="30.7109375" style="265" customWidth="1"/>
    <col min="13309" max="13309" width="12" style="265" customWidth="1"/>
    <col min="13310" max="13310" width="16" style="265" bestFit="1" customWidth="1"/>
    <col min="13311" max="13311" width="15.5703125" style="265" customWidth="1"/>
    <col min="13312" max="13312" width="18.5703125" style="265" customWidth="1"/>
    <col min="13313" max="13313" width="14.85546875" style="265" customWidth="1"/>
    <col min="13314" max="13314" width="16.5703125" style="265" customWidth="1"/>
    <col min="13315" max="13315" width="15.42578125" style="265" customWidth="1"/>
    <col min="13316" max="13563" width="9.140625" style="265"/>
    <col min="13564" max="13564" width="30.7109375" style="265" customWidth="1"/>
    <col min="13565" max="13565" width="12" style="265" customWidth="1"/>
    <col min="13566" max="13566" width="16" style="265" bestFit="1" customWidth="1"/>
    <col min="13567" max="13567" width="15.5703125" style="265" customWidth="1"/>
    <col min="13568" max="13568" width="18.5703125" style="265" customWidth="1"/>
    <col min="13569" max="13569" width="14.85546875" style="265" customWidth="1"/>
    <col min="13570" max="13570" width="16.5703125" style="265" customWidth="1"/>
    <col min="13571" max="13571" width="15.42578125" style="265" customWidth="1"/>
    <col min="13572" max="13819" width="9.140625" style="265"/>
    <col min="13820" max="13820" width="30.7109375" style="265" customWidth="1"/>
    <col min="13821" max="13821" width="12" style="265" customWidth="1"/>
    <col min="13822" max="13822" width="16" style="265" bestFit="1" customWidth="1"/>
    <col min="13823" max="13823" width="15.5703125" style="265" customWidth="1"/>
    <col min="13824" max="13824" width="18.5703125" style="265" customWidth="1"/>
    <col min="13825" max="13825" width="14.85546875" style="265" customWidth="1"/>
    <col min="13826" max="13826" width="16.5703125" style="265" customWidth="1"/>
    <col min="13827" max="13827" width="15.42578125" style="265" customWidth="1"/>
    <col min="13828" max="14075" width="9.140625" style="265"/>
    <col min="14076" max="14076" width="30.7109375" style="265" customWidth="1"/>
    <col min="14077" max="14077" width="12" style="265" customWidth="1"/>
    <col min="14078" max="14078" width="16" style="265" bestFit="1" customWidth="1"/>
    <col min="14079" max="14079" width="15.5703125" style="265" customWidth="1"/>
    <col min="14080" max="14080" width="18.5703125" style="265" customWidth="1"/>
    <col min="14081" max="14081" width="14.85546875" style="265" customWidth="1"/>
    <col min="14082" max="14082" width="16.5703125" style="265" customWidth="1"/>
    <col min="14083" max="14083" width="15.42578125" style="265" customWidth="1"/>
    <col min="14084" max="14331" width="9.140625" style="265"/>
    <col min="14332" max="14332" width="30.7109375" style="265" customWidth="1"/>
    <col min="14333" max="14333" width="12" style="265" customWidth="1"/>
    <col min="14334" max="14334" width="16" style="265" bestFit="1" customWidth="1"/>
    <col min="14335" max="14335" width="15.5703125" style="265" customWidth="1"/>
    <col min="14336" max="14336" width="18.5703125" style="265" customWidth="1"/>
    <col min="14337" max="14337" width="14.85546875" style="265" customWidth="1"/>
    <col min="14338" max="14338" width="16.5703125" style="265" customWidth="1"/>
    <col min="14339" max="14339" width="15.42578125" style="265" customWidth="1"/>
    <col min="14340" max="14587" width="9.140625" style="265"/>
    <col min="14588" max="14588" width="30.7109375" style="265" customWidth="1"/>
    <col min="14589" max="14589" width="12" style="265" customWidth="1"/>
    <col min="14590" max="14590" width="16" style="265" bestFit="1" customWidth="1"/>
    <col min="14591" max="14591" width="15.5703125" style="265" customWidth="1"/>
    <col min="14592" max="14592" width="18.5703125" style="265" customWidth="1"/>
    <col min="14593" max="14593" width="14.85546875" style="265" customWidth="1"/>
    <col min="14594" max="14594" width="16.5703125" style="265" customWidth="1"/>
    <col min="14595" max="14595" width="15.42578125" style="265" customWidth="1"/>
    <col min="14596" max="14843" width="9.140625" style="265"/>
    <col min="14844" max="14844" width="30.7109375" style="265" customWidth="1"/>
    <col min="14845" max="14845" width="12" style="265" customWidth="1"/>
    <col min="14846" max="14846" width="16" style="265" bestFit="1" customWidth="1"/>
    <col min="14847" max="14847" width="15.5703125" style="265" customWidth="1"/>
    <col min="14848" max="14848" width="18.5703125" style="265" customWidth="1"/>
    <col min="14849" max="14849" width="14.85546875" style="265" customWidth="1"/>
    <col min="14850" max="14850" width="16.5703125" style="265" customWidth="1"/>
    <col min="14851" max="14851" width="15.42578125" style="265" customWidth="1"/>
    <col min="14852" max="15099" width="9.140625" style="265"/>
    <col min="15100" max="15100" width="30.7109375" style="265" customWidth="1"/>
    <col min="15101" max="15101" width="12" style="265" customWidth="1"/>
    <col min="15102" max="15102" width="16" style="265" bestFit="1" customWidth="1"/>
    <col min="15103" max="15103" width="15.5703125" style="265" customWidth="1"/>
    <col min="15104" max="15104" width="18.5703125" style="265" customWidth="1"/>
    <col min="15105" max="15105" width="14.85546875" style="265" customWidth="1"/>
    <col min="15106" max="15106" width="16.5703125" style="265" customWidth="1"/>
    <col min="15107" max="15107" width="15.42578125" style="265" customWidth="1"/>
    <col min="15108" max="15355" width="9.140625" style="265"/>
    <col min="15356" max="15356" width="30.7109375" style="265" customWidth="1"/>
    <col min="15357" max="15357" width="12" style="265" customWidth="1"/>
    <col min="15358" max="15358" width="16" style="265" bestFit="1" customWidth="1"/>
    <col min="15359" max="15359" width="15.5703125" style="265" customWidth="1"/>
    <col min="15360" max="15360" width="18.5703125" style="265" customWidth="1"/>
    <col min="15361" max="15361" width="14.85546875" style="265" customWidth="1"/>
    <col min="15362" max="15362" width="16.5703125" style="265" customWidth="1"/>
    <col min="15363" max="15363" width="15.42578125" style="265" customWidth="1"/>
    <col min="15364" max="15611" width="9.140625" style="265"/>
    <col min="15612" max="15612" width="30.7109375" style="265" customWidth="1"/>
    <col min="15613" max="15613" width="12" style="265" customWidth="1"/>
    <col min="15614" max="15614" width="16" style="265" bestFit="1" customWidth="1"/>
    <col min="15615" max="15615" width="15.5703125" style="265" customWidth="1"/>
    <col min="15616" max="15616" width="18.5703125" style="265" customWidth="1"/>
    <col min="15617" max="15617" width="14.85546875" style="265" customWidth="1"/>
    <col min="15618" max="15618" width="16.5703125" style="265" customWidth="1"/>
    <col min="15619" max="15619" width="15.42578125" style="265" customWidth="1"/>
    <col min="15620" max="15867" width="9.140625" style="265"/>
    <col min="15868" max="15868" width="30.7109375" style="265" customWidth="1"/>
    <col min="15869" max="15869" width="12" style="265" customWidth="1"/>
    <col min="15870" max="15870" width="16" style="265" bestFit="1" customWidth="1"/>
    <col min="15871" max="15871" width="15.5703125" style="265" customWidth="1"/>
    <col min="15872" max="15872" width="18.5703125" style="265" customWidth="1"/>
    <col min="15873" max="15873" width="14.85546875" style="265" customWidth="1"/>
    <col min="15874" max="15874" width="16.5703125" style="265" customWidth="1"/>
    <col min="15875" max="15875" width="15.42578125" style="265" customWidth="1"/>
    <col min="15876" max="16123" width="9.140625" style="265"/>
    <col min="16124" max="16124" width="30.7109375" style="265" customWidth="1"/>
    <col min="16125" max="16125" width="12" style="265" customWidth="1"/>
    <col min="16126" max="16126" width="16" style="265" bestFit="1" customWidth="1"/>
    <col min="16127" max="16127" width="15.5703125" style="265" customWidth="1"/>
    <col min="16128" max="16128" width="18.5703125" style="265" customWidth="1"/>
    <col min="16129" max="16129" width="14.85546875" style="265" customWidth="1"/>
    <col min="16130" max="16130" width="16.5703125" style="265" customWidth="1"/>
    <col min="16131" max="16131" width="15.42578125" style="265" customWidth="1"/>
    <col min="16132" max="16384" width="9.140625" style="265"/>
  </cols>
  <sheetData>
    <row r="2" spans="1:12" x14ac:dyDescent="0.2">
      <c r="A2" s="264"/>
    </row>
    <row r="5" spans="1:12" x14ac:dyDescent="0.2">
      <c r="A5" s="264" t="s">
        <v>350</v>
      </c>
      <c r="B5" s="264"/>
      <c r="C5" s="264"/>
      <c r="D5" s="264"/>
      <c r="E5" s="264"/>
      <c r="F5" s="264"/>
      <c r="G5" s="264"/>
    </row>
    <row r="6" spans="1:12" ht="15" x14ac:dyDescent="0.25">
      <c r="C6" s="265">
        <f>12931268+2085562+29530</f>
        <v>15046360</v>
      </c>
      <c r="D6" s="264" t="s">
        <v>351</v>
      </c>
      <c r="E6" s="266"/>
      <c r="G6" s="264"/>
    </row>
    <row r="7" spans="1:12" ht="15.75" x14ac:dyDescent="0.25">
      <c r="A7" s="267" t="s">
        <v>352</v>
      </c>
      <c r="C7" s="267"/>
      <c r="D7" s="267" t="s">
        <v>353</v>
      </c>
      <c r="E7" s="267" t="s">
        <v>354</v>
      </c>
      <c r="F7" s="267" t="s">
        <v>355</v>
      </c>
      <c r="L7" s="268"/>
    </row>
    <row r="8" spans="1:12" x14ac:dyDescent="0.2">
      <c r="A8" s="269" t="s">
        <v>356</v>
      </c>
      <c r="B8" s="269" t="s">
        <v>357</v>
      </c>
      <c r="C8" s="269" t="s">
        <v>358</v>
      </c>
      <c r="D8" s="269" t="s">
        <v>359</v>
      </c>
      <c r="E8" s="269" t="s">
        <v>359</v>
      </c>
      <c r="F8" s="269" t="s">
        <v>359</v>
      </c>
      <c r="G8" s="269" t="s">
        <v>112</v>
      </c>
      <c r="I8" s="269" t="s">
        <v>360</v>
      </c>
      <c r="K8" s="270"/>
    </row>
    <row r="9" spans="1:12" x14ac:dyDescent="0.2">
      <c r="B9" s="267" t="s">
        <v>361</v>
      </c>
      <c r="C9" s="267" t="s">
        <v>362</v>
      </c>
      <c r="D9" s="267" t="s">
        <v>363</v>
      </c>
      <c r="E9" s="267" t="s">
        <v>364</v>
      </c>
      <c r="F9" s="267" t="s">
        <v>365</v>
      </c>
      <c r="G9" s="267" t="s">
        <v>366</v>
      </c>
      <c r="I9" s="264"/>
    </row>
    <row r="10" spans="1:12" x14ac:dyDescent="0.2">
      <c r="B10" s="271"/>
      <c r="C10" s="272"/>
      <c r="D10" s="272"/>
      <c r="E10" s="272"/>
      <c r="F10" s="272"/>
      <c r="I10" s="264"/>
    </row>
    <row r="11" spans="1:12" ht="27.75" customHeight="1" x14ac:dyDescent="0.2">
      <c r="A11" s="273">
        <v>1</v>
      </c>
      <c r="B11" s="274" t="s">
        <v>367</v>
      </c>
      <c r="C11" s="258">
        <v>2270054.8899999997</v>
      </c>
      <c r="H11" s="275"/>
      <c r="I11" s="336"/>
      <c r="K11" s="276"/>
      <c r="L11" s="277"/>
    </row>
    <row r="12" spans="1:12" x14ac:dyDescent="0.2">
      <c r="A12" s="273">
        <f>+A11+1</f>
        <v>2</v>
      </c>
      <c r="B12" s="278" t="s">
        <v>368</v>
      </c>
      <c r="C12" s="258"/>
      <c r="D12" s="263">
        <v>640223</v>
      </c>
      <c r="E12" s="263">
        <v>3539</v>
      </c>
      <c r="F12" s="263">
        <v>133</v>
      </c>
      <c r="G12" s="279">
        <f>SUM(D12:F12)</f>
        <v>643895</v>
      </c>
      <c r="H12" s="275"/>
      <c r="I12" s="336"/>
      <c r="K12" s="276"/>
      <c r="L12" s="277"/>
    </row>
    <row r="13" spans="1:12" x14ac:dyDescent="0.2">
      <c r="A13" s="273">
        <f t="shared" ref="A13" si="0">+A12+1</f>
        <v>3</v>
      </c>
      <c r="B13" s="278" t="s">
        <v>369</v>
      </c>
      <c r="C13" s="258"/>
      <c r="D13" s="259">
        <f>D12/$G12</f>
        <v>0.9942972068427306</v>
      </c>
      <c r="E13" s="259">
        <f>E12/$G12</f>
        <v>5.4962377406254127E-3</v>
      </c>
      <c r="F13" s="259">
        <f>F12/$G12</f>
        <v>2.0655541664401804E-4</v>
      </c>
      <c r="G13" s="259">
        <f>SUM(D13:F13)</f>
        <v>1</v>
      </c>
      <c r="H13" s="275"/>
      <c r="I13" s="336"/>
      <c r="K13" s="276"/>
      <c r="L13" s="277"/>
    </row>
    <row r="14" spans="1:12" x14ac:dyDescent="0.2">
      <c r="A14" s="273">
        <f>+A13+1</f>
        <v>4</v>
      </c>
      <c r="B14" s="278" t="s">
        <v>370</v>
      </c>
      <c r="C14" s="258"/>
      <c r="D14" s="260">
        <f>$C11*D13</f>
        <v>2257109.2365066819</v>
      </c>
      <c r="E14" s="260">
        <f>$C11*E13</f>
        <v>12476.761359709268</v>
      </c>
      <c r="F14" s="260">
        <f>$C11*F13</f>
        <v>468.89213360874044</v>
      </c>
      <c r="G14" s="260">
        <f>SUM(D14:F14)</f>
        <v>2270054.89</v>
      </c>
      <c r="H14" s="275"/>
      <c r="I14" s="336"/>
      <c r="K14" s="280"/>
    </row>
    <row r="15" spans="1:12" x14ac:dyDescent="0.2">
      <c r="A15" s="273"/>
      <c r="B15" s="278"/>
      <c r="C15" s="258"/>
      <c r="D15" s="261"/>
      <c r="E15" s="261"/>
      <c r="F15" s="261"/>
      <c r="G15" s="261"/>
      <c r="H15" s="275"/>
      <c r="I15" s="281"/>
      <c r="K15" s="280"/>
    </row>
    <row r="16" spans="1:12" x14ac:dyDescent="0.2">
      <c r="A16" s="273"/>
      <c r="B16" s="278"/>
      <c r="C16" s="258"/>
      <c r="D16" s="261"/>
      <c r="E16" s="261"/>
      <c r="F16" s="261"/>
      <c r="G16" s="261"/>
      <c r="H16" s="275"/>
      <c r="I16" s="281"/>
      <c r="K16" s="280"/>
    </row>
    <row r="17" spans="1:12" ht="25.5" x14ac:dyDescent="0.2">
      <c r="A17" s="273">
        <v>5</v>
      </c>
      <c r="B17" s="274" t="s">
        <v>371</v>
      </c>
      <c r="C17" s="258">
        <v>381974.5</v>
      </c>
      <c r="H17" s="275"/>
      <c r="I17" s="281"/>
      <c r="K17" s="280"/>
    </row>
    <row r="18" spans="1:12" x14ac:dyDescent="0.2">
      <c r="A18" s="273">
        <v>6</v>
      </c>
      <c r="B18" s="282" t="s">
        <v>372</v>
      </c>
      <c r="C18" s="258"/>
      <c r="D18" s="31">
        <v>160894611.46485054</v>
      </c>
      <c r="E18" s="31">
        <v>14621090.131124623</v>
      </c>
      <c r="F18" s="31">
        <v>23848368.131304644</v>
      </c>
      <c r="G18" s="283">
        <f>SUM(D18:F18)</f>
        <v>199364069.72727981</v>
      </c>
      <c r="H18" s="275"/>
      <c r="I18" s="281"/>
      <c r="K18" s="280"/>
    </row>
    <row r="19" spans="1:12" x14ac:dyDescent="0.2">
      <c r="A19" s="273">
        <v>7</v>
      </c>
      <c r="B19" s="278" t="s">
        <v>373</v>
      </c>
      <c r="C19" s="258"/>
      <c r="D19" s="262">
        <f>D18/$G18</f>
        <v>0.80703916049138857</v>
      </c>
      <c r="E19" s="262">
        <f>E18/$G18</f>
        <v>7.3338641968563101E-2</v>
      </c>
      <c r="F19" s="262">
        <f>F18/$G18</f>
        <v>0.11962219754004838</v>
      </c>
      <c r="G19" s="262">
        <f>SUM(D19:F19)</f>
        <v>1</v>
      </c>
      <c r="H19" s="275"/>
      <c r="I19" s="281"/>
      <c r="K19" s="280"/>
    </row>
    <row r="20" spans="1:12" x14ac:dyDescent="0.2">
      <c r="A20" s="273">
        <v>8</v>
      </c>
      <c r="B20" s="278" t="s">
        <v>370</v>
      </c>
      <c r="C20" s="258"/>
      <c r="D20" s="260">
        <f>$C17*D19</f>
        <v>308268.37980911788</v>
      </c>
      <c r="E20" s="260">
        <f>$C17*E19</f>
        <v>28013.491096620906</v>
      </c>
      <c r="F20" s="260">
        <f>$C17*F19</f>
        <v>45692.62909426121</v>
      </c>
      <c r="G20" s="260">
        <f>SUM(D20:F20)</f>
        <v>381974.5</v>
      </c>
      <c r="H20" s="275"/>
      <c r="I20" s="281"/>
      <c r="K20" s="280"/>
    </row>
    <row r="21" spans="1:12" x14ac:dyDescent="0.2">
      <c r="A21" s="273"/>
      <c r="B21" s="278"/>
      <c r="C21" s="258"/>
      <c r="D21" s="261"/>
      <c r="E21" s="261"/>
      <c r="F21" s="261"/>
      <c r="G21" s="261"/>
      <c r="H21" s="275"/>
      <c r="I21" s="281"/>
      <c r="K21" s="280"/>
    </row>
    <row r="22" spans="1:12" x14ac:dyDescent="0.2">
      <c r="A22" s="273"/>
      <c r="H22" s="275"/>
      <c r="I22" s="281"/>
    </row>
    <row r="23" spans="1:12" ht="30.75" customHeight="1" x14ac:dyDescent="0.2">
      <c r="A23" s="273">
        <v>9</v>
      </c>
      <c r="B23" s="274" t="s">
        <v>374</v>
      </c>
      <c r="C23" s="258">
        <v>11385.37</v>
      </c>
      <c r="D23" s="31"/>
      <c r="E23" s="31"/>
      <c r="F23" s="31"/>
      <c r="G23" s="31"/>
      <c r="H23" s="275"/>
      <c r="I23" s="336" t="s">
        <v>375</v>
      </c>
    </row>
    <row r="24" spans="1:12" x14ac:dyDescent="0.2">
      <c r="A24" s="273">
        <v>10</v>
      </c>
      <c r="B24" s="278" t="s">
        <v>368</v>
      </c>
      <c r="D24" s="279">
        <f>D12</f>
        <v>640223</v>
      </c>
      <c r="E24" s="279">
        <f>E12</f>
        <v>3539</v>
      </c>
      <c r="F24" s="279">
        <f>F12</f>
        <v>133</v>
      </c>
      <c r="G24" s="279">
        <f>SUM(D24:F24)</f>
        <v>643895</v>
      </c>
      <c r="H24" s="275"/>
      <c r="I24" s="336"/>
    </row>
    <row r="25" spans="1:12" ht="16.5" customHeight="1" x14ac:dyDescent="0.2">
      <c r="A25" s="273">
        <v>11</v>
      </c>
      <c r="B25" s="278" t="s">
        <v>369</v>
      </c>
      <c r="C25" s="258"/>
      <c r="D25" s="262">
        <f>D24/$G24</f>
        <v>0.9942972068427306</v>
      </c>
      <c r="E25" s="262">
        <f>E24/$G24</f>
        <v>5.4962377406254127E-3</v>
      </c>
      <c r="F25" s="262">
        <f>F24/$G24</f>
        <v>2.0655541664401804E-4</v>
      </c>
      <c r="G25" s="262">
        <f>SUM(D25:F25)</f>
        <v>1</v>
      </c>
      <c r="H25" s="275"/>
      <c r="I25" s="336"/>
      <c r="K25" s="284"/>
      <c r="L25" s="277"/>
    </row>
    <row r="26" spans="1:12" x14ac:dyDescent="0.2">
      <c r="A26" s="273">
        <v>12</v>
      </c>
      <c r="B26" s="278" t="s">
        <v>370</v>
      </c>
      <c r="C26" s="258"/>
      <c r="D26" s="261">
        <f>$C23*D25</f>
        <v>11320.441589871021</v>
      </c>
      <c r="E26" s="261">
        <f>$C23*E25</f>
        <v>62.576700284984362</v>
      </c>
      <c r="F26" s="261">
        <f>$C23*F25</f>
        <v>2.351709843996304</v>
      </c>
      <c r="G26" s="261">
        <f>SUM(D26:F26)</f>
        <v>11385.370000000003</v>
      </c>
      <c r="H26" s="275"/>
      <c r="I26" s="336"/>
      <c r="K26" s="284"/>
      <c r="L26" s="277"/>
    </row>
    <row r="27" spans="1:12" x14ac:dyDescent="0.2">
      <c r="A27" s="273"/>
      <c r="B27" s="275"/>
      <c r="C27" s="258"/>
      <c r="H27" s="275"/>
      <c r="I27" s="285"/>
      <c r="K27" s="284"/>
      <c r="L27" s="277"/>
    </row>
    <row r="28" spans="1:12" x14ac:dyDescent="0.2">
      <c r="A28" s="273"/>
      <c r="B28" s="278"/>
      <c r="C28" s="258"/>
      <c r="H28" s="275"/>
      <c r="I28" s="285"/>
      <c r="K28" s="286"/>
    </row>
    <row r="29" spans="1:12" x14ac:dyDescent="0.2">
      <c r="A29" s="273"/>
      <c r="B29" s="275"/>
      <c r="C29" s="258"/>
      <c r="D29" s="275"/>
      <c r="E29" s="275"/>
      <c r="F29" s="275"/>
      <c r="G29" s="275"/>
      <c r="H29" s="275"/>
      <c r="I29" s="285"/>
    </row>
    <row r="30" spans="1:12" ht="31.5" customHeight="1" x14ac:dyDescent="0.2">
      <c r="A30" s="273">
        <v>13</v>
      </c>
      <c r="B30" s="274" t="s">
        <v>376</v>
      </c>
      <c r="C30" s="258">
        <v>114611.4075</v>
      </c>
      <c r="H30" s="275"/>
      <c r="I30" s="336" t="s">
        <v>377</v>
      </c>
    </row>
    <row r="31" spans="1:12" ht="18.75" customHeight="1" x14ac:dyDescent="0.2">
      <c r="A31" s="273">
        <v>14</v>
      </c>
      <c r="B31" s="282" t="s">
        <v>372</v>
      </c>
      <c r="C31" s="258"/>
      <c r="D31" s="31">
        <f>+D18</f>
        <v>160894611.46485054</v>
      </c>
      <c r="E31" s="31">
        <f t="shared" ref="E31:F31" si="1">+E18</f>
        <v>14621090.131124623</v>
      </c>
      <c r="F31" s="31">
        <f t="shared" si="1"/>
        <v>23848368.131304644</v>
      </c>
      <c r="G31" s="283">
        <f>SUM(D31:F31)</f>
        <v>199364069.72727981</v>
      </c>
      <c r="H31" s="275"/>
      <c r="I31" s="336"/>
    </row>
    <row r="32" spans="1:12" x14ac:dyDescent="0.2">
      <c r="A32" s="273">
        <v>15</v>
      </c>
      <c r="B32" s="278" t="s">
        <v>373</v>
      </c>
      <c r="C32" s="258"/>
      <c r="D32" s="262">
        <f>D31/$G31</f>
        <v>0.80703916049138857</v>
      </c>
      <c r="E32" s="262">
        <f>E31/$G31</f>
        <v>7.3338641968563101E-2</v>
      </c>
      <c r="F32" s="262">
        <f>F31/$G31</f>
        <v>0.11962219754004838</v>
      </c>
      <c r="G32" s="262">
        <f>SUM(D32:F32)</f>
        <v>1</v>
      </c>
      <c r="H32" s="275"/>
      <c r="I32" s="336"/>
    </row>
    <row r="33" spans="1:9" x14ac:dyDescent="0.2">
      <c r="A33" s="273">
        <v>16</v>
      </c>
      <c r="B33" s="278" t="s">
        <v>370</v>
      </c>
      <c r="C33" s="258"/>
      <c r="D33" s="261">
        <f>$C30*D32</f>
        <v>92495.894091536436</v>
      </c>
      <c r="E33" s="261">
        <f>$C30*E32</f>
        <v>8405.4449801555875</v>
      </c>
      <c r="F33" s="261">
        <f>$C30*F32</f>
        <v>13710.068428307983</v>
      </c>
      <c r="G33" s="261">
        <f>SUM(D33:F33)</f>
        <v>114611.4075</v>
      </c>
      <c r="H33" s="275"/>
      <c r="I33" s="336"/>
    </row>
    <row r="34" spans="1:9" x14ac:dyDescent="0.2">
      <c r="A34" s="273"/>
      <c r="B34" s="278"/>
      <c r="C34" s="258"/>
      <c r="D34" s="261"/>
      <c r="E34" s="261"/>
      <c r="F34" s="261"/>
      <c r="G34" s="261"/>
      <c r="H34" s="275"/>
      <c r="I34" s="285"/>
    </row>
    <row r="35" spans="1:9" x14ac:dyDescent="0.2">
      <c r="A35" s="273"/>
      <c r="B35" s="278"/>
      <c r="C35" s="258"/>
      <c r="D35" s="261"/>
      <c r="E35" s="261"/>
      <c r="F35" s="261"/>
      <c r="G35" s="261"/>
      <c r="H35" s="275"/>
      <c r="I35" s="285"/>
    </row>
    <row r="36" spans="1:9" ht="25.5" x14ac:dyDescent="0.2">
      <c r="A36" s="273">
        <v>17</v>
      </c>
      <c r="B36" s="274" t="s">
        <v>378</v>
      </c>
      <c r="C36" s="258">
        <v>38203.802499999991</v>
      </c>
      <c r="D36" s="275"/>
      <c r="E36" s="275"/>
      <c r="F36" s="275"/>
      <c r="G36" s="275"/>
      <c r="H36" s="275"/>
      <c r="I36" s="285"/>
    </row>
    <row r="37" spans="1:9" x14ac:dyDescent="0.2">
      <c r="A37" s="273">
        <v>18</v>
      </c>
      <c r="B37" s="282" t="s">
        <v>379</v>
      </c>
      <c r="C37" s="258"/>
      <c r="D37" s="275">
        <v>1</v>
      </c>
      <c r="E37" s="275">
        <v>18</v>
      </c>
      <c r="F37" s="275">
        <v>16</v>
      </c>
      <c r="G37" s="275">
        <f>SUM(D37:F37)</f>
        <v>35</v>
      </c>
      <c r="H37" s="275"/>
      <c r="I37" s="285"/>
    </row>
    <row r="38" spans="1:9" x14ac:dyDescent="0.2">
      <c r="A38" s="273">
        <v>19</v>
      </c>
      <c r="B38" s="278" t="s">
        <v>380</v>
      </c>
      <c r="C38" s="258"/>
      <c r="D38" s="262">
        <f>D37/$G37</f>
        <v>2.8571428571428571E-2</v>
      </c>
      <c r="E38" s="262">
        <f>E37/$G37</f>
        <v>0.51428571428571423</v>
      </c>
      <c r="F38" s="262">
        <f>F37/$G37</f>
        <v>0.45714285714285713</v>
      </c>
      <c r="G38" s="262">
        <f>SUM(D38:F38)</f>
        <v>1</v>
      </c>
      <c r="H38" s="275"/>
      <c r="I38" s="285"/>
    </row>
    <row r="39" spans="1:9" x14ac:dyDescent="0.2">
      <c r="A39" s="273">
        <v>20</v>
      </c>
      <c r="B39" s="278" t="s">
        <v>370</v>
      </c>
      <c r="C39" s="258"/>
      <c r="D39" s="261">
        <f>$C36*D38</f>
        <v>1091.5372142857141</v>
      </c>
      <c r="E39" s="261">
        <f>$C36*E38</f>
        <v>19647.66985714285</v>
      </c>
      <c r="F39" s="261">
        <f>$C36*F38</f>
        <v>17464.595428571425</v>
      </c>
      <c r="G39" s="261">
        <f>SUM(D39:F39)</f>
        <v>38203.802499999991</v>
      </c>
      <c r="H39" s="275"/>
      <c r="I39" s="285"/>
    </row>
    <row r="40" spans="1:9" x14ac:dyDescent="0.2">
      <c r="A40" s="273"/>
      <c r="B40" s="274"/>
      <c r="C40" s="258"/>
      <c r="D40" s="275"/>
      <c r="E40" s="275"/>
      <c r="F40" s="275"/>
      <c r="G40" s="275"/>
      <c r="H40" s="275"/>
      <c r="I40" s="285"/>
    </row>
    <row r="41" spans="1:9" x14ac:dyDescent="0.2">
      <c r="A41" s="273"/>
      <c r="B41" s="274"/>
      <c r="C41" s="258"/>
      <c r="D41" s="275"/>
      <c r="E41" s="275"/>
      <c r="F41" s="275"/>
      <c r="G41" s="275"/>
      <c r="H41" s="275"/>
      <c r="I41" s="285"/>
    </row>
    <row r="42" spans="1:9" x14ac:dyDescent="0.2">
      <c r="A42" s="273">
        <v>21</v>
      </c>
      <c r="B42" s="287" t="s">
        <v>381</v>
      </c>
      <c r="C42" s="288">
        <v>31919.57</v>
      </c>
      <c r="D42" s="275"/>
      <c r="E42" s="275"/>
      <c r="F42" s="275"/>
      <c r="G42" s="275"/>
      <c r="H42" s="275"/>
      <c r="I42" s="285"/>
    </row>
    <row r="43" spans="1:9" ht="18" customHeight="1" x14ac:dyDescent="0.2">
      <c r="A43" s="273">
        <v>22</v>
      </c>
      <c r="B43" s="282" t="s">
        <v>372</v>
      </c>
      <c r="D43" s="263">
        <f>D31</f>
        <v>160894611.46485054</v>
      </c>
      <c r="E43" s="263">
        <f>E31</f>
        <v>14621090.131124623</v>
      </c>
      <c r="F43" s="263">
        <f>F31</f>
        <v>23848368.131304644</v>
      </c>
      <c r="G43" s="279">
        <f>SUM(D43:F43)</f>
        <v>199364069.72727981</v>
      </c>
      <c r="H43" s="275"/>
      <c r="I43" s="336"/>
    </row>
    <row r="44" spans="1:9" x14ac:dyDescent="0.2">
      <c r="A44" s="273">
        <v>23</v>
      </c>
      <c r="B44" s="278" t="s">
        <v>373</v>
      </c>
      <c r="D44" s="262">
        <f>D43/$G43</f>
        <v>0.80703916049138857</v>
      </c>
      <c r="E44" s="262">
        <f>E43/$G43</f>
        <v>7.3338641968563101E-2</v>
      </c>
      <c r="F44" s="262">
        <f>F43/$G43</f>
        <v>0.11962219754004838</v>
      </c>
      <c r="G44" s="262">
        <f>SUM(D44:F44)</f>
        <v>1</v>
      </c>
      <c r="H44" s="275"/>
      <c r="I44" s="336"/>
    </row>
    <row r="45" spans="1:9" x14ac:dyDescent="0.2">
      <c r="A45" s="273">
        <v>24</v>
      </c>
      <c r="B45" s="278" t="s">
        <v>370</v>
      </c>
      <c r="D45" s="261">
        <f>$C42*D44</f>
        <v>25760.342976046111</v>
      </c>
      <c r="E45" s="261">
        <f t="shared" ref="E45:F45" si="2">$C42*E44</f>
        <v>2340.9379160204876</v>
      </c>
      <c r="F45" s="261">
        <f t="shared" si="2"/>
        <v>3818.2891079334022</v>
      </c>
      <c r="G45" s="261">
        <f>SUM(D45:F45)</f>
        <v>31919.57</v>
      </c>
      <c r="H45" s="275"/>
      <c r="I45" s="336"/>
    </row>
    <row r="46" spans="1:9" x14ac:dyDescent="0.2">
      <c r="A46" s="273"/>
      <c r="B46" s="278"/>
      <c r="D46" s="261"/>
      <c r="E46" s="261"/>
      <c r="F46" s="261"/>
      <c r="G46" s="261"/>
      <c r="H46" s="275"/>
      <c r="I46" s="336"/>
    </row>
    <row r="47" spans="1:9" x14ac:dyDescent="0.2">
      <c r="A47" s="273"/>
      <c r="B47" s="278"/>
      <c r="D47" s="261"/>
      <c r="E47" s="261"/>
      <c r="F47" s="261"/>
      <c r="G47" s="261"/>
      <c r="H47" s="275"/>
      <c r="I47" s="285"/>
    </row>
    <row r="48" spans="1:9" x14ac:dyDescent="0.2">
      <c r="A48" s="273"/>
      <c r="B48" s="285" t="s">
        <v>382</v>
      </c>
      <c r="D48" s="275"/>
      <c r="E48" s="275"/>
      <c r="F48" s="275"/>
      <c r="G48" s="275"/>
      <c r="H48" s="275"/>
      <c r="I48" s="285"/>
    </row>
    <row r="49" spans="1:9" x14ac:dyDescent="0.2">
      <c r="A49" s="273">
        <v>25</v>
      </c>
      <c r="B49" s="278" t="s">
        <v>112</v>
      </c>
      <c r="D49" s="283">
        <f>D14+D20+D26+D33+D39+D45</f>
        <v>2696045.832187539</v>
      </c>
      <c r="E49" s="283">
        <f t="shared" ref="E49:F49" si="3">E14+E20+E26+E33+E39+E45</f>
        <v>70946.881909934076</v>
      </c>
      <c r="F49" s="283">
        <f t="shared" si="3"/>
        <v>81156.825902526762</v>
      </c>
      <c r="G49" s="279">
        <f>SUM(D49:F49)</f>
        <v>2848149.5399999996</v>
      </c>
      <c r="H49" s="275"/>
      <c r="I49" s="285"/>
    </row>
    <row r="50" spans="1:9" x14ac:dyDescent="0.2">
      <c r="A50" s="273">
        <v>26</v>
      </c>
      <c r="B50" s="278" t="s">
        <v>383</v>
      </c>
      <c r="D50" s="279">
        <f>D12</f>
        <v>640223</v>
      </c>
      <c r="E50" s="279">
        <f>E12</f>
        <v>3539</v>
      </c>
      <c r="F50" s="279">
        <f>F12</f>
        <v>133</v>
      </c>
      <c r="G50" s="279">
        <f>SUM(D50:F50)</f>
        <v>643895</v>
      </c>
      <c r="H50" s="275"/>
      <c r="I50" s="285"/>
    </row>
    <row r="51" spans="1:9" x14ac:dyDescent="0.2">
      <c r="A51" s="273">
        <v>27</v>
      </c>
      <c r="B51" s="289" t="s">
        <v>384</v>
      </c>
      <c r="D51" s="260">
        <f>D49/D50</f>
        <v>4.2111043061363604</v>
      </c>
      <c r="E51" s="260">
        <f>E49/E50</f>
        <v>20.047155103117852</v>
      </c>
      <c r="F51" s="260">
        <f>F49/F50</f>
        <v>610.20169851523883</v>
      </c>
      <c r="G51" s="262"/>
      <c r="H51" s="275"/>
      <c r="I51" s="285"/>
    </row>
    <row r="52" spans="1:9" x14ac:dyDescent="0.2">
      <c r="A52" s="273">
        <v>28</v>
      </c>
      <c r="B52" s="278" t="s">
        <v>385</v>
      </c>
      <c r="D52" s="262">
        <f>ROUND(D51/$D51,5)</f>
        <v>1</v>
      </c>
      <c r="E52" s="262">
        <f t="shared" ref="E52:F52" si="4">ROUND(E51/$D51,5)</f>
        <v>4.7605500000000003</v>
      </c>
      <c r="F52" s="262">
        <f t="shared" si="4"/>
        <v>144.90300999999999</v>
      </c>
      <c r="G52" s="275"/>
      <c r="H52" s="275"/>
      <c r="I52" s="285"/>
    </row>
    <row r="53" spans="1:9" x14ac:dyDescent="0.2">
      <c r="A53" s="275"/>
      <c r="B53" s="275"/>
      <c r="C53" s="275"/>
      <c r="D53" s="275"/>
      <c r="E53" s="275"/>
      <c r="F53" s="275"/>
      <c r="G53" s="275"/>
      <c r="H53" s="275"/>
      <c r="I53" s="275"/>
    </row>
    <row r="54" spans="1:9" x14ac:dyDescent="0.2">
      <c r="A54" s="275"/>
      <c r="B54" s="275"/>
      <c r="C54" s="283"/>
      <c r="D54" s="290"/>
      <c r="E54" s="290"/>
      <c r="F54" s="290"/>
      <c r="G54" s="275"/>
      <c r="H54" s="275"/>
      <c r="I54" s="275"/>
    </row>
    <row r="55" spans="1:9" x14ac:dyDescent="0.2">
      <c r="A55" s="275"/>
      <c r="B55" s="275"/>
      <c r="C55" s="283"/>
      <c r="D55" s="275"/>
      <c r="E55" s="275"/>
      <c r="F55" s="275"/>
      <c r="G55" s="275"/>
      <c r="H55" s="275"/>
      <c r="I55" s="275"/>
    </row>
    <row r="56" spans="1:9" x14ac:dyDescent="0.2">
      <c r="A56" s="275"/>
      <c r="B56" s="275"/>
      <c r="C56" s="283"/>
      <c r="D56" s="275"/>
      <c r="E56" s="275"/>
      <c r="F56" s="275"/>
      <c r="G56" s="275"/>
      <c r="H56" s="275"/>
      <c r="I56" s="275"/>
    </row>
    <row r="57" spans="1:9" x14ac:dyDescent="0.2">
      <c r="A57" s="275"/>
      <c r="B57" s="275"/>
      <c r="C57" s="275"/>
      <c r="D57" s="275"/>
      <c r="E57" s="275"/>
      <c r="F57" s="275"/>
      <c r="G57" s="275"/>
      <c r="H57" s="275"/>
      <c r="I57" s="275"/>
    </row>
  </sheetData>
  <mergeCells count="4">
    <mergeCell ref="I11:I14"/>
    <mergeCell ref="I23:I26"/>
    <mergeCell ref="I30:I33"/>
    <mergeCell ref="I43:I46"/>
  </mergeCells>
  <pageMargins left="0.7" right="0.7" top="1.4270833333333299" bottom="0.75" header="0.3" footer="0.3"/>
  <pageSetup scale="50" orientation="portrait" horizontalDpi="1200" verticalDpi="1200" r:id="rId1"/>
  <headerFooter>
    <oddHeader>&amp;CMIDAMERICAN ENERGY COMPANY
2026 SOUTH DAKOTA GAS RATE CASE
Docket No. NG26-___
Statement O-Workpapers Support
FOR THE YEAR ENDING DECEMBER 31, 2025&amp;RStratton Direct Exhibit 1.2, WP1
Page &amp;P of &amp;N</oddHeader>
  </headerFooter>
  <colBreaks count="1" manualBreakCount="1">
    <brk id="9"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E9329-D30A-4581-8CC6-2E8A75DFD087}">
  <dimension ref="B1:O40"/>
  <sheetViews>
    <sheetView showGridLines="0" view="pageLayout" zoomScaleNormal="100" workbookViewId="0">
      <selection activeCell="A19" sqref="A19"/>
    </sheetView>
  </sheetViews>
  <sheetFormatPr defaultRowHeight="15" x14ac:dyDescent="0.25"/>
  <cols>
    <col min="1" max="1" width="9.140625" style="32"/>
    <col min="2" max="2" width="60.42578125" style="32" customWidth="1"/>
    <col min="3" max="14" width="12.7109375" style="32" customWidth="1"/>
    <col min="15" max="15" width="15.28515625" style="32" customWidth="1"/>
    <col min="16" max="20" width="12.7109375" style="32" customWidth="1"/>
    <col min="21" max="16384" width="9.140625" style="32"/>
  </cols>
  <sheetData>
    <row r="1" spans="2:15" x14ac:dyDescent="0.25">
      <c r="B1" s="339" t="s">
        <v>386</v>
      </c>
      <c r="C1" s="339"/>
      <c r="D1" s="339"/>
      <c r="E1" s="339"/>
      <c r="F1" s="339"/>
      <c r="G1" s="339"/>
      <c r="H1" s="339"/>
      <c r="I1" s="339"/>
      <c r="J1" s="339"/>
      <c r="K1" s="339"/>
      <c r="L1" s="339"/>
      <c r="M1" s="339"/>
      <c r="N1" s="339"/>
      <c r="O1" s="339"/>
    </row>
    <row r="2" spans="2:15" x14ac:dyDescent="0.25">
      <c r="B2" s="339" t="s">
        <v>387</v>
      </c>
      <c r="C2" s="339"/>
      <c r="D2" s="339"/>
      <c r="E2" s="339"/>
      <c r="F2" s="339"/>
      <c r="G2" s="339"/>
      <c r="H2" s="339"/>
      <c r="I2" s="339"/>
      <c r="J2" s="339"/>
      <c r="K2" s="339"/>
      <c r="L2" s="339"/>
      <c r="M2" s="339"/>
      <c r="N2" s="339"/>
      <c r="O2" s="339"/>
    </row>
    <row r="3" spans="2:15" x14ac:dyDescent="0.25">
      <c r="B3" s="340" t="s">
        <v>388</v>
      </c>
      <c r="C3" s="340"/>
      <c r="D3" s="340"/>
      <c r="E3" s="340"/>
      <c r="F3" s="340"/>
      <c r="G3" s="340"/>
      <c r="H3" s="340"/>
      <c r="I3" s="340"/>
      <c r="J3" s="340"/>
      <c r="K3" s="340"/>
      <c r="L3" s="340"/>
      <c r="M3" s="340"/>
      <c r="N3" s="340"/>
      <c r="O3" s="340"/>
    </row>
    <row r="4" spans="2:15" x14ac:dyDescent="0.25">
      <c r="B4" s="340" t="s">
        <v>389</v>
      </c>
      <c r="C4" s="340"/>
      <c r="D4" s="340"/>
      <c r="E4" s="340"/>
      <c r="F4" s="340"/>
      <c r="G4" s="340"/>
      <c r="H4" s="340"/>
      <c r="I4" s="340"/>
      <c r="J4" s="340"/>
      <c r="K4" s="340"/>
      <c r="L4" s="340"/>
      <c r="M4" s="340"/>
      <c r="N4" s="340"/>
      <c r="O4" s="340"/>
    </row>
    <row r="5" spans="2:15" x14ac:dyDescent="0.25">
      <c r="B5" s="340" t="s">
        <v>390</v>
      </c>
      <c r="C5" s="340"/>
      <c r="D5" s="340"/>
      <c r="E5" s="340"/>
      <c r="F5" s="340"/>
      <c r="G5" s="340"/>
      <c r="H5" s="340"/>
      <c r="I5" s="340"/>
      <c r="J5" s="340"/>
      <c r="K5" s="340"/>
      <c r="L5" s="340"/>
      <c r="M5" s="340"/>
      <c r="N5" s="340"/>
      <c r="O5" s="340"/>
    </row>
    <row r="6" spans="2:15" x14ac:dyDescent="0.25">
      <c r="B6" s="340" t="s">
        <v>391</v>
      </c>
      <c r="C6" s="340"/>
      <c r="D6" s="340"/>
      <c r="E6" s="340"/>
      <c r="F6" s="340"/>
      <c r="G6" s="340"/>
      <c r="H6" s="340"/>
      <c r="I6" s="340"/>
      <c r="J6" s="340"/>
      <c r="K6" s="340"/>
      <c r="L6" s="340"/>
      <c r="M6" s="340"/>
      <c r="N6" s="340"/>
      <c r="O6" s="340"/>
    </row>
    <row r="7" spans="2:15" ht="15" customHeight="1" x14ac:dyDescent="0.25">
      <c r="B7" s="337" t="s">
        <v>392</v>
      </c>
      <c r="C7" s="337"/>
      <c r="D7" s="34"/>
      <c r="E7" s="34"/>
      <c r="F7" s="34"/>
      <c r="G7" s="34"/>
      <c r="H7" s="34"/>
      <c r="I7" s="34"/>
      <c r="J7" s="34"/>
      <c r="K7" s="34"/>
      <c r="L7" s="34"/>
      <c r="M7" s="34"/>
      <c r="N7" s="34"/>
      <c r="O7" s="34"/>
    </row>
    <row r="8" spans="2:15" x14ac:dyDescent="0.25">
      <c r="B8" s="338"/>
      <c r="C8" s="338"/>
      <c r="D8" s="338"/>
      <c r="E8" s="338"/>
      <c r="F8" s="338"/>
      <c r="G8" s="338"/>
      <c r="H8" s="338"/>
      <c r="I8" s="338"/>
      <c r="J8" s="338"/>
      <c r="K8" s="338"/>
      <c r="L8" s="338"/>
      <c r="M8" s="338"/>
      <c r="N8" s="338"/>
      <c r="O8" s="338"/>
    </row>
    <row r="9" spans="2:15" ht="20.100000000000001" customHeight="1" x14ac:dyDescent="0.25">
      <c r="B9" s="33" t="s">
        <v>393</v>
      </c>
      <c r="C9" s="33"/>
      <c r="D9" s="33"/>
      <c r="E9" s="33"/>
      <c r="F9" s="33"/>
      <c r="G9" s="33"/>
      <c r="H9" s="33"/>
      <c r="I9" s="33"/>
      <c r="J9" s="33"/>
      <c r="K9" s="33"/>
      <c r="L9" s="33"/>
      <c r="M9" s="33"/>
    </row>
    <row r="10" spans="2:15" x14ac:dyDescent="0.25">
      <c r="B10" s="35"/>
      <c r="C10" s="36" t="s">
        <v>394</v>
      </c>
      <c r="D10" s="36" t="s">
        <v>395</v>
      </c>
      <c r="E10" s="36" t="s">
        <v>396</v>
      </c>
      <c r="F10" s="36" t="s">
        <v>397</v>
      </c>
      <c r="G10" s="36" t="s">
        <v>94</v>
      </c>
      <c r="H10" s="36" t="s">
        <v>398</v>
      </c>
      <c r="I10" s="36" t="s">
        <v>399</v>
      </c>
      <c r="J10" s="36" t="s">
        <v>400</v>
      </c>
      <c r="K10" s="36" t="s">
        <v>401</v>
      </c>
      <c r="L10" s="36" t="s">
        <v>402</v>
      </c>
      <c r="M10" s="36" t="s">
        <v>403</v>
      </c>
      <c r="N10" s="36" t="s">
        <v>404</v>
      </c>
      <c r="O10" s="37">
        <v>2025</v>
      </c>
    </row>
    <row r="11" spans="2:15" ht="12.75" customHeight="1" x14ac:dyDescent="0.25">
      <c r="B11" s="35"/>
      <c r="C11" s="35"/>
      <c r="D11" s="35"/>
      <c r="E11" s="35"/>
      <c r="F11" s="35"/>
      <c r="G11" s="35"/>
      <c r="H11" s="35"/>
      <c r="I11" s="35"/>
      <c r="J11" s="35"/>
      <c r="K11" s="35"/>
      <c r="L11" s="35"/>
      <c r="M11" s="35"/>
      <c r="N11" s="38"/>
    </row>
    <row r="12" spans="2:15" ht="12.75" customHeight="1" x14ac:dyDescent="0.25">
      <c r="B12" s="33" t="s">
        <v>405</v>
      </c>
      <c r="C12" s="33"/>
      <c r="D12" s="33"/>
      <c r="E12" s="33"/>
      <c r="F12" s="33"/>
      <c r="G12" s="33"/>
      <c r="H12" s="33"/>
      <c r="I12" s="33"/>
      <c r="J12" s="33"/>
      <c r="K12" s="33"/>
      <c r="L12" s="33"/>
      <c r="M12" s="33"/>
      <c r="N12" s="38"/>
    </row>
    <row r="13" spans="2:15" ht="12.75" customHeight="1" x14ac:dyDescent="0.25">
      <c r="B13" s="39" t="s">
        <v>406</v>
      </c>
      <c r="C13" s="40">
        <v>-10741427.82</v>
      </c>
      <c r="D13" s="40">
        <v>-9979858.7300000004</v>
      </c>
      <c r="E13" s="40">
        <v>-6406244.1200000001</v>
      </c>
      <c r="F13" s="40">
        <v>-3755401.89</v>
      </c>
      <c r="G13" s="40">
        <v>-2431230.17</v>
      </c>
      <c r="H13" s="40">
        <v>-2000424.39</v>
      </c>
      <c r="I13" s="40">
        <v>-1991274.05</v>
      </c>
      <c r="J13" s="40">
        <v>-1903896.22</v>
      </c>
      <c r="K13" s="40">
        <v>-1936951.75</v>
      </c>
      <c r="L13" s="40">
        <v>-2660679.2200000002</v>
      </c>
      <c r="M13" s="40">
        <v>-5168170.49</v>
      </c>
      <c r="N13" s="41">
        <v>-8120467.3899999997</v>
      </c>
      <c r="O13" s="42">
        <f>SUM(C13:N13)</f>
        <v>-57096026.240000002</v>
      </c>
    </row>
    <row r="14" spans="2:15" ht="12.75" customHeight="1" x14ac:dyDescent="0.25">
      <c r="B14" s="39" t="s">
        <v>407</v>
      </c>
      <c r="C14" s="40">
        <v>-6282227.2999999998</v>
      </c>
      <c r="D14" s="40">
        <v>-5682478.4000000004</v>
      </c>
      <c r="E14" s="40">
        <v>-3327714.06</v>
      </c>
      <c r="F14" s="40">
        <v>-1910365.36</v>
      </c>
      <c r="G14" s="40">
        <v>-1312342.43</v>
      </c>
      <c r="H14" s="40">
        <v>-1138613.01</v>
      </c>
      <c r="I14" s="40">
        <v>-1089031.77</v>
      </c>
      <c r="J14" s="40">
        <v>-1171215.1100000001</v>
      </c>
      <c r="K14" s="40">
        <v>-1193014.98</v>
      </c>
      <c r="L14" s="40">
        <v>-1618378.58</v>
      </c>
      <c r="M14" s="40">
        <v>-3605498.6</v>
      </c>
      <c r="N14" s="41">
        <v>-4858980.46</v>
      </c>
      <c r="O14" s="42">
        <f t="shared" ref="O14:O21" si="0">SUM(C14:N14)</f>
        <v>-33189860.060000002</v>
      </c>
    </row>
    <row r="15" spans="2:15" ht="12.75" customHeight="1" x14ac:dyDescent="0.25">
      <c r="B15" s="39" t="s">
        <v>408</v>
      </c>
      <c r="C15" s="40">
        <v>-1221301.46</v>
      </c>
      <c r="D15" s="40">
        <v>-1730859.1</v>
      </c>
      <c r="E15" s="40">
        <v>-2223450.59</v>
      </c>
      <c r="F15" s="40">
        <v>-535959.31999999995</v>
      </c>
      <c r="G15" s="40">
        <v>-629903.80000000005</v>
      </c>
      <c r="H15" s="40">
        <v>-455812.98</v>
      </c>
      <c r="I15" s="40">
        <v>-332303.25</v>
      </c>
      <c r="J15" s="40">
        <v>-661252.54</v>
      </c>
      <c r="K15" s="40">
        <v>-339162.13</v>
      </c>
      <c r="L15" s="40">
        <v>-451015.9</v>
      </c>
      <c r="M15" s="40">
        <v>-1187214.8400000001</v>
      </c>
      <c r="N15" s="41">
        <v>-438864.87</v>
      </c>
      <c r="O15" s="42">
        <f t="shared" si="0"/>
        <v>-10207100.779999999</v>
      </c>
    </row>
    <row r="16" spans="2:15" ht="12.75" customHeight="1" x14ac:dyDescent="0.25">
      <c r="B16" s="39" t="s">
        <v>409</v>
      </c>
      <c r="C16" s="40">
        <v>0</v>
      </c>
      <c r="D16" s="40">
        <v>0</v>
      </c>
      <c r="E16" s="40">
        <v>0</v>
      </c>
      <c r="F16" s="40">
        <v>0</v>
      </c>
      <c r="G16" s="40">
        <v>0</v>
      </c>
      <c r="H16" s="40">
        <v>0</v>
      </c>
      <c r="I16" s="40">
        <v>0</v>
      </c>
      <c r="J16" s="40">
        <v>0</v>
      </c>
      <c r="K16" s="40">
        <v>0</v>
      </c>
      <c r="L16" s="40">
        <v>0</v>
      </c>
      <c r="M16" s="40">
        <v>0</v>
      </c>
      <c r="N16" s="41">
        <v>0</v>
      </c>
      <c r="O16" s="43">
        <f t="shared" si="0"/>
        <v>0</v>
      </c>
    </row>
    <row r="17" spans="2:15" ht="12.75" customHeight="1" x14ac:dyDescent="0.25">
      <c r="B17" s="39" t="s">
        <v>410</v>
      </c>
      <c r="C17" s="40">
        <v>-13738.98</v>
      </c>
      <c r="D17" s="40">
        <v>-62.25</v>
      </c>
      <c r="E17" s="40">
        <v>-18835.28</v>
      </c>
      <c r="F17" s="40">
        <v>-20739.009999999998</v>
      </c>
      <c r="G17" s="40">
        <v>-14198.65</v>
      </c>
      <c r="H17" s="40">
        <v>-13018.98</v>
      </c>
      <c r="I17" s="40">
        <v>-11785.74</v>
      </c>
      <c r="J17" s="40">
        <v>-10154.16</v>
      </c>
      <c r="K17" s="40">
        <v>-10356.64</v>
      </c>
      <c r="L17" s="40">
        <v>-9261.2099999999991</v>
      </c>
      <c r="M17" s="40">
        <v>-8820.65</v>
      </c>
      <c r="N17" s="41">
        <v>-13121.26</v>
      </c>
      <c r="O17" s="42">
        <f t="shared" si="0"/>
        <v>-144092.81</v>
      </c>
    </row>
    <row r="18" spans="2:15" ht="12.75" customHeight="1" x14ac:dyDescent="0.25">
      <c r="B18" s="39" t="s">
        <v>411</v>
      </c>
      <c r="C18" s="40">
        <v>-10708.67</v>
      </c>
      <c r="D18" s="40">
        <v>-4907</v>
      </c>
      <c r="E18" s="40">
        <v>-10181.17</v>
      </c>
      <c r="F18" s="40">
        <v>-28423.19</v>
      </c>
      <c r="G18" s="40">
        <v>-43908.03</v>
      </c>
      <c r="H18" s="40">
        <v>-28033.599999999999</v>
      </c>
      <c r="I18" s="40">
        <v>-18293.53</v>
      </c>
      <c r="J18" s="40">
        <v>-19462.89</v>
      </c>
      <c r="K18" s="40">
        <v>-14995.55</v>
      </c>
      <c r="L18" s="40">
        <v>-27727.89</v>
      </c>
      <c r="M18" s="40">
        <v>28191.439999999999</v>
      </c>
      <c r="N18" s="41">
        <v>-4758</v>
      </c>
      <c r="O18" s="43">
        <f t="shared" si="0"/>
        <v>-183208.08000000002</v>
      </c>
    </row>
    <row r="19" spans="2:15" ht="12.75" customHeight="1" x14ac:dyDescent="0.25">
      <c r="B19" s="39" t="s">
        <v>412</v>
      </c>
      <c r="C19" s="40">
        <v>-704288.55</v>
      </c>
      <c r="D19" s="40">
        <v>-605919.19999999995</v>
      </c>
      <c r="E19" s="40">
        <v>-345970.1</v>
      </c>
      <c r="F19" s="40">
        <v>-363649.13</v>
      </c>
      <c r="G19" s="40">
        <v>-269646.36</v>
      </c>
      <c r="H19" s="40">
        <v>-261222.73</v>
      </c>
      <c r="I19" s="40">
        <v>-246705.85</v>
      </c>
      <c r="J19" s="40">
        <v>-277036.05</v>
      </c>
      <c r="K19" s="40">
        <v>-262987.07</v>
      </c>
      <c r="L19" s="40">
        <v>-343263.21</v>
      </c>
      <c r="M19" s="40">
        <v>-468207.85</v>
      </c>
      <c r="N19" s="41">
        <v>-661393.75</v>
      </c>
      <c r="O19" s="42">
        <f t="shared" si="0"/>
        <v>-4810289.8499999996</v>
      </c>
    </row>
    <row r="20" spans="2:15" ht="12.75" customHeight="1" x14ac:dyDescent="0.25">
      <c r="B20" s="39" t="s">
        <v>413</v>
      </c>
      <c r="C20" s="40">
        <v>-5288.16</v>
      </c>
      <c r="D20" s="40">
        <v>-4935.1099999999997</v>
      </c>
      <c r="E20" s="40">
        <v>-4582.07</v>
      </c>
      <c r="F20" s="40">
        <v>-2675.48</v>
      </c>
      <c r="G20" s="40">
        <v>-2588.1</v>
      </c>
      <c r="H20" s="40">
        <v>-3999.93</v>
      </c>
      <c r="I20" s="40">
        <v>-4847.7299999999996</v>
      </c>
      <c r="J20" s="40">
        <v>-4847.7299999999996</v>
      </c>
      <c r="K20" s="40">
        <v>-4847.7299999999996</v>
      </c>
      <c r="L20" s="40">
        <v>-4854.21</v>
      </c>
      <c r="M20" s="40">
        <v>-4854.21</v>
      </c>
      <c r="N20" s="41">
        <v>-4854.21</v>
      </c>
      <c r="O20" s="43">
        <f t="shared" si="0"/>
        <v>-53174.669999999991</v>
      </c>
    </row>
    <row r="21" spans="2:15" ht="12.75" customHeight="1" x14ac:dyDescent="0.25">
      <c r="B21" s="39" t="s">
        <v>414</v>
      </c>
      <c r="C21" s="40">
        <v>0</v>
      </c>
      <c r="D21" s="40">
        <v>0</v>
      </c>
      <c r="E21" s="40">
        <v>0</v>
      </c>
      <c r="F21" s="40">
        <v>0</v>
      </c>
      <c r="G21" s="40">
        <v>0</v>
      </c>
      <c r="H21" s="40">
        <v>0</v>
      </c>
      <c r="I21" s="40">
        <v>0</v>
      </c>
      <c r="J21" s="40">
        <v>0</v>
      </c>
      <c r="K21" s="40">
        <v>0</v>
      </c>
      <c r="L21" s="40">
        <v>0</v>
      </c>
      <c r="M21" s="40">
        <v>0</v>
      </c>
      <c r="N21" s="41">
        <v>0</v>
      </c>
      <c r="O21" s="44">
        <f t="shared" si="0"/>
        <v>0</v>
      </c>
    </row>
    <row r="22" spans="2:15" ht="12.75" customHeight="1" x14ac:dyDescent="0.25">
      <c r="B22" s="33" t="s">
        <v>415</v>
      </c>
      <c r="C22" s="45">
        <v>-18978980.940000001</v>
      </c>
      <c r="D22" s="45">
        <v>-18009019.789999999</v>
      </c>
      <c r="E22" s="45">
        <v>-12336977.390000001</v>
      </c>
      <c r="F22" s="45">
        <v>-6617213.3799999999</v>
      </c>
      <c r="G22" s="45">
        <v>-4703817.54</v>
      </c>
      <c r="H22" s="45">
        <v>-3901125.62</v>
      </c>
      <c r="I22" s="45">
        <v>-3694241.92</v>
      </c>
      <c r="J22" s="45">
        <v>-4047864.7</v>
      </c>
      <c r="K22" s="45">
        <v>-3762315.85</v>
      </c>
      <c r="L22" s="45">
        <v>-5115180.22</v>
      </c>
      <c r="M22" s="45">
        <v>-10414575.199999999</v>
      </c>
      <c r="N22" s="46">
        <v>-14102439.939999999</v>
      </c>
      <c r="O22" s="43">
        <f>SUM(O13:O21)</f>
        <v>-105683752.49000001</v>
      </c>
    </row>
    <row r="23" spans="2:15" ht="12.75" customHeight="1" x14ac:dyDescent="0.25">
      <c r="B23" s="35"/>
      <c r="C23" s="47"/>
      <c r="D23" s="47"/>
      <c r="E23" s="47"/>
      <c r="F23" s="47"/>
      <c r="G23" s="47"/>
      <c r="H23" s="47"/>
      <c r="I23" s="47"/>
      <c r="J23" s="47"/>
      <c r="K23" s="47"/>
      <c r="L23" s="47"/>
      <c r="M23" s="47"/>
      <c r="N23" s="48"/>
      <c r="O23" s="43"/>
    </row>
    <row r="24" spans="2:15" ht="12.75" customHeight="1" x14ac:dyDescent="0.25">
      <c r="B24" s="35" t="s">
        <v>416</v>
      </c>
      <c r="C24" s="35"/>
      <c r="D24" s="35"/>
      <c r="E24" s="35"/>
      <c r="F24" s="35"/>
      <c r="G24" s="35"/>
      <c r="H24" s="35"/>
      <c r="I24" s="35"/>
      <c r="J24" s="35"/>
      <c r="K24" s="49"/>
      <c r="L24" s="49"/>
      <c r="M24" s="49"/>
      <c r="N24" s="38"/>
    </row>
    <row r="25" spans="2:15" x14ac:dyDescent="0.25">
      <c r="B25" s="50" t="s">
        <v>417</v>
      </c>
      <c r="O25" s="51">
        <v>-741366</v>
      </c>
    </row>
    <row r="26" spans="2:15" x14ac:dyDescent="0.25">
      <c r="B26" s="50" t="s">
        <v>418</v>
      </c>
      <c r="O26" s="51">
        <v>-444709.3878823733</v>
      </c>
    </row>
    <row r="27" spans="2:15" x14ac:dyDescent="0.25">
      <c r="B27" s="50" t="s">
        <v>419</v>
      </c>
      <c r="O27" s="51">
        <v>57037950.090000011</v>
      </c>
    </row>
    <row r="28" spans="2:15" x14ac:dyDescent="0.25">
      <c r="B28" s="50" t="s">
        <v>420</v>
      </c>
      <c r="O28" s="52">
        <v>10207100.779999999</v>
      </c>
    </row>
    <row r="29" spans="2:15" x14ac:dyDescent="0.25">
      <c r="B29" s="50" t="s">
        <v>421</v>
      </c>
      <c r="O29" s="53">
        <v>144093</v>
      </c>
    </row>
    <row r="31" spans="2:15" ht="15.75" thickBot="1" x14ac:dyDescent="0.3">
      <c r="B31" s="32" t="s">
        <v>422</v>
      </c>
      <c r="O31" s="54">
        <f>SUM(O22:O29)</f>
        <v>-39480684.007882364</v>
      </c>
    </row>
    <row r="32" spans="2:15" ht="15.75" thickTop="1" x14ac:dyDescent="0.25"/>
    <row r="34" spans="2:15" x14ac:dyDescent="0.25">
      <c r="B34" s="32" t="s">
        <v>423</v>
      </c>
      <c r="O34" s="55">
        <f>-O31</f>
        <v>39480684.007882364</v>
      </c>
    </row>
    <row r="35" spans="2:15" x14ac:dyDescent="0.25">
      <c r="B35" s="32" t="s">
        <v>424</v>
      </c>
      <c r="O35" s="55"/>
    </row>
    <row r="36" spans="2:15" x14ac:dyDescent="0.25">
      <c r="B36" s="32" t="s">
        <v>425</v>
      </c>
      <c r="O36" s="56">
        <f>+O26</f>
        <v>-444709.3878823733</v>
      </c>
    </row>
    <row r="37" spans="2:15" x14ac:dyDescent="0.25">
      <c r="B37" s="50" t="s">
        <v>426</v>
      </c>
      <c r="O37" s="55">
        <f>+O18</f>
        <v>-183208.08000000002</v>
      </c>
    </row>
    <row r="38" spans="2:15" x14ac:dyDescent="0.25">
      <c r="B38" s="50" t="s">
        <v>427</v>
      </c>
      <c r="O38" s="53">
        <f>+O20</f>
        <v>-53174.669999999991</v>
      </c>
    </row>
    <row r="39" spans="2:15" ht="15.75" thickBot="1" x14ac:dyDescent="0.3">
      <c r="B39" s="32" t="s">
        <v>428</v>
      </c>
      <c r="O39" s="57">
        <f>SUM(O34:O38)</f>
        <v>38799591.86999999</v>
      </c>
    </row>
    <row r="40" spans="2:15" ht="15.75" thickTop="1" x14ac:dyDescent="0.25"/>
  </sheetData>
  <mergeCells count="8">
    <mergeCell ref="B7:C7"/>
    <mergeCell ref="B8:O8"/>
    <mergeCell ref="B1:O1"/>
    <mergeCell ref="B2:O2"/>
    <mergeCell ref="B3:O3"/>
    <mergeCell ref="B4:O4"/>
    <mergeCell ref="B5:O5"/>
    <mergeCell ref="B6:O6"/>
  </mergeCells>
  <pageMargins left="0.7" right="0.7" top="1.4270833333333299" bottom="0.75" header="0.3" footer="0.3"/>
  <pageSetup fitToHeight="0" orientation="portrait" horizontalDpi="1200" verticalDpi="1200" r:id="rId1"/>
  <headerFooter>
    <oddHeader>&amp;CMIDAMERICAN ENERGY COMPANY
2026 SOUTH DAKOTA GAS RATE CASE
Docket No. NG26-___
Statement O-Workpapers Support
FOR THE YEAR ENDING DECEMBER 31, 2025&amp;RStratton Direct Exhibit 1.2, WP1
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Actual HDDs</vt:lpstr>
      <vt:lpstr>Meter Counts</vt:lpstr>
      <vt:lpstr>Meter Cost</vt:lpstr>
      <vt:lpstr>Regulator Cost</vt:lpstr>
      <vt:lpstr>Rate  SSS</vt:lpstr>
      <vt:lpstr>Rate LVT</vt:lpstr>
      <vt:lpstr>Rate LVT - Dec 2025</vt:lpstr>
      <vt:lpstr>Cust Accts Exp</vt:lpstr>
      <vt:lpstr>2025 Revenue</vt:lpstr>
      <vt:lpstr>Services</vt:lpstr>
      <vt:lpstr>Transport Admin</vt:lpstr>
      <vt:lpstr>Services!_MailOriginal</vt:lpstr>
      <vt:lpstr>'Meter Cost'!Print_Area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2026-08-18T20:01:42Z</dcterms:created>
  <dcterms:modified xsi:type="dcterms:W3CDTF">2026-08-18T20:01:55Z</dcterms:modified>
</cp:coreProperties>
</file>