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24226"/>
  <xr:revisionPtr revIDLastSave="0" documentId="13_ncr:1_{C4067BEC-A2F9-41C9-90ED-93E9DE9C3F77}" xr6:coauthVersionLast="47" xr6:coauthVersionMax="47" xr10:uidLastSave="{00000000-0000-0000-0000-000000000000}"/>
  <bookViews>
    <workbookView xWindow="-120" yWindow="-120" windowWidth="29040" windowHeight="15720" tabRatio="916" xr2:uid="{00000000-000D-0000-FFFF-FFFF00000000}"/>
  </bookViews>
  <sheets>
    <sheet name="Index" sheetId="66" r:id="rId1"/>
    <sheet name="Sch 1 - RevReq" sheetId="1" r:id="rId2"/>
    <sheet name="Sch 2 - Op Income Summary" sheetId="2" r:id="rId3"/>
    <sheet name="Sch 3 - Pro Forma Summary" sheetId="3" r:id="rId4"/>
    <sheet name="Schs 4-17 - Pro Forma Adj.'s" sheetId="4" r:id="rId5"/>
    <sheet name="Sch 4 WP pg. 1 - Int Sync" sheetId="8" r:id="rId6"/>
    <sheet name="Sch 4 WP pg. 2 - Int Synch" sheetId="29" r:id="rId7"/>
    <sheet name="Sch 5 WP pg. 1 - Payroll Adj" sheetId="15" r:id="rId8"/>
    <sheet name="Sch 5 WP pg. 5 - DirectPay2025" sheetId="49" r:id="rId9"/>
    <sheet name="Sch 5 WP pg. 6 - Detail Dist" sheetId="65" r:id="rId10"/>
    <sheet name="Sch 6 WP pg. 1 - Weather" sheetId="54" r:id="rId11"/>
    <sheet name="Sch 7 WP pg. 1 - Pension Costs" sheetId="38" r:id="rId12"/>
    <sheet name="Sch 7 WP pg. 2 - Pension Costs " sheetId="39" r:id="rId13"/>
    <sheet name="Sch 8 WP pg. 1 - Dep Exp" sheetId="55" r:id="rId14"/>
    <sheet name="Sch 9 WP pg. 1 - Sales Growth" sheetId="58" r:id="rId15"/>
    <sheet name="WP10-Meter Read Labor" sheetId="60" state="hidden" r:id="rId16"/>
    <sheet name="Sch 10 WP pg.1 -Reg Asset Amort" sheetId="92" r:id="rId17"/>
    <sheet name="Sch 10 WP pg.2 - EECR" sheetId="93" r:id="rId18"/>
    <sheet name="Sch 11 WP pg.1 -Rate Case Exp" sheetId="68" r:id="rId19"/>
    <sheet name="Sch 12 WP pg.1 - LPC" sheetId="28" r:id="rId20"/>
    <sheet name="Sch 13 WP pg.1 - LTIP" sheetId="57" r:id="rId21"/>
    <sheet name="Sch 14 WP pg.1 - Prop Tax" sheetId="61" r:id="rId22"/>
    <sheet name="Sch 15 WP pg.1 - PGA" sheetId="62" r:id="rId23"/>
    <sheet name="Sch 16 WP pg.1 - Econ Dev" sheetId="51" r:id="rId24"/>
    <sheet name="Sch 17 WP pg.1 - Wholesale Rev" sheetId="91" r:id="rId25"/>
    <sheet name="Sch 25 - WACC" sheetId="89" r:id="rId26"/>
    <sheet name="Sch 26 pg. 1 - Cost LT Debt" sheetId="86" r:id="rId27"/>
    <sheet name="Sch 26 pg. 2 - LT Debt" sheetId="69" r:id="rId28"/>
    <sheet name="Sch 26 pg. 3 - Unam Debt Prem" sheetId="72" r:id="rId29"/>
    <sheet name="Sch 26 pg. 4 - Unam Gain Reacq" sheetId="74" r:id="rId30"/>
    <sheet name="Sch 26 pg. 5 - Unam Debt Disc" sheetId="70" r:id="rId31"/>
    <sheet name="Sch 26 pg. 6 - Unam Debt Exp" sheetId="71" r:id="rId32"/>
    <sheet name="Sch 26 pg. 7 - Unam Loss Reacq" sheetId="73" r:id="rId33"/>
    <sheet name="Sch 26 pg. 8 - Interest" sheetId="80" r:id="rId34"/>
    <sheet name="Sch 26 pg. 9 - Amort Disc" sheetId="75" r:id="rId35"/>
    <sheet name="Sch 26 pg. 10 - Amort Exp" sheetId="76" r:id="rId36"/>
    <sheet name="Sch 26 pg. 11 - Amort Loss" sheetId="77" r:id="rId37"/>
    <sheet name="Sch 26 pg. 12 - Amort Premium" sheetId="79" r:id="rId38"/>
    <sheet name="Sch 26 pg. 13 - Amort Gain" sheetId="78" r:id="rId39"/>
    <sheet name="Sch 27 pg. 1 - Com Eq" sheetId="87" r:id="rId40"/>
    <sheet name="Sch 27 pg. 2 - Unam G&amp;L" sheetId="88" r:id="rId41"/>
  </sheets>
  <definedNames>
    <definedName name="LINE" localSheetId="0">#REF!</definedName>
    <definedName name="LINE" localSheetId="18">#REF!</definedName>
    <definedName name="LINE" localSheetId="21">#REF!</definedName>
    <definedName name="LINE" localSheetId="22">#REF!</definedName>
    <definedName name="LINE" localSheetId="10">#REF!</definedName>
    <definedName name="LINE" localSheetId="13">#REF!</definedName>
    <definedName name="LINE" localSheetId="14">#REF!</definedName>
    <definedName name="LINE" localSheetId="15">#REF!</definedName>
    <definedName name="LINE">#REF!</definedName>
    <definedName name="_xlnm.Print_Area" localSheetId="0">Index!$A$1:$M$31</definedName>
    <definedName name="_xlnm.Print_Area" localSheetId="1">'Sch 1 - RevReq'!$A$1:$F$49</definedName>
    <definedName name="_xlnm.Print_Area" localSheetId="18">'Sch 11 WP pg.1 -Rate Case Exp'!$A$1:$H$22</definedName>
    <definedName name="_xlnm.Print_Area" localSheetId="19">'Sch 12 WP pg.1 - LPC'!$A$1:$F$25</definedName>
    <definedName name="_xlnm.Print_Area" localSheetId="20">'Sch 13 WP pg.1 - LTIP'!$A$1:$H$16</definedName>
    <definedName name="_xlnm.Print_Area" localSheetId="23">'Sch 16 WP pg.1 - Econ Dev'!$A$1:$H$24</definedName>
    <definedName name="_xlnm.Print_Area" localSheetId="24">'Sch 17 WP pg.1 - Wholesale Rev'!$A$1:$F$27</definedName>
    <definedName name="_xlnm.Print_Area" localSheetId="2">'Sch 2 - Op Income Summary'!$A$1:$M$44</definedName>
    <definedName name="_xlnm.Print_Area" localSheetId="25">'Sch 25 - WACC'!$A$1:$I$29</definedName>
    <definedName name="_xlnm.Print_Area" localSheetId="26">'Sch 26 pg. 1 - Cost LT Debt'!$A$1:$F$49</definedName>
    <definedName name="_xlnm.Print_Area" localSheetId="35">'Sch 26 pg. 10 - Amort Exp'!$A$1:$D$59</definedName>
    <definedName name="_xlnm.Print_Area" localSheetId="36">'Sch 26 pg. 11 - Amort Loss'!$A$1:$D$43</definedName>
    <definedName name="_xlnm.Print_Area" localSheetId="38">'Sch 26 pg. 13 - Amort Gain'!$A$1:$E$26</definedName>
    <definedName name="_xlnm.Print_Area" localSheetId="27">'Sch 26 pg. 2 - LT Debt'!$A$1:$T$67</definedName>
    <definedName name="_xlnm.Print_Area" localSheetId="28">'Sch 26 pg. 3 - Unam Debt Prem'!$A$1:$T$22</definedName>
    <definedName name="_xlnm.Print_Area" localSheetId="29">'Sch 26 pg. 4 - Unam Gain Reacq'!$A$1:$Q$24</definedName>
    <definedName name="_xlnm.Print_Area" localSheetId="30">'Sch 26 pg. 5 - Unam Debt Disc'!$A$1:$T$56</definedName>
    <definedName name="_xlnm.Print_Area" localSheetId="31">'Sch 26 pg. 6 - Unam Debt Exp'!$A$1:$T$54</definedName>
    <definedName name="_xlnm.Print_Area" localSheetId="32">'Sch 26 pg. 7 - Unam Loss Reacq'!$A$1:$T$38</definedName>
    <definedName name="_xlnm.Print_Area" localSheetId="33">'Sch 26 pg. 8 - Interest'!$A$1:$G$67</definedName>
    <definedName name="_xlnm.Print_Area" localSheetId="34">'Sch 26 pg. 9 - Amort Disc'!$A$1:$D$60</definedName>
    <definedName name="_xlnm.Print_Area" localSheetId="39">'Sch 27 pg. 1 - Com Eq'!$A$1:$Q$44</definedName>
    <definedName name="_xlnm.Print_Area" localSheetId="40">'Sch 27 pg. 2 - Unam G&amp;L'!$A$1:$Q$30</definedName>
    <definedName name="_xlnm.Print_Area" localSheetId="3">'Sch 3 - Pro Forma Summary'!$A$1:$AG$34</definedName>
    <definedName name="_xlnm.Print_Area" localSheetId="5">'Sch 4 WP pg. 1 - Int Sync'!$A$1:$G$33</definedName>
    <definedName name="_xlnm.Print_Area" localSheetId="6">'Sch 4 WP pg. 2 - Int Synch'!$A$1:$E$53</definedName>
    <definedName name="_xlnm.Print_Area" localSheetId="7">'Sch 5 WP pg. 1 - Payroll Adj'!$A$1:$H$59</definedName>
    <definedName name="_xlnm.Print_Area" localSheetId="8">'Sch 5 WP pg. 5 - DirectPay2025'!$A$1:$O$50</definedName>
    <definedName name="_xlnm.Print_Area" localSheetId="10">'Sch 6 WP pg. 1 - Weather'!$A$1:$G$26</definedName>
    <definedName name="_xlnm.Print_Area" localSheetId="11">'Sch 7 WP pg. 1 - Pension Costs'!$A$1:$H$30</definedName>
    <definedName name="_xlnm.Print_Area" localSheetId="12">'Sch 7 WP pg. 2 - Pension Costs '!$A$1:$N$47</definedName>
    <definedName name="_xlnm.Print_Area" localSheetId="13">'Sch 8 WP pg. 1 - Dep Exp'!$A$1:$G$26</definedName>
    <definedName name="_xlnm.Print_Area" localSheetId="14">'Sch 9 WP pg. 1 - Sales Growth'!$A$1:$I$120</definedName>
    <definedName name="_xlnm.Print_Area" localSheetId="4">'Schs 4-17 - Pro Forma Adj.''s'!$A$1:$E$325</definedName>
    <definedName name="_xlnm.Print_Area" localSheetId="15">'WP10-Meter Read Labor'!$A$1:$F$25</definedName>
    <definedName name="_xlnm.Print_Titles" localSheetId="3">'Sch 3 - Pro Forma Summary'!$A:$D</definedName>
    <definedName name="_xlnm.Print_Titles" localSheetId="5">'Sch 4 WP pg. 1 - Int Sync'!$1:$9</definedName>
    <definedName name="_xlnm.Print_Titles" localSheetId="8">'Sch 5 WP pg. 5 - DirectPay2025'!$1:$14</definedName>
    <definedName name="_xlnm.Recorder" localSheetId="0">#REF!</definedName>
    <definedName name="_xlnm.Recorder" localSheetId="18">#REF!</definedName>
    <definedName name="_xlnm.Recorder" localSheetId="21">#REF!</definedName>
    <definedName name="_xlnm.Recorder" localSheetId="22">#REF!</definedName>
    <definedName name="_xlnm.Recorder" localSheetId="15">#REF!</definedName>
    <definedName name="_xlnm.Recorder">#REF!</definedName>
  </definedNames>
  <calcPr calcId="191028"/>
  <customWorkbookViews>
    <customWorkbookView name="WorkCap (WPPIncStmt)" guid="{E17B5FA6-97ED-11D5-9023-444553540000}" xWindow="14" yWindow="35" windowWidth="617" windowHeight="334" activeSheetId="24"/>
    <customWorkbookView name="RevReq (WPPIncStmt)" guid="{E17B5FA5-97ED-11D5-9023-444553540000}" xWindow="14" yWindow="35" windowWidth="617" windowHeight="334" activeSheetId="24"/>
    <customWorkbookView name="RateBase (WPPIncStmt)" guid="{E17B5FA4-97ED-11D5-9023-444553540000}" xWindow="14" yWindow="35" windowWidth="617" windowHeight="334" activeSheetId="24"/>
    <customWorkbookView name="Input (WPPIncStmt)" guid="{E17B5FA3-97ED-11D5-9023-444553540000}" xWindow="14" yWindow="35" windowWidth="617" windowHeight="334" activeSheetId="24"/>
    <customWorkbookView name="IncStat (WPPIncStmt)" guid="{E17B5FA2-97ED-11D5-9023-444553540000}" xWindow="14" yWindow="35" windowWidth="617" windowHeight="334" activeSheetId="24"/>
    <customWorkbookView name="HUGO (WPPIncStmt)" guid="{E17B5FA1-97ED-11D5-9023-444553540000}" xWindow="14" yWindow="35" windowWidth="617" windowHeight="334" activeSheetId="24"/>
    <customWorkbookView name="CostCap (WPPIncStmt)" guid="{E17B5FA0-97ED-11D5-9023-444553540000}" xWindow="14" yWindow="35" windowWidth="617" windowHeight="334" activeSheetId="24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2" l="1"/>
  <c r="A5" i="86" l="1"/>
  <c r="H14" i="39" l="1"/>
  <c r="O15" i="93"/>
  <c r="E16" i="92" s="1"/>
  <c r="A6" i="93" l="1"/>
  <c r="A147" i="4" l="1"/>
  <c r="A149" i="4" s="1"/>
  <c r="A151" i="4" s="1"/>
  <c r="A14" i="92"/>
  <c r="A16" i="92" s="1"/>
  <c r="A17" i="92" s="1"/>
  <c r="A19" i="92" s="1"/>
  <c r="E17" i="92"/>
  <c r="E147" i="4" s="1"/>
  <c r="E14" i="92"/>
  <c r="E145" i="4" s="1"/>
  <c r="A6" i="92"/>
  <c r="E19" i="92" l="1"/>
  <c r="F19" i="51"/>
  <c r="E149" i="4"/>
  <c r="E151" i="4" l="1"/>
  <c r="S23" i="3"/>
  <c r="A137" i="4" l="1"/>
  <c r="A134" i="4"/>
  <c r="S26" i="3" l="1"/>
  <c r="D19" i="88"/>
  <c r="D22" i="88" s="1"/>
  <c r="Q18" i="88"/>
  <c r="Q17" i="88"/>
  <c r="Q16" i="88"/>
  <c r="F17" i="15"/>
  <c r="D51" i="65" l="1"/>
  <c r="D21" i="87"/>
  <c r="Q18" i="87"/>
  <c r="Q16" i="87"/>
  <c r="Q15" i="87"/>
  <c r="Q14" i="87"/>
  <c r="Q12" i="87"/>
  <c r="A27" i="77"/>
  <c r="D48" i="76"/>
  <c r="D41" i="76"/>
  <c r="A25" i="75"/>
  <c r="A26" i="75" s="1"/>
  <c r="A27" i="75" s="1"/>
  <c r="A28" i="75" s="1"/>
  <c r="A29" i="75" s="1"/>
  <c r="A30" i="75" s="1"/>
  <c r="A31" i="75" s="1"/>
  <c r="A38" i="75" s="1"/>
  <c r="A29" i="80"/>
  <c r="A30" i="80" s="1"/>
  <c r="A31" i="80" s="1"/>
  <c r="A35" i="80" s="1"/>
  <c r="A36" i="80" s="1"/>
  <c r="A37" i="80" s="1"/>
  <c r="A38" i="80" s="1"/>
  <c r="A39" i="80" s="1"/>
  <c r="T49" i="71"/>
  <c r="T50" i="71" s="1"/>
  <c r="G30" i="71"/>
  <c r="H30" i="71"/>
  <c r="I30" i="71"/>
  <c r="J30" i="71"/>
  <c r="K30" i="71"/>
  <c r="L30" i="71"/>
  <c r="M30" i="71"/>
  <c r="N30" i="71"/>
  <c r="O30" i="71"/>
  <c r="P30" i="71"/>
  <c r="Q30" i="71"/>
  <c r="R30" i="71"/>
  <c r="S30" i="71"/>
  <c r="T29" i="71"/>
  <c r="T28" i="71"/>
  <c r="T27" i="71"/>
  <c r="T26" i="71"/>
  <c r="T25" i="71"/>
  <c r="T24" i="71"/>
  <c r="T23" i="71"/>
  <c r="T22" i="71"/>
  <c r="T21" i="71"/>
  <c r="T20" i="71"/>
  <c r="T19" i="71"/>
  <c r="T18" i="71"/>
  <c r="T17" i="71"/>
  <c r="T16" i="71"/>
  <c r="T15" i="71"/>
  <c r="T30" i="73"/>
  <c r="T31" i="73" s="1"/>
  <c r="H31" i="73"/>
  <c r="I31" i="73"/>
  <c r="J31" i="73"/>
  <c r="K31" i="73"/>
  <c r="L31" i="73"/>
  <c r="M31" i="73"/>
  <c r="N31" i="73"/>
  <c r="O31" i="73"/>
  <c r="P31" i="73"/>
  <c r="Q31" i="73"/>
  <c r="R31" i="73"/>
  <c r="S31" i="73"/>
  <c r="G26" i="73"/>
  <c r="T25" i="73"/>
  <c r="T24" i="73"/>
  <c r="T16" i="73"/>
  <c r="T19" i="73"/>
  <c r="T18" i="73"/>
  <c r="T17" i="73"/>
  <c r="G20" i="73"/>
  <c r="S50" i="71"/>
  <c r="G45" i="71"/>
  <c r="T44" i="71"/>
  <c r="T43" i="71"/>
  <c r="T42" i="71"/>
  <c r="G38" i="71"/>
  <c r="T37" i="71"/>
  <c r="T36" i="71"/>
  <c r="T35" i="71"/>
  <c r="T34" i="71"/>
  <c r="A29" i="71"/>
  <c r="A30" i="71" s="1"/>
  <c r="T21" i="70"/>
  <c r="T36" i="70"/>
  <c r="T44" i="70"/>
  <c r="T43" i="70"/>
  <c r="T42" i="70"/>
  <c r="T41" i="70"/>
  <c r="T40" i="70"/>
  <c r="T39" i="70"/>
  <c r="T38" i="70"/>
  <c r="T37" i="70"/>
  <c r="T35" i="70"/>
  <c r="T34" i="70"/>
  <c r="T33" i="70"/>
  <c r="T28" i="70"/>
  <c r="T27" i="70"/>
  <c r="T26" i="70"/>
  <c r="T25" i="70"/>
  <c r="T24" i="70"/>
  <c r="T23" i="70"/>
  <c r="T22" i="70"/>
  <c r="T20" i="70"/>
  <c r="T19" i="70"/>
  <c r="T18" i="70"/>
  <c r="T17" i="70"/>
  <c r="T16" i="70"/>
  <c r="T15" i="70"/>
  <c r="H29" i="70"/>
  <c r="H45" i="70"/>
  <c r="G45" i="70"/>
  <c r="G29" i="70"/>
  <c r="A16" i="70"/>
  <c r="A17" i="70" s="1"/>
  <c r="A18" i="70" s="1"/>
  <c r="A19" i="70" s="1"/>
  <c r="A20" i="70" s="1"/>
  <c r="A21" i="70" s="1"/>
  <c r="A22" i="70" s="1"/>
  <c r="A23" i="70" s="1"/>
  <c r="A24" i="70" s="1"/>
  <c r="A25" i="70" s="1"/>
  <c r="A26" i="70" s="1"/>
  <c r="A27" i="70" s="1"/>
  <c r="A28" i="70" s="1"/>
  <c r="A29" i="70" s="1"/>
  <c r="A33" i="70" s="1"/>
  <c r="Q12" i="74"/>
  <c r="P15" i="74"/>
  <c r="Q14" i="74"/>
  <c r="Q13" i="74"/>
  <c r="G54" i="70" l="1"/>
  <c r="G34" i="73"/>
  <c r="T30" i="71"/>
  <c r="T45" i="70"/>
  <c r="G52" i="71"/>
  <c r="Q15" i="74"/>
  <c r="T20" i="73"/>
  <c r="G16" i="72"/>
  <c r="G20" i="72" s="1"/>
  <c r="T15" i="72"/>
  <c r="F18" i="51"/>
  <c r="S58" i="69" l="1"/>
  <c r="T57" i="69"/>
  <c r="T58" i="69" s="1"/>
  <c r="G53" i="69"/>
  <c r="H53" i="69"/>
  <c r="T52" i="69"/>
  <c r="T51" i="69"/>
  <c r="T50" i="69"/>
  <c r="T49" i="69"/>
  <c r="T48" i="69"/>
  <c r="T47" i="69"/>
  <c r="T46" i="69"/>
  <c r="T45" i="69"/>
  <c r="T44" i="69"/>
  <c r="T43" i="69"/>
  <c r="T42" i="69"/>
  <c r="T41" i="69"/>
  <c r="T28" i="69"/>
  <c r="T14" i="69"/>
  <c r="T33" i="69"/>
  <c r="G37" i="69"/>
  <c r="T36" i="69"/>
  <c r="T35" i="69"/>
  <c r="T34" i="69"/>
  <c r="H29" i="69"/>
  <c r="I29" i="69"/>
  <c r="J29" i="69"/>
  <c r="K29" i="69"/>
  <c r="L29" i="69"/>
  <c r="M29" i="69"/>
  <c r="N29" i="69"/>
  <c r="O29" i="69"/>
  <c r="P29" i="69"/>
  <c r="Q29" i="69"/>
  <c r="R29" i="69"/>
  <c r="S29" i="69"/>
  <c r="G29" i="69"/>
  <c r="S10" i="69"/>
  <c r="T27" i="69"/>
  <c r="T26" i="69"/>
  <c r="T25" i="69"/>
  <c r="T24" i="69"/>
  <c r="T23" i="69"/>
  <c r="T22" i="69"/>
  <c r="T21" i="69"/>
  <c r="T20" i="69"/>
  <c r="T19" i="69"/>
  <c r="T18" i="69"/>
  <c r="T17" i="69"/>
  <c r="T16" i="69"/>
  <c r="T15" i="69"/>
  <c r="A15" i="69"/>
  <c r="A16" i="69" s="1"/>
  <c r="A17" i="69" s="1"/>
  <c r="A18" i="69" s="1"/>
  <c r="A19" i="69" s="1"/>
  <c r="A20" i="69" s="1"/>
  <c r="A21" i="69" s="1"/>
  <c r="A22" i="69" s="1"/>
  <c r="A23" i="69" s="1"/>
  <c r="A24" i="69" s="1"/>
  <c r="A25" i="69" s="1"/>
  <c r="A26" i="69" s="1"/>
  <c r="A27" i="69" s="1"/>
  <c r="A28" i="69" s="1"/>
  <c r="A29" i="69" s="1"/>
  <c r="A33" i="69" s="1"/>
  <c r="T29" i="69" l="1"/>
  <c r="F16" i="57" l="1"/>
  <c r="E13" i="58" l="1"/>
  <c r="O50" i="49" l="1"/>
  <c r="O49" i="49"/>
  <c r="O24" i="49"/>
  <c r="H16" i="39" l="1"/>
  <c r="H40" i="39" l="1"/>
  <c r="J15" i="39"/>
  <c r="J17" i="39"/>
  <c r="H39" i="39"/>
  <c r="H18" i="39" s="1"/>
  <c r="H38" i="39"/>
  <c r="E26" i="2" l="1"/>
  <c r="E19" i="54"/>
  <c r="E20" i="55" l="1"/>
  <c r="E23" i="91"/>
  <c r="E316" i="4" s="1"/>
  <c r="E21" i="91"/>
  <c r="E313" i="4" s="1"/>
  <c r="A14" i="91"/>
  <c r="A15" i="91" s="1"/>
  <c r="A16" i="91" s="1"/>
  <c r="A18" i="91" s="1"/>
  <c r="A19" i="91" s="1"/>
  <c r="A21" i="91" s="1"/>
  <c r="A6" i="91"/>
  <c r="A313" i="4"/>
  <c r="A315" i="4" s="1"/>
  <c r="A316" i="4" s="1"/>
  <c r="A318" i="4" s="1"/>
  <c r="A304" i="4"/>
  <c r="A301" i="4"/>
  <c r="F17" i="61"/>
  <c r="AG22" i="3" l="1"/>
  <c r="AG16" i="3"/>
  <c r="AG18" i="3" s="1"/>
  <c r="E318" i="4"/>
  <c r="A23" i="91"/>
  <c r="A15" i="29"/>
  <c r="A16" i="29" s="1"/>
  <c r="A17" i="29" s="1"/>
  <c r="A18" i="29" s="1"/>
  <c r="A19" i="29" s="1"/>
  <c r="A20" i="29" s="1"/>
  <c r="A21" i="29" s="1"/>
  <c r="A22" i="29" s="1"/>
  <c r="A23" i="29" s="1"/>
  <c r="A24" i="29" s="1"/>
  <c r="A25" i="29" s="1"/>
  <c r="A26" i="29" s="1"/>
  <c r="A27" i="29" s="1"/>
  <c r="A28" i="29" s="1"/>
  <c r="A29" i="29" s="1"/>
  <c r="A30" i="29" s="1"/>
  <c r="A31" i="29" s="1"/>
  <c r="A32" i="29" s="1"/>
  <c r="A33" i="29" s="1"/>
  <c r="A34" i="29" s="1"/>
  <c r="A35" i="29" s="1"/>
  <c r="A36" i="29" s="1"/>
  <c r="A37" i="29" s="1"/>
  <c r="A38" i="29" s="1"/>
  <c r="A39" i="29" s="1"/>
  <c r="A40" i="29" s="1"/>
  <c r="A41" i="29" s="1"/>
  <c r="A42" i="29" s="1"/>
  <c r="A43" i="29" s="1"/>
  <c r="A44" i="29" s="1"/>
  <c r="A45" i="29" s="1"/>
  <c r="A46" i="29" s="1"/>
  <c r="A47" i="29" s="1"/>
  <c r="A48" i="29" s="1"/>
  <c r="A49" i="29" s="1"/>
  <c r="A50" i="29" s="1"/>
  <c r="A51" i="29" s="1"/>
  <c r="A52" i="29" s="1"/>
  <c r="A53" i="29" s="1"/>
  <c r="AG26" i="3" l="1"/>
  <c r="AG29" i="3" s="1"/>
  <c r="AG30" i="3" s="1"/>
  <c r="F20" i="51"/>
  <c r="F23" i="51" s="1"/>
  <c r="A6" i="28"/>
  <c r="A6" i="61"/>
  <c r="A5" i="60"/>
  <c r="E16" i="60" l="1"/>
  <c r="E19" i="60" s="1"/>
  <c r="E24" i="49" l="1"/>
  <c r="E21" i="8" l="1"/>
  <c r="F22" i="62"/>
  <c r="F34" i="62" s="1"/>
  <c r="E265" i="4" s="1"/>
  <c r="F36" i="62"/>
  <c r="E266" i="4" s="1"/>
  <c r="AC22" i="3" l="1"/>
  <c r="F38" i="62"/>
  <c r="E267" i="4" s="1"/>
  <c r="F18" i="62"/>
  <c r="F28" i="62" s="1"/>
  <c r="AC24" i="3" l="1"/>
  <c r="E20" i="8"/>
  <c r="E53" i="29"/>
  <c r="E39" i="29"/>
  <c r="E42" i="29" l="1"/>
  <c r="E43" i="29"/>
  <c r="E41" i="29" l="1"/>
  <c r="E17" i="29"/>
  <c r="E20" i="29" s="1"/>
  <c r="E21" i="29" l="1"/>
  <c r="E23" i="29" s="1"/>
  <c r="E40" i="29" l="1"/>
  <c r="E44" i="29" s="1"/>
  <c r="E29" i="29"/>
  <c r="E36" i="29" s="1"/>
  <c r="D50" i="75" l="1"/>
  <c r="D32" i="76" l="1"/>
  <c r="D31" i="75" l="1"/>
  <c r="D57" i="75" s="1"/>
  <c r="S45" i="70" l="1"/>
  <c r="R45" i="70"/>
  <c r="Q45" i="70"/>
  <c r="P45" i="70"/>
  <c r="O45" i="70"/>
  <c r="N45" i="70"/>
  <c r="M45" i="70"/>
  <c r="L45" i="70"/>
  <c r="K45" i="70"/>
  <c r="J45" i="70"/>
  <c r="I45" i="70"/>
  <c r="A6" i="62" l="1"/>
  <c r="A5" i="88"/>
  <c r="A5" i="78"/>
  <c r="A5" i="79"/>
  <c r="D16" i="79"/>
  <c r="D32" i="86" s="1"/>
  <c r="A5" i="77"/>
  <c r="A5" i="76"/>
  <c r="A5" i="75"/>
  <c r="A5" i="80"/>
  <c r="A5" i="73" l="1"/>
  <c r="A34" i="71"/>
  <c r="A5" i="71"/>
  <c r="S29" i="70"/>
  <c r="R29" i="70"/>
  <c r="Q29" i="70"/>
  <c r="P29" i="70"/>
  <c r="O29" i="70"/>
  <c r="N29" i="70"/>
  <c r="M29" i="70"/>
  <c r="L29" i="70"/>
  <c r="K29" i="70"/>
  <c r="J29" i="70"/>
  <c r="I29" i="70"/>
  <c r="A5" i="70"/>
  <c r="A5" i="69"/>
  <c r="A5" i="74"/>
  <c r="A20" i="72"/>
  <c r="A5" i="72"/>
  <c r="S53" i="69"/>
  <c r="R53" i="69"/>
  <c r="Q53" i="69"/>
  <c r="P53" i="69"/>
  <c r="O53" i="69"/>
  <c r="N53" i="69"/>
  <c r="M53" i="69"/>
  <c r="L53" i="69"/>
  <c r="K53" i="69"/>
  <c r="J53" i="69"/>
  <c r="I53" i="69"/>
  <c r="T29" i="70" l="1"/>
  <c r="E31" i="80"/>
  <c r="A6" i="65" l="1"/>
  <c r="A5" i="87" l="1"/>
  <c r="G39" i="80"/>
  <c r="A43" i="80"/>
  <c r="A44" i="80" s="1"/>
  <c r="A45" i="80" s="1"/>
  <c r="D29" i="77"/>
  <c r="A28" i="77"/>
  <c r="A29" i="77" s="1"/>
  <c r="A35" i="77" s="1"/>
  <c r="A39" i="77" s="1"/>
  <c r="D23" i="77"/>
  <c r="A36" i="76"/>
  <c r="A37" i="76" s="1"/>
  <c r="A38" i="76" s="1"/>
  <c r="A39" i="76" s="1"/>
  <c r="A40" i="76" s="1"/>
  <c r="A39" i="75"/>
  <c r="A40" i="75" s="1"/>
  <c r="S26" i="73"/>
  <c r="R26" i="73"/>
  <c r="Q26" i="73"/>
  <c r="P26" i="73"/>
  <c r="O26" i="73"/>
  <c r="N26" i="73"/>
  <c r="M26" i="73"/>
  <c r="L26" i="73"/>
  <c r="K26" i="73"/>
  <c r="J26" i="73"/>
  <c r="I26" i="73"/>
  <c r="H26" i="73"/>
  <c r="S20" i="73"/>
  <c r="R20" i="73"/>
  <c r="Q20" i="73"/>
  <c r="P20" i="73"/>
  <c r="O20" i="73"/>
  <c r="N20" i="73"/>
  <c r="M20" i="73"/>
  <c r="L20" i="73"/>
  <c r="K20" i="73"/>
  <c r="J20" i="73"/>
  <c r="I20" i="73"/>
  <c r="H20" i="73"/>
  <c r="S16" i="72"/>
  <c r="S20" i="72" s="1"/>
  <c r="R16" i="72"/>
  <c r="R20" i="72" s="1"/>
  <c r="Q16" i="72"/>
  <c r="Q20" i="72" s="1"/>
  <c r="P16" i="72"/>
  <c r="P20" i="72" s="1"/>
  <c r="O16" i="72"/>
  <c r="O20" i="72" s="1"/>
  <c r="N16" i="72"/>
  <c r="N20" i="72" s="1"/>
  <c r="M16" i="72"/>
  <c r="M20" i="72" s="1"/>
  <c r="L16" i="72"/>
  <c r="L20" i="72" s="1"/>
  <c r="K16" i="72"/>
  <c r="K20" i="72" s="1"/>
  <c r="J16" i="72"/>
  <c r="J20" i="72" s="1"/>
  <c r="I16" i="72"/>
  <c r="I20" i="72" s="1"/>
  <c r="H16" i="72"/>
  <c r="H20" i="72" s="1"/>
  <c r="S45" i="71"/>
  <c r="R45" i="71"/>
  <c r="Q45" i="71"/>
  <c r="P45" i="71"/>
  <c r="O45" i="71"/>
  <c r="N45" i="71"/>
  <c r="M45" i="71"/>
  <c r="L45" i="71"/>
  <c r="K45" i="71"/>
  <c r="J45" i="71"/>
  <c r="I45" i="71"/>
  <c r="H45" i="71"/>
  <c r="S38" i="71"/>
  <c r="R38" i="71"/>
  <c r="Q38" i="71"/>
  <c r="P38" i="71"/>
  <c r="O38" i="71"/>
  <c r="N38" i="71"/>
  <c r="M38" i="71"/>
  <c r="L38" i="71"/>
  <c r="K38" i="71"/>
  <c r="J38" i="71"/>
  <c r="I38" i="71"/>
  <c r="H38" i="71"/>
  <c r="A35" i="71"/>
  <c r="A36" i="71" s="1"/>
  <c r="A37" i="71" s="1"/>
  <c r="S51" i="70"/>
  <c r="S54" i="70" s="1"/>
  <c r="R51" i="70"/>
  <c r="R54" i="70" s="1"/>
  <c r="Q51" i="70"/>
  <c r="Q54" i="70" s="1"/>
  <c r="P51" i="70"/>
  <c r="P54" i="70" s="1"/>
  <c r="O51" i="70"/>
  <c r="O54" i="70" s="1"/>
  <c r="N51" i="70"/>
  <c r="N54" i="70" s="1"/>
  <c r="M51" i="70"/>
  <c r="M54" i="70" s="1"/>
  <c r="L51" i="70"/>
  <c r="L54" i="70" s="1"/>
  <c r="K51" i="70"/>
  <c r="K54" i="70" s="1"/>
  <c r="J51" i="70"/>
  <c r="J54" i="70" s="1"/>
  <c r="I51" i="70"/>
  <c r="I54" i="70" s="1"/>
  <c r="H51" i="70"/>
  <c r="H54" i="70" s="1"/>
  <c r="A34" i="70"/>
  <c r="G60" i="80"/>
  <c r="S37" i="69"/>
  <c r="R37" i="69"/>
  <c r="R61" i="69" s="1"/>
  <c r="Q37" i="69"/>
  <c r="P37" i="69"/>
  <c r="O37" i="69"/>
  <c r="N37" i="69"/>
  <c r="M37" i="69"/>
  <c r="L37" i="69"/>
  <c r="K37" i="69"/>
  <c r="J37" i="69"/>
  <c r="I37" i="69"/>
  <c r="H37" i="69"/>
  <c r="A34" i="69"/>
  <c r="A35" i="69" s="1"/>
  <c r="N52" i="71" l="1"/>
  <c r="L34" i="73"/>
  <c r="R34" i="73"/>
  <c r="N34" i="73"/>
  <c r="M52" i="71"/>
  <c r="O52" i="71"/>
  <c r="S34" i="73"/>
  <c r="K34" i="73"/>
  <c r="L52" i="71"/>
  <c r="J34" i="73"/>
  <c r="Q52" i="71"/>
  <c r="R52" i="71"/>
  <c r="J52" i="71"/>
  <c r="I34" i="73"/>
  <c r="H34" i="73"/>
  <c r="K52" i="71"/>
  <c r="M34" i="73"/>
  <c r="O34" i="73"/>
  <c r="Q34" i="73"/>
  <c r="S52" i="71"/>
  <c r="I52" i="71"/>
  <c r="D39" i="77"/>
  <c r="A35" i="70"/>
  <c r="A36" i="70" s="1"/>
  <c r="A37" i="70" s="1"/>
  <c r="A38" i="70" s="1"/>
  <c r="A39" i="70" s="1"/>
  <c r="A40" i="70" s="1"/>
  <c r="A41" i="70" s="1"/>
  <c r="A42" i="70" s="1"/>
  <c r="A43" i="70" s="1"/>
  <c r="A44" i="70" s="1"/>
  <c r="A45" i="70" s="1"/>
  <c r="A49" i="70" s="1"/>
  <c r="A50" i="70" s="1"/>
  <c r="A51" i="70" s="1"/>
  <c r="A54" i="70" s="1"/>
  <c r="P52" i="71"/>
  <c r="A38" i="71"/>
  <c r="A42" i="71" s="1"/>
  <c r="A43" i="71" s="1"/>
  <c r="A44" i="71" s="1"/>
  <c r="A45" i="71" s="1"/>
  <c r="H52" i="71"/>
  <c r="P34" i="73"/>
  <c r="A41" i="75"/>
  <c r="A42" i="75" s="1"/>
  <c r="A43" i="75" s="1"/>
  <c r="A44" i="75" s="1"/>
  <c r="A45" i="75" s="1"/>
  <c r="A46" i="75" s="1"/>
  <c r="A47" i="75" s="1"/>
  <c r="A48" i="75" s="1"/>
  <c r="A49" i="75" s="1"/>
  <c r="A50" i="75" s="1"/>
  <c r="A41" i="76"/>
  <c r="A45" i="76" s="1"/>
  <c r="A46" i="76" s="1"/>
  <c r="A47" i="76" s="1"/>
  <c r="A48" i="76" s="1"/>
  <c r="A46" i="80"/>
  <c r="A47" i="80" s="1"/>
  <c r="A48" i="80" s="1"/>
  <c r="A49" i="80" s="1"/>
  <c r="A50" i="80" s="1"/>
  <c r="A51" i="80" s="1"/>
  <c r="A52" i="80" s="1"/>
  <c r="A53" i="80" s="1"/>
  <c r="A54" i="80" s="1"/>
  <c r="A55" i="80" s="1"/>
  <c r="A59" i="80" s="1"/>
  <c r="H61" i="69"/>
  <c r="J61" i="69"/>
  <c r="E55" i="80"/>
  <c r="A36" i="69"/>
  <c r="L61" i="69"/>
  <c r="N61" i="69"/>
  <c r="P61" i="69"/>
  <c r="T53" i="69"/>
  <c r="T16" i="72"/>
  <c r="T20" i="72" s="1"/>
  <c r="D13" i="86" s="1"/>
  <c r="T51" i="70"/>
  <c r="T54" i="70" s="1"/>
  <c r="T26" i="73"/>
  <c r="T34" i="73" s="1"/>
  <c r="K61" i="69"/>
  <c r="O61" i="69"/>
  <c r="S61" i="69"/>
  <c r="I61" i="69"/>
  <c r="M61" i="69"/>
  <c r="Q61" i="69"/>
  <c r="T38" i="71"/>
  <c r="T45" i="71"/>
  <c r="E60" i="80"/>
  <c r="E39" i="80"/>
  <c r="T37" i="69"/>
  <c r="D56" i="76"/>
  <c r="D28" i="86" s="1"/>
  <c r="T52" i="71" l="1"/>
  <c r="D18" i="86" s="1"/>
  <c r="A60" i="80"/>
  <c r="A63" i="80" s="1"/>
  <c r="A37" i="69"/>
  <c r="A41" i="69" s="1"/>
  <c r="A42" i="69" s="1"/>
  <c r="A43" i="69" s="1"/>
  <c r="A44" i="69" s="1"/>
  <c r="A45" i="69" s="1"/>
  <c r="A46" i="69" s="1"/>
  <c r="A47" i="69" s="1"/>
  <c r="A48" i="69" s="1"/>
  <c r="T61" i="69"/>
  <c r="D10" i="86" s="1"/>
  <c r="D17" i="86"/>
  <c r="D29" i="86"/>
  <c r="G31" i="80"/>
  <c r="G55" i="80"/>
  <c r="A49" i="69" l="1"/>
  <c r="A50" i="69" s="1"/>
  <c r="A51" i="69" s="1"/>
  <c r="A52" i="69" s="1"/>
  <c r="A53" i="69" s="1"/>
  <c r="A57" i="69" s="1"/>
  <c r="D19" i="78"/>
  <c r="D33" i="86" s="1"/>
  <c r="E63" i="80"/>
  <c r="G63" i="80"/>
  <c r="D24" i="86" s="1"/>
  <c r="E19" i="88"/>
  <c r="F14" i="68"/>
  <c r="F18" i="68" s="1"/>
  <c r="F21" i="68" s="1"/>
  <c r="E172" i="4" s="1"/>
  <c r="A6" i="68"/>
  <c r="A15" i="55"/>
  <c r="A16" i="55" s="1"/>
  <c r="A17" i="55" s="1"/>
  <c r="A18" i="55" s="1"/>
  <c r="A19" i="55" s="1"/>
  <c r="A20" i="55" s="1"/>
  <c r="A21" i="55" s="1"/>
  <c r="A22" i="55" s="1"/>
  <c r="A23" i="55" s="1"/>
  <c r="A24" i="55" s="1"/>
  <c r="E21" i="87" l="1"/>
  <c r="E22" i="88"/>
  <c r="A58" i="69"/>
  <c r="A61" i="69" s="1"/>
  <c r="E174" i="4"/>
  <c r="G19" i="88" l="1"/>
  <c r="G22" i="88" s="1"/>
  <c r="F19" i="88"/>
  <c r="F22" i="88" s="1"/>
  <c r="A11" i="66"/>
  <c r="A12" i="66" s="1"/>
  <c r="A13" i="66" s="1"/>
  <c r="A14" i="66" s="1"/>
  <c r="A15" i="66" s="1"/>
  <c r="A16" i="66" s="1"/>
  <c r="A17" i="66" s="1"/>
  <c r="A18" i="66" s="1"/>
  <c r="A19" i="66" l="1"/>
  <c r="A20" i="66" s="1"/>
  <c r="A21" i="66" s="1"/>
  <c r="A22" i="66" s="1"/>
  <c r="A23" i="66" s="1"/>
  <c r="A24" i="66" s="1"/>
  <c r="A25" i="66" s="1"/>
  <c r="A26" i="66" s="1"/>
  <c r="A27" i="66" s="1"/>
  <c r="A28" i="66" s="1"/>
  <c r="A29" i="66" s="1"/>
  <c r="A30" i="66" s="1"/>
  <c r="G21" i="87"/>
  <c r="F21" i="87"/>
  <c r="H19" i="88"/>
  <c r="H22" i="88" s="1"/>
  <c r="H21" i="87" l="1"/>
  <c r="I19" i="88"/>
  <c r="I22" i="88" s="1"/>
  <c r="A15" i="65"/>
  <c r="A16" i="65" s="1"/>
  <c r="A17" i="65" s="1"/>
  <c r="A18" i="65" s="1"/>
  <c r="A19" i="65" s="1"/>
  <c r="A20" i="65" s="1"/>
  <c r="A21" i="65" s="1"/>
  <c r="A22" i="65" s="1"/>
  <c r="A23" i="65" s="1"/>
  <c r="A24" i="65" s="1"/>
  <c r="A25" i="65" s="1"/>
  <c r="A26" i="65" s="1"/>
  <c r="A27" i="65" s="1"/>
  <c r="A28" i="65" s="1"/>
  <c r="A29" i="65" s="1"/>
  <c r="A30" i="65" l="1"/>
  <c r="A31" i="65" s="1"/>
  <c r="A32" i="65" s="1"/>
  <c r="A33" i="65" s="1"/>
  <c r="A34" i="65" s="1"/>
  <c r="A35" i="65" s="1"/>
  <c r="A36" i="65" s="1"/>
  <c r="A37" i="65" s="1"/>
  <c r="A38" i="65" s="1"/>
  <c r="A39" i="65" s="1"/>
  <c r="A40" i="65" s="1"/>
  <c r="A41" i="65" s="1"/>
  <c r="A42" i="65" s="1"/>
  <c r="A43" i="65" s="1"/>
  <c r="A44" i="65" s="1"/>
  <c r="A45" i="65" s="1"/>
  <c r="A46" i="65" s="1"/>
  <c r="A47" i="65" s="1"/>
  <c r="A48" i="65" s="1"/>
  <c r="A49" i="65" s="1"/>
  <c r="A50" i="65" s="1"/>
  <c r="A51" i="65" s="1"/>
  <c r="I21" i="87"/>
  <c r="J19" i="88"/>
  <c r="J22" i="88" s="1"/>
  <c r="A7" i="29"/>
  <c r="J21" i="87" l="1"/>
  <c r="K19" i="88"/>
  <c r="K22" i="88" s="1"/>
  <c r="K21" i="87" l="1"/>
  <c r="L19" i="88"/>
  <c r="L22" i="88" s="1"/>
  <c r="G24" i="58"/>
  <c r="E24" i="58"/>
  <c r="M19" i="88" l="1"/>
  <c r="M22" i="88" s="1"/>
  <c r="L21" i="87"/>
  <c r="E240" i="4"/>
  <c r="E242" i="4" s="1"/>
  <c r="M21" i="87" l="1"/>
  <c r="AA24" i="3"/>
  <c r="N19" i="88"/>
  <c r="N22" i="88" s="1"/>
  <c r="A230" i="4"/>
  <c r="A227" i="4"/>
  <c r="A13" i="62"/>
  <c r="A14" i="62" s="1"/>
  <c r="A15" i="62" s="1"/>
  <c r="A16" i="62" s="1"/>
  <c r="A17" i="62" s="1"/>
  <c r="A18" i="62" s="1"/>
  <c r="A19" i="62" s="1"/>
  <c r="A20" i="62" s="1"/>
  <c r="A21" i="62" s="1"/>
  <c r="A22" i="62" s="1"/>
  <c r="A23" i="62" s="1"/>
  <c r="A24" i="62" s="1"/>
  <c r="A25" i="62" s="1"/>
  <c r="A26" i="62" s="1"/>
  <c r="A27" i="62" s="1"/>
  <c r="A28" i="62" s="1"/>
  <c r="A29" i="62" s="1"/>
  <c r="A30" i="62" s="1"/>
  <c r="A31" i="62" s="1"/>
  <c r="A32" i="62" s="1"/>
  <c r="A33" i="62" s="1"/>
  <c r="A34" i="62" s="1"/>
  <c r="A35" i="62" s="1"/>
  <c r="A36" i="62" s="1"/>
  <c r="A37" i="62" s="1"/>
  <c r="A38" i="62" s="1"/>
  <c r="A260" i="4"/>
  <c r="A261" i="4" s="1"/>
  <c r="A264" i="4"/>
  <c r="A265" i="4" s="1"/>
  <c r="A266" i="4" s="1"/>
  <c r="A267" i="4" s="1"/>
  <c r="A251" i="4"/>
  <c r="A248" i="4"/>
  <c r="N21" i="87" l="1"/>
  <c r="O19" i="88"/>
  <c r="O22" i="88" s="1"/>
  <c r="AC21" i="3"/>
  <c r="F32" i="62"/>
  <c r="E261" i="4" s="1"/>
  <c r="E270" i="4" s="1"/>
  <c r="A13" i="61"/>
  <c r="A14" i="61" s="1"/>
  <c r="A15" i="61" s="1"/>
  <c r="A16" i="61" s="1"/>
  <c r="A17" i="61" s="1"/>
  <c r="O21" i="87" l="1"/>
  <c r="P19" i="88"/>
  <c r="P22" i="88" s="1"/>
  <c r="Q19" i="88"/>
  <c r="Q22" i="88" s="1"/>
  <c r="D19" i="86"/>
  <c r="D14" i="86"/>
  <c r="AC26" i="3"/>
  <c r="AC16" i="3"/>
  <c r="AA18" i="3" l="1"/>
  <c r="D21" i="86"/>
  <c r="P21" i="87"/>
  <c r="Q21" i="87"/>
  <c r="E15" i="89" s="1"/>
  <c r="E24" i="55"/>
  <c r="AA26" i="3" l="1"/>
  <c r="AA29" i="3" s="1"/>
  <c r="AA30" i="3" s="1"/>
  <c r="E13" i="89"/>
  <c r="A15" i="60"/>
  <c r="A16" i="60" s="1"/>
  <c r="A2" i="60"/>
  <c r="E17" i="89" l="1"/>
  <c r="F15" i="89" s="1"/>
  <c r="H15" i="89" s="1"/>
  <c r="F13" i="89" l="1"/>
  <c r="F17" i="89" l="1"/>
  <c r="L40" i="49"/>
  <c r="L41" i="49" s="1"/>
  <c r="K33" i="49"/>
  <c r="L30" i="49"/>
  <c r="L33" i="49" s="1"/>
  <c r="K24" i="49"/>
  <c r="J37" i="49"/>
  <c r="H37" i="49"/>
  <c r="H40" i="49" s="1"/>
  <c r="J47" i="49"/>
  <c r="N40" i="49"/>
  <c r="N41" i="49" s="1"/>
  <c r="N30" i="49"/>
  <c r="M33" i="49"/>
  <c r="I33" i="49"/>
  <c r="H30" i="49"/>
  <c r="H33" i="49" s="1"/>
  <c r="J50" i="49" l="1"/>
  <c r="J49" i="49"/>
  <c r="K40" i="49"/>
  <c r="K41" i="49" s="1"/>
  <c r="K50" i="49"/>
  <c r="K49" i="49"/>
  <c r="L47" i="49"/>
  <c r="L50" i="49" s="1"/>
  <c r="L34" i="49"/>
  <c r="H47" i="49"/>
  <c r="H50" i="49" s="1"/>
  <c r="I34" i="49"/>
  <c r="G33" i="49"/>
  <c r="G34" i="49" s="1"/>
  <c r="N33" i="49"/>
  <c r="E33" i="49"/>
  <c r="K47" i="49" l="1"/>
  <c r="H49" i="49"/>
  <c r="L49" i="49"/>
  <c r="O33" i="49"/>
  <c r="N47" i="49"/>
  <c r="N50" i="49" s="1"/>
  <c r="N34" i="49"/>
  <c r="E34" i="49"/>
  <c r="O34" i="49" l="1"/>
  <c r="A125" i="4"/>
  <c r="A126" i="4" s="1"/>
  <c r="A6" i="58"/>
  <c r="A78" i="58" s="1"/>
  <c r="G96" i="58"/>
  <c r="G16" i="58" s="1"/>
  <c r="E96" i="58"/>
  <c r="E16" i="58" s="1"/>
  <c r="E27" i="58" s="1"/>
  <c r="G67" i="58"/>
  <c r="G68" i="58" s="1"/>
  <c r="G69" i="58" s="1"/>
  <c r="E67" i="58"/>
  <c r="E68" i="58" s="1"/>
  <c r="E69" i="58" s="1"/>
  <c r="G13" i="58"/>
  <c r="A13" i="58"/>
  <c r="A14" i="58" s="1"/>
  <c r="A16" i="58" s="1"/>
  <c r="A18" i="58" s="1"/>
  <c r="A19" i="58" s="1"/>
  <c r="A20" i="58" s="1"/>
  <c r="A21" i="58" s="1"/>
  <c r="A22" i="58" s="1"/>
  <c r="A23" i="58" l="1"/>
  <c r="A24" i="58" s="1"/>
  <c r="A26" i="58" s="1"/>
  <c r="A27" i="58" s="1"/>
  <c r="A29" i="58" s="1"/>
  <c r="A30" i="58" s="1"/>
  <c r="A32" i="58" s="1"/>
  <c r="A33" i="58" s="1"/>
  <c r="A34" i="58" s="1"/>
  <c r="A36" i="58" s="1"/>
  <c r="A37" i="58" s="1"/>
  <c r="A38" i="58" s="1"/>
  <c r="A41" i="58" s="1"/>
  <c r="A49" i="58"/>
  <c r="E12" i="58"/>
  <c r="E14" i="58" s="1"/>
  <c r="G12" i="58"/>
  <c r="G30" i="58" s="1"/>
  <c r="G33" i="58" s="1"/>
  <c r="G27" i="58"/>
  <c r="G34" i="58" l="1"/>
  <c r="G38" i="58" s="1"/>
  <c r="G37" i="58"/>
  <c r="E30" i="58"/>
  <c r="E33" i="58" s="1"/>
  <c r="E37" i="58" s="1"/>
  <c r="G14" i="58"/>
  <c r="E34" i="58" l="1"/>
  <c r="E38" i="58" s="1"/>
  <c r="E41" i="58" s="1"/>
  <c r="E126" i="4" l="1"/>
  <c r="A6" i="57"/>
  <c r="A13" i="57"/>
  <c r="A14" i="57" s="1"/>
  <c r="A15" i="57" s="1"/>
  <c r="A16" i="57" s="1"/>
  <c r="A6" i="49"/>
  <c r="A6" i="55"/>
  <c r="A6" i="54"/>
  <c r="F19" i="38"/>
  <c r="F18" i="38"/>
  <c r="F17" i="38"/>
  <c r="L19" i="39"/>
  <c r="J19" i="39"/>
  <c r="L17" i="39"/>
  <c r="L15" i="39"/>
  <c r="H33" i="39"/>
  <c r="H25" i="39"/>
  <c r="A15" i="39"/>
  <c r="A16" i="39" s="1"/>
  <c r="A17" i="39" s="1"/>
  <c r="A18" i="39" s="1"/>
  <c r="A19" i="39" s="1"/>
  <c r="A20" i="39" s="1"/>
  <c r="A21" i="39" s="1"/>
  <c r="A22" i="39" s="1"/>
  <c r="A23" i="39" s="1"/>
  <c r="A24" i="39" s="1"/>
  <c r="A25" i="39" s="1"/>
  <c r="A26" i="39" s="1"/>
  <c r="A27" i="39" s="1"/>
  <c r="A28" i="39" s="1"/>
  <c r="A29" i="39" s="1"/>
  <c r="A30" i="39" s="1"/>
  <c r="A31" i="39" s="1"/>
  <c r="A32" i="39" s="1"/>
  <c r="A33" i="39" s="1"/>
  <c r="A34" i="39" s="1"/>
  <c r="A35" i="39" s="1"/>
  <c r="A36" i="39" s="1"/>
  <c r="A37" i="39" s="1"/>
  <c r="A38" i="39" s="1"/>
  <c r="A39" i="39" s="1"/>
  <c r="A40" i="39" s="1"/>
  <c r="A41" i="39" s="1"/>
  <c r="A42" i="39" s="1"/>
  <c r="A43" i="39" s="1"/>
  <c r="E128" i="4" l="1"/>
  <c r="Q16" i="3"/>
  <c r="H41" i="39"/>
  <c r="J42" i="39" s="1"/>
  <c r="L43" i="39" s="1"/>
  <c r="F14" i="38" s="1"/>
  <c r="E217" i="4"/>
  <c r="J26" i="39"/>
  <c r="L27" i="39" s="1"/>
  <c r="F12" i="38" s="1"/>
  <c r="J34" i="39"/>
  <c r="F20" i="38"/>
  <c r="A30" i="8"/>
  <c r="E22" i="8"/>
  <c r="L35" i="39" l="1"/>
  <c r="F13" i="38" s="1"/>
  <c r="E219" i="4"/>
  <c r="E15" i="8"/>
  <c r="A69" i="4" l="1"/>
  <c r="A72" i="4"/>
  <c r="A81" i="4"/>
  <c r="A82" i="4" s="1"/>
  <c r="A84" i="4" s="1"/>
  <c r="A91" i="4"/>
  <c r="A94" i="4"/>
  <c r="A103" i="4"/>
  <c r="A104" i="4" s="1"/>
  <c r="A106" i="4" s="1"/>
  <c r="F16" i="51" l="1"/>
  <c r="A14" i="54"/>
  <c r="A15" i="54" s="1"/>
  <c r="A19" i="54"/>
  <c r="E60" i="4"/>
  <c r="E62" i="4" s="1"/>
  <c r="F14" i="15"/>
  <c r="A6" i="51"/>
  <c r="A6" i="39"/>
  <c r="A6" i="38"/>
  <c r="A6" i="15"/>
  <c r="A6" i="8"/>
  <c r="A6" i="4"/>
  <c r="I21" i="4"/>
  <c r="E21" i="3"/>
  <c r="U26" i="3"/>
  <c r="E19" i="28"/>
  <c r="E195" i="4" s="1"/>
  <c r="E197" i="4" s="1"/>
  <c r="U22" i="3"/>
  <c r="E27" i="3"/>
  <c r="G26" i="2" s="1"/>
  <c r="I26" i="2" s="1"/>
  <c r="M26" i="2" s="1"/>
  <c r="E28" i="3"/>
  <c r="G27" i="2" s="1"/>
  <c r="I27" i="2" s="1"/>
  <c r="M27" i="2" s="1"/>
  <c r="E25" i="3"/>
  <c r="A15" i="8"/>
  <c r="A17" i="8" s="1"/>
  <c r="A18" i="8" s="1"/>
  <c r="A20" i="8" s="1"/>
  <c r="A291" i="4"/>
  <c r="A292" i="4" s="1"/>
  <c r="A294" i="4" s="1"/>
  <c r="A282" i="4"/>
  <c r="A279" i="4"/>
  <c r="AE18" i="3"/>
  <c r="A16" i="1"/>
  <c r="A18" i="1" s="1"/>
  <c r="A20" i="1" s="1"/>
  <c r="A22" i="1" s="1"/>
  <c r="A24" i="1" s="1"/>
  <c r="A25" i="1" s="1"/>
  <c r="A27" i="1" s="1"/>
  <c r="A29" i="1" s="1"/>
  <c r="A31" i="1" s="1"/>
  <c r="A33" i="1" s="1"/>
  <c r="A35" i="1" s="1"/>
  <c r="A37" i="1" s="1"/>
  <c r="A16" i="49"/>
  <c r="A17" i="49" s="1"/>
  <c r="A18" i="49" s="1"/>
  <c r="A19" i="49" s="1"/>
  <c r="A20" i="49" s="1"/>
  <c r="A21" i="49" s="1"/>
  <c r="A22" i="49" s="1"/>
  <c r="A23" i="49" s="1"/>
  <c r="A24" i="49" s="1"/>
  <c r="A26" i="49" s="1"/>
  <c r="A30" i="49" s="1"/>
  <c r="A31" i="49" s="1"/>
  <c r="A32" i="49" s="1"/>
  <c r="A33" i="49" s="1"/>
  <c r="A34" i="49" s="1"/>
  <c r="A37" i="49" s="1"/>
  <c r="A38" i="49" s="1"/>
  <c r="A39" i="49" s="1"/>
  <c r="A40" i="49" s="1"/>
  <c r="A41" i="49" s="1"/>
  <c r="A43" i="49" s="1"/>
  <c r="A44" i="49" s="1"/>
  <c r="A49" i="49" s="1"/>
  <c r="A50" i="49" s="1"/>
  <c r="M24" i="49"/>
  <c r="M37" i="49" s="1"/>
  <c r="I24" i="49"/>
  <c r="G24" i="49"/>
  <c r="AC18" i="3"/>
  <c r="A13" i="38"/>
  <c r="A14" i="38" s="1"/>
  <c r="A15" i="38" s="1"/>
  <c r="A16" i="38" s="1"/>
  <c r="A17" i="38" s="1"/>
  <c r="A18" i="38" s="1"/>
  <c r="A19" i="38" s="1"/>
  <c r="A20" i="38" s="1"/>
  <c r="A21" i="38" s="1"/>
  <c r="A6" i="3"/>
  <c r="A5" i="2"/>
  <c r="A216" i="4"/>
  <c r="A217" i="4" s="1"/>
  <c r="A219" i="4" s="1"/>
  <c r="A207" i="4"/>
  <c r="A204" i="4"/>
  <c r="A194" i="4"/>
  <c r="A195" i="4" s="1"/>
  <c r="A197" i="4" s="1"/>
  <c r="A185" i="4"/>
  <c r="A182" i="4"/>
  <c r="A171" i="4"/>
  <c r="A172" i="4" s="1"/>
  <c r="A174" i="4" s="1"/>
  <c r="A163" i="4"/>
  <c r="A160" i="4"/>
  <c r="A116" i="4"/>
  <c r="A113" i="4"/>
  <c r="A59" i="4"/>
  <c r="A60" i="4" s="1"/>
  <c r="A62" i="4" s="1"/>
  <c r="A50" i="4"/>
  <c r="A47" i="4"/>
  <c r="A33" i="4"/>
  <c r="A34" i="4" s="1"/>
  <c r="A36" i="4" s="1"/>
  <c r="A37" i="4" s="1"/>
  <c r="A39" i="4" s="1"/>
  <c r="A24" i="4"/>
  <c r="A21" i="4"/>
  <c r="A14" i="4"/>
  <c r="A15" i="4" s="1"/>
  <c r="Q18" i="3"/>
  <c r="A16" i="3"/>
  <c r="A17" i="3" s="1"/>
  <c r="A18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Y18" i="3"/>
  <c r="U18" i="3"/>
  <c r="S18" i="3"/>
  <c r="O18" i="3"/>
  <c r="G18" i="3"/>
  <c r="I18" i="3"/>
  <c r="M18" i="3"/>
  <c r="A16" i="2"/>
  <c r="A17" i="2" s="1"/>
  <c r="A18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E28" i="2"/>
  <c r="A13" i="15"/>
  <c r="A14" i="15" s="1"/>
  <c r="A15" i="28"/>
  <c r="A16" i="28" s="1"/>
  <c r="A17" i="28" s="1"/>
  <c r="A19" i="28" s="1"/>
  <c r="A306" i="4" l="1"/>
  <c r="A139" i="4"/>
  <c r="A302" i="4"/>
  <c r="A135" i="4"/>
  <c r="I47" i="4"/>
  <c r="I69" i="4" s="1"/>
  <c r="I91" i="4" s="1"/>
  <c r="A21" i="8"/>
  <c r="A22" i="8" s="1"/>
  <c r="A24" i="8" s="1"/>
  <c r="I40" i="49"/>
  <c r="I41" i="49" s="1"/>
  <c r="I50" i="49"/>
  <c r="I49" i="49"/>
  <c r="E50" i="49"/>
  <c r="E49" i="49"/>
  <c r="G50" i="49"/>
  <c r="G49" i="49"/>
  <c r="A232" i="4"/>
  <c r="A253" i="4"/>
  <c r="A228" i="4"/>
  <c r="A249" i="4"/>
  <c r="A161" i="4"/>
  <c r="A22" i="38"/>
  <c r="A23" i="38" s="1"/>
  <c r="A24" i="38" s="1"/>
  <c r="A25" i="38" s="1"/>
  <c r="A26" i="38" s="1"/>
  <c r="A27" i="38" s="1"/>
  <c r="E104" i="4"/>
  <c r="E106" i="4" s="1"/>
  <c r="A16" i="15"/>
  <c r="A17" i="15" s="1"/>
  <c r="A19" i="15" s="1"/>
  <c r="A21" i="15" s="1"/>
  <c r="E40" i="49"/>
  <c r="E47" i="49" s="1"/>
  <c r="G40" i="49"/>
  <c r="G47" i="49" s="1"/>
  <c r="M40" i="49"/>
  <c r="E292" i="4"/>
  <c r="E294" i="4" s="1"/>
  <c r="A70" i="4"/>
  <c r="A92" i="4"/>
  <c r="A74" i="4"/>
  <c r="A96" i="4"/>
  <c r="A205" i="4"/>
  <c r="U29" i="3"/>
  <c r="U30" i="3" s="1"/>
  <c r="A118" i="4"/>
  <c r="A26" i="4"/>
  <c r="A48" i="4"/>
  <c r="A114" i="4"/>
  <c r="A209" i="4"/>
  <c r="A52" i="4"/>
  <c r="O26" i="49"/>
  <c r="A280" i="4"/>
  <c r="W17" i="3"/>
  <c r="E17" i="3" s="1"/>
  <c r="G17" i="2" s="1"/>
  <c r="A165" i="4"/>
  <c r="A187" i="4"/>
  <c r="A284" i="4"/>
  <c r="S29" i="3"/>
  <c r="S30" i="3" s="1"/>
  <c r="K16" i="3"/>
  <c r="A22" i="4"/>
  <c r="A183" i="4"/>
  <c r="E41" i="49" l="1"/>
  <c r="I113" i="4"/>
  <c r="I134" i="4" s="1"/>
  <c r="I160" i="4" s="1"/>
  <c r="I182" i="4" s="1"/>
  <c r="I204" i="4" s="1"/>
  <c r="I227" i="4" s="1"/>
  <c r="I248" i="4" s="1"/>
  <c r="I279" i="4" s="1"/>
  <c r="I301" i="4" s="1"/>
  <c r="I47" i="49"/>
  <c r="W26" i="3"/>
  <c r="W29" i="3" s="1"/>
  <c r="AE22" i="3"/>
  <c r="O40" i="49"/>
  <c r="O47" i="49" s="1"/>
  <c r="Q26" i="3"/>
  <c r="Q29" i="3" s="1"/>
  <c r="Q30" i="3" s="1"/>
  <c r="A22" i="15"/>
  <c r="A23" i="15" s="1"/>
  <c r="A25" i="15" s="1"/>
  <c r="A26" i="15" s="1"/>
  <c r="A27" i="15" s="1"/>
  <c r="A29" i="15" s="1"/>
  <c r="A30" i="15" s="1"/>
  <c r="A31" i="15" s="1"/>
  <c r="A32" i="15" s="1"/>
  <c r="A33" i="15" s="1"/>
  <c r="A35" i="15" s="1"/>
  <c r="A36" i="15" s="1"/>
  <c r="A37" i="15" s="1"/>
  <c r="A38" i="15" s="1"/>
  <c r="A39" i="15" s="1"/>
  <c r="A41" i="15" s="1"/>
  <c r="A42" i="15" s="1"/>
  <c r="A43" i="15" s="1"/>
  <c r="A44" i="15" s="1"/>
  <c r="A45" i="15" s="1"/>
  <c r="A47" i="15" s="1"/>
  <c r="A48" i="15" s="1"/>
  <c r="G41" i="49"/>
  <c r="M47" i="49"/>
  <c r="M26" i="49"/>
  <c r="K26" i="49"/>
  <c r="D33" i="15" s="1"/>
  <c r="E26" i="49"/>
  <c r="D30" i="15" s="1"/>
  <c r="G26" i="49"/>
  <c r="D31" i="15" s="1"/>
  <c r="I26" i="49"/>
  <c r="D32" i="15" s="1"/>
  <c r="W18" i="3"/>
  <c r="F15" i="38"/>
  <c r="F22" i="38" s="1"/>
  <c r="K26" i="3"/>
  <c r="K29" i="3" s="1"/>
  <c r="I17" i="2"/>
  <c r="M17" i="2" s="1"/>
  <c r="E18" i="2"/>
  <c r="E29" i="2" s="1"/>
  <c r="E16" i="3"/>
  <c r="K18" i="3"/>
  <c r="O41" i="49" l="1"/>
  <c r="F19" i="15" s="1"/>
  <c r="F22" i="15" s="1"/>
  <c r="W30" i="3"/>
  <c r="AE26" i="3"/>
  <c r="AE29" i="3" s="1"/>
  <c r="AE30" i="3" s="1"/>
  <c r="D38" i="15"/>
  <c r="D44" i="15"/>
  <c r="D37" i="15"/>
  <c r="D43" i="15"/>
  <c r="D36" i="15"/>
  <c r="D42" i="15"/>
  <c r="D26" i="15"/>
  <c r="D25" i="15"/>
  <c r="D27" i="15"/>
  <c r="D39" i="15"/>
  <c r="D45" i="15"/>
  <c r="A50" i="15"/>
  <c r="A51" i="15" s="1"/>
  <c r="A53" i="15" s="1"/>
  <c r="A54" i="15" s="1"/>
  <c r="A55" i="15" s="1"/>
  <c r="A56" i="15" s="1"/>
  <c r="A57" i="15" s="1"/>
  <c r="K30" i="3"/>
  <c r="G16" i="2"/>
  <c r="E18" i="3"/>
  <c r="O23" i="3"/>
  <c r="E23" i="3" s="1"/>
  <c r="G22" i="2" s="1"/>
  <c r="I22" i="2" s="1"/>
  <c r="M22" i="2" s="1"/>
  <c r="AC29" i="3"/>
  <c r="AC30" i="3" s="1"/>
  <c r="F26" i="15" l="1"/>
  <c r="F36" i="15" s="1"/>
  <c r="F23" i="38"/>
  <c r="F24" i="38" s="1"/>
  <c r="F27" i="38" s="1"/>
  <c r="E82" i="4" s="1"/>
  <c r="E84" i="4" s="1"/>
  <c r="F21" i="15"/>
  <c r="F23" i="15"/>
  <c r="F27" i="15" s="1"/>
  <c r="Y22" i="3"/>
  <c r="G18" i="2"/>
  <c r="I16" i="2"/>
  <c r="O26" i="3"/>
  <c r="F25" i="15" l="1"/>
  <c r="F32" i="15" s="1"/>
  <c r="F48" i="15" s="1"/>
  <c r="E51" i="65" s="1"/>
  <c r="E27" i="65" s="1"/>
  <c r="H27" i="65" s="1"/>
  <c r="M22" i="3"/>
  <c r="Y26" i="3"/>
  <c r="Y29" i="3" s="1"/>
  <c r="Y30" i="3" s="1"/>
  <c r="F38" i="15"/>
  <c r="F51" i="15" s="1"/>
  <c r="F37" i="15"/>
  <c r="F39" i="15"/>
  <c r="F45" i="15"/>
  <c r="F42" i="15"/>
  <c r="F44" i="15"/>
  <c r="F43" i="15"/>
  <c r="M26" i="3"/>
  <c r="O29" i="3"/>
  <c r="O30" i="3" s="1"/>
  <c r="I18" i="2"/>
  <c r="F33" i="15" l="1"/>
  <c r="F30" i="15"/>
  <c r="F31" i="15"/>
  <c r="F46" i="65"/>
  <c r="F51" i="65" s="1"/>
  <c r="E15" i="65"/>
  <c r="H15" i="65" s="1"/>
  <c r="E44" i="65"/>
  <c r="F56" i="15"/>
  <c r="F55" i="15"/>
  <c r="F54" i="15"/>
  <c r="M29" i="3"/>
  <c r="M30" i="3" s="1"/>
  <c r="E42" i="65"/>
  <c r="H42" i="65" s="1"/>
  <c r="E18" i="65"/>
  <c r="H18" i="65" s="1"/>
  <c r="E35" i="65"/>
  <c r="H35" i="65" s="1"/>
  <c r="E17" i="65"/>
  <c r="H17" i="65" s="1"/>
  <c r="E19" i="65"/>
  <c r="H19" i="65" s="1"/>
  <c r="E36" i="65"/>
  <c r="H36" i="65" s="1"/>
  <c r="E25" i="65"/>
  <c r="H25" i="65" s="1"/>
  <c r="E29" i="65"/>
  <c r="H29" i="65" s="1"/>
  <c r="E45" i="65"/>
  <c r="H45" i="65" s="1"/>
  <c r="E21" i="65"/>
  <c r="H21" i="65" s="1"/>
  <c r="E22" i="65"/>
  <c r="H22" i="65" s="1"/>
  <c r="E39" i="65"/>
  <c r="H39" i="65" s="1"/>
  <c r="E34" i="65"/>
  <c r="H34" i="65" s="1"/>
  <c r="E23" i="65"/>
  <c r="H23" i="65" s="1"/>
  <c r="E40" i="65"/>
  <c r="H40" i="65" s="1"/>
  <c r="E16" i="65"/>
  <c r="H16" i="65" s="1"/>
  <c r="E33" i="65"/>
  <c r="H33" i="65" s="1"/>
  <c r="E49" i="65"/>
  <c r="H49" i="65" s="1"/>
  <c r="E38" i="65"/>
  <c r="H38" i="65" s="1"/>
  <c r="E26" i="65"/>
  <c r="H26" i="65" s="1"/>
  <c r="E43" i="65"/>
  <c r="H43" i="65" s="1"/>
  <c r="E46" i="65"/>
  <c r="E28" i="65"/>
  <c r="H28" i="65" s="1"/>
  <c r="H44" i="65"/>
  <c r="E20" i="65"/>
  <c r="H20" i="65" s="1"/>
  <c r="E37" i="65"/>
  <c r="H37" i="65" s="1"/>
  <c r="E30" i="65"/>
  <c r="H30" i="65" s="1"/>
  <c r="E14" i="65"/>
  <c r="H14" i="65" s="1"/>
  <c r="E31" i="65"/>
  <c r="H31" i="65" s="1"/>
  <c r="E47" i="65"/>
  <c r="H47" i="65" s="1"/>
  <c r="E32" i="65"/>
  <c r="H32" i="65" s="1"/>
  <c r="E48" i="65"/>
  <c r="H48" i="65" s="1"/>
  <c r="E24" i="65"/>
  <c r="H24" i="65" s="1"/>
  <c r="E41" i="65"/>
  <c r="H41" i="65" s="1"/>
  <c r="E34" i="4"/>
  <c r="E35" i="1"/>
  <c r="H46" i="65" l="1"/>
  <c r="I22" i="3"/>
  <c r="E22" i="3" s="1"/>
  <c r="F57" i="15"/>
  <c r="E37" i="4" l="1"/>
  <c r="E39" i="4" s="1"/>
  <c r="G50" i="65"/>
  <c r="G21" i="2"/>
  <c r="I24" i="3" l="1"/>
  <c r="E24" i="3" s="1"/>
  <c r="G51" i="65"/>
  <c r="H50" i="65"/>
  <c r="I21" i="2"/>
  <c r="I26" i="3"/>
  <c r="H51" i="65" l="1"/>
  <c r="I29" i="3"/>
  <c r="I30" i="3" s="1"/>
  <c r="G23" i="2"/>
  <c r="I23" i="2" l="1"/>
  <c r="D27" i="86" l="1"/>
  <c r="D34" i="86" s="1"/>
  <c r="D36" i="86" s="1"/>
  <c r="G13" i="89" s="1"/>
  <c r="H13" i="89" s="1"/>
  <c r="H17" i="89" l="1"/>
  <c r="E16" i="1" s="1"/>
  <c r="E18" i="1" s="1"/>
  <c r="E17" i="8"/>
  <c r="E18" i="8" s="1"/>
  <c r="E24" i="8" s="1"/>
  <c r="E26" i="8" s="1"/>
  <c r="E30" i="8" s="1"/>
  <c r="E15" i="4" l="1"/>
  <c r="G26" i="3" s="1"/>
  <c r="G29" i="3" l="1"/>
  <c r="G30" i="3" s="1"/>
  <c r="E26" i="3"/>
  <c r="G25" i="2" l="1"/>
  <c r="E29" i="3"/>
  <c r="E30" i="3" s="1"/>
  <c r="I25" i="2" l="1"/>
  <c r="I28" i="2" s="1"/>
  <c r="I29" i="2" s="1"/>
  <c r="E20" i="1" s="1"/>
  <c r="E22" i="1" s="1"/>
  <c r="G28" i="2"/>
  <c r="G29" i="2" s="1"/>
  <c r="E25" i="1" l="1"/>
  <c r="K25" i="2" s="1"/>
  <c r="E27" i="1" l="1"/>
  <c r="K21" i="2" s="1"/>
  <c r="M25" i="2"/>
  <c r="E29" i="1" l="1"/>
  <c r="E31" i="1" s="1"/>
  <c r="K23" i="2" s="1"/>
  <c r="M21" i="2"/>
  <c r="E33" i="1" l="1"/>
  <c r="M23" i="2"/>
  <c r="M28" i="2" s="1"/>
  <c r="K28" i="2"/>
  <c r="E37" i="1" l="1"/>
  <c r="K16" i="2"/>
  <c r="K18" i="2" l="1"/>
  <c r="K29" i="2" s="1"/>
  <c r="M16" i="2"/>
  <c r="M18" i="2" s="1"/>
  <c r="M29" i="2" s="1"/>
</calcChain>
</file>

<file path=xl/sharedStrings.xml><?xml version="1.0" encoding="utf-8"?>
<sst xmlns="http://schemas.openxmlformats.org/spreadsheetml/2006/main" count="2001" uniqueCount="877">
  <si>
    <t>MidAmerican Energy Company</t>
  </si>
  <si>
    <t>Schedule Index</t>
  </si>
  <si>
    <t>Line</t>
  </si>
  <si>
    <t>Description</t>
  </si>
  <si>
    <t>Schedule 1</t>
  </si>
  <si>
    <t>South Dakota Gas Revenue Requirement</t>
  </si>
  <si>
    <t>Schedule 2</t>
  </si>
  <si>
    <t>Operating Income Statement with Pro Forma Adjustments</t>
  </si>
  <si>
    <t>Schedule 3</t>
  </si>
  <si>
    <t>Pro Forma Summary</t>
  </si>
  <si>
    <t>Schedule 4</t>
  </si>
  <si>
    <t>Interest Synchronization Pro Forma Adjustment</t>
  </si>
  <si>
    <t>Schedule 5</t>
  </si>
  <si>
    <t>Payroll Pro Forma Adjustment</t>
  </si>
  <si>
    <t>Schedule 6</t>
  </si>
  <si>
    <t>Weather Normalization Pro Forma Adjustment</t>
  </si>
  <si>
    <t>Schedule 7</t>
  </si>
  <si>
    <t>Retirement Plan Cost Pro Forma Adjustment</t>
  </si>
  <si>
    <t>Schedule 8</t>
  </si>
  <si>
    <t>Depreciation on Rate Base Pro Forma Adjustment</t>
  </si>
  <si>
    <t>Schedule 9</t>
  </si>
  <si>
    <t>Sales Growth Pro Forma Adjustment</t>
  </si>
  <si>
    <t>Schedule 10</t>
  </si>
  <si>
    <t>Regulatory Asset Amortization Pro Forma Adjustment</t>
  </si>
  <si>
    <t>Schedule 11</t>
  </si>
  <si>
    <t>Rate Case Expense Pro Forma Adjustment</t>
  </si>
  <si>
    <t>Schedule 12</t>
  </si>
  <si>
    <t>Late Payment Charge Pro Forma Adjustment</t>
  </si>
  <si>
    <t>Schedule 13</t>
  </si>
  <si>
    <t>LTIP Cost Pro Forma Adjustment</t>
  </si>
  <si>
    <t>Schedule 14</t>
  </si>
  <si>
    <t>Tax Adjustments</t>
  </si>
  <si>
    <t>Schedule 15</t>
  </si>
  <si>
    <t>PGA Costs and Revenue Pro Forma Adjustment</t>
  </si>
  <si>
    <t>Schedule 16</t>
  </si>
  <si>
    <t>Economic Development Cost Pro Forma Adjustment</t>
  </si>
  <si>
    <t>Schedule 17</t>
  </si>
  <si>
    <t>Wholesale Revenue</t>
  </si>
  <si>
    <t>Schedule 18-24</t>
  </si>
  <si>
    <t>Not used</t>
  </si>
  <si>
    <t>Schedule 25</t>
  </si>
  <si>
    <t>Weighted Average Cost of Capital</t>
  </si>
  <si>
    <t>Schedule 26</t>
  </si>
  <si>
    <t>Cost of Long-term Debt</t>
  </si>
  <si>
    <t>Schedule 27</t>
  </si>
  <si>
    <t>Cost of Common Equity</t>
  </si>
  <si>
    <t>(Thousands of Dollars)</t>
  </si>
  <si>
    <t>South</t>
  </si>
  <si>
    <t>Dakota</t>
  </si>
  <si>
    <t>Gas</t>
  </si>
  <si>
    <t>(a)</t>
  </si>
  <si>
    <t>(b)</t>
  </si>
  <si>
    <t>Rate Base</t>
  </si>
  <si>
    <t>Rate of Return</t>
  </si>
  <si>
    <t>Allowed Return</t>
  </si>
  <si>
    <t>Adjusted Test Year Operating Income</t>
  </si>
  <si>
    <t>Change in Operating Income</t>
  </si>
  <si>
    <t>Income Tax -Effect -</t>
  </si>
  <si>
    <t xml:space="preserve">  Federal @ 21%</t>
  </si>
  <si>
    <t xml:space="preserve">  Bad Debt Expense @ 0.39%</t>
  </si>
  <si>
    <t>Revenue (Excess) Deficiency</t>
  </si>
  <si>
    <t>Gross Receipts Tax @ .0038</t>
  </si>
  <si>
    <t>Total Revenue (Excess) Deficiency</t>
  </si>
  <si>
    <t>Test Year Pro Forma Revenue</t>
  </si>
  <si>
    <t>Revenue Requirement</t>
  </si>
  <si>
    <t>Sources:</t>
  </si>
  <si>
    <t>Line 1 - Exhibit ASR 1.1, Sch. 1, Col.(d), Line 21</t>
  </si>
  <si>
    <t>Line 2 - Exhibit BMG 1.1, Sch. 25, Col. (e), Line 3</t>
  </si>
  <si>
    <t>Line 3 - Line 1 multiplied by Line 2</t>
  </si>
  <si>
    <t>Line 4 - Exhibit BMG 1.1, Sch. 2, Col. (d), Line 14</t>
  </si>
  <si>
    <t>Line 5 - Line 3 minus Line 4</t>
  </si>
  <si>
    <t>Line 8 - (Line 5 plus line 7) times 0.3%</t>
  </si>
  <si>
    <t>Line 12 - Exhibit BMG 1.1, Sch. 2, Col. (d), Line 4</t>
  </si>
  <si>
    <t>Line 13 - Line 11 plus Line 12</t>
  </si>
  <si>
    <t>South Dakota Gas Operating Income Statement With Pro Forma Adjustments</t>
  </si>
  <si>
    <t>South Dakota</t>
  </si>
  <si>
    <t>Test</t>
  </si>
  <si>
    <t>Total</t>
  </si>
  <si>
    <t>Before</t>
  </si>
  <si>
    <t>With</t>
  </si>
  <si>
    <t>Period</t>
  </si>
  <si>
    <t>Pro Forma</t>
  </si>
  <si>
    <t>Revenue</t>
  </si>
  <si>
    <t>Actual</t>
  </si>
  <si>
    <t>Adjustments</t>
  </si>
  <si>
    <t>Adjustment</t>
  </si>
  <si>
    <t>(c)</t>
  </si>
  <si>
    <t>(d)</t>
  </si>
  <si>
    <t>(e)</t>
  </si>
  <si>
    <t>(f)</t>
  </si>
  <si>
    <t>Operating Revenues:</t>
  </si>
  <si>
    <t xml:space="preserve">  Tariffed Revenues</t>
  </si>
  <si>
    <t xml:space="preserve">  Other Revenues</t>
  </si>
  <si>
    <t>Total Operating Revenues</t>
  </si>
  <si>
    <t>Operating Expenses:</t>
  </si>
  <si>
    <t xml:space="preserve">  Operation and Maintenance</t>
  </si>
  <si>
    <t xml:space="preserve">  Depreciation and Amortization</t>
  </si>
  <si>
    <t xml:space="preserve">  Taxes Other Than Income</t>
  </si>
  <si>
    <t>Income Taxes -</t>
  </si>
  <si>
    <t xml:space="preserve">  Current</t>
  </si>
  <si>
    <t xml:space="preserve">  Deferred</t>
  </si>
  <si>
    <t xml:space="preserve">  Investment Tax Credit</t>
  </si>
  <si>
    <t>Total Operating Expenses</t>
  </si>
  <si>
    <t>Pro Forma Operating Income</t>
  </si>
  <si>
    <t>Source:</t>
  </si>
  <si>
    <t>Column (c) - Exhibit BMG 1.1, Schedule 3, Col. (b)</t>
  </si>
  <si>
    <t>Column (d) - Column (b) plus Column (c)</t>
  </si>
  <si>
    <t>Column (e), Line 2 - Exhibit BMG 1.1, Schedule 1, Line 11</t>
  </si>
  <si>
    <t>Column (e), Line 6 - Exhibit BMG 1.1, Schedule 1, Line 8</t>
  </si>
  <si>
    <t>Column (e), Line 8 - Exhibit BMG 1.1, Schedule 1, Line 10</t>
  </si>
  <si>
    <t>Column (e), Line 10 - Exhibit BMG 1.1, Schedule 1, Line 7</t>
  </si>
  <si>
    <t>Column (f) - Column (d) plus Column (e)</t>
  </si>
  <si>
    <t>South Dakota Gas Operating Income Statement</t>
  </si>
  <si>
    <t>Pro Forma Adjustments</t>
  </si>
  <si>
    <t>Regulatory</t>
  </si>
  <si>
    <t>Late</t>
  </si>
  <si>
    <t>Interest</t>
  </si>
  <si>
    <t>Payroll</t>
  </si>
  <si>
    <t>Weather</t>
  </si>
  <si>
    <t>Retirement</t>
  </si>
  <si>
    <t>Depreciation</t>
  </si>
  <si>
    <t>Sales</t>
  </si>
  <si>
    <t>Asset</t>
  </si>
  <si>
    <t>Rate Case</t>
  </si>
  <si>
    <t>Payment</t>
  </si>
  <si>
    <t>LTIP</t>
  </si>
  <si>
    <t>Tax</t>
  </si>
  <si>
    <t>PGA Costs</t>
  </si>
  <si>
    <t>Economic</t>
  </si>
  <si>
    <t>Wholesale</t>
  </si>
  <si>
    <t>Synch.</t>
  </si>
  <si>
    <t>Normalization</t>
  </si>
  <si>
    <t>Plan Costs</t>
  </si>
  <si>
    <t>Growth</t>
  </si>
  <si>
    <t>Amortization</t>
  </si>
  <si>
    <t>Expense</t>
  </si>
  <si>
    <t>Charges</t>
  </si>
  <si>
    <t>Costs</t>
  </si>
  <si>
    <t>&amp; Revenue</t>
  </si>
  <si>
    <t>Development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</si>
  <si>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</si>
  <si>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</si>
  <si>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</si>
  <si>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</si>
  <si>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</si>
  <si>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</si>
  <si>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</si>
  <si>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</si>
  <si>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</si>
  <si>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</si>
  <si>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</si>
  <si>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South Dakota Operating Revenues:</t>
  </si>
  <si>
    <t xml:space="preserve">  Gas Service Revenues</t>
  </si>
  <si>
    <t xml:space="preserve">  Other Operating Revenues</t>
  </si>
  <si>
    <t>South Dakota Gas Operating Expenses:</t>
  </si>
  <si>
    <t xml:space="preserve">  Cost of Gas Purchased</t>
  </si>
  <si>
    <t xml:space="preserve">  Other Operation &amp; Maint.</t>
  </si>
  <si>
    <t xml:space="preserve">  Depreciation &amp; Amort.</t>
  </si>
  <si>
    <t xml:space="preserve">  Other Taxes</t>
  </si>
  <si>
    <t xml:space="preserve">  Income Taxes -</t>
  </si>
  <si>
    <t xml:space="preserve">    Federal (21%)</t>
  </si>
  <si>
    <t xml:space="preserve">    Deferred</t>
  </si>
  <si>
    <t xml:space="preserve">    Investment Tax Credit</t>
  </si>
  <si>
    <t>South Dakota Gas Operating Income</t>
  </si>
  <si>
    <t>Sch. 4</t>
  </si>
  <si>
    <t>Sch. 5</t>
  </si>
  <si>
    <t>Sch. 6</t>
  </si>
  <si>
    <t>Sch. 7</t>
  </si>
  <si>
    <t>Sch. 8</t>
  </si>
  <si>
    <t>Sch. 9</t>
  </si>
  <si>
    <t>Sch. 10</t>
  </si>
  <si>
    <t>Sch. 11</t>
  </si>
  <si>
    <t>Sch. 12</t>
  </si>
  <si>
    <t>Sch. 13</t>
  </si>
  <si>
    <t>Sch. 14</t>
  </si>
  <si>
    <t>Sch. 15</t>
  </si>
  <si>
    <t>Sch. 16</t>
  </si>
  <si>
    <t>Sch. 17</t>
  </si>
  <si>
    <t xml:space="preserve">Sch. </t>
  </si>
  <si>
    <t>Pro Forma Adjustment - Interest Synchronization</t>
  </si>
  <si>
    <t>South Dakota Gas Operating Expenses</t>
  </si>
  <si>
    <t xml:space="preserve">  Interest Synchronization</t>
  </si>
  <si>
    <t xml:space="preserve">    Federal Income Tax (21%)</t>
  </si>
  <si>
    <t>Pro Forma Adjustment - Payroll Adjustment</t>
  </si>
  <si>
    <t xml:space="preserve">  Other Operation and Maintenance</t>
  </si>
  <si>
    <t xml:space="preserve">    Labor Increase</t>
  </si>
  <si>
    <t>Other Taxes</t>
  </si>
  <si>
    <t xml:space="preserve">  Union Labor Increase</t>
  </si>
  <si>
    <t>Federal Income Tax (21%)</t>
  </si>
  <si>
    <t xml:space="preserve">  Line 6 - Sum of Line 3 plus Line 5 multiplied by -21%</t>
  </si>
  <si>
    <t>Pro Forma Adjustment - Weather Normalization</t>
  </si>
  <si>
    <t>South Dakota Gas Operating Revenues</t>
  </si>
  <si>
    <t xml:space="preserve">  Sales to Ultimate Consumers</t>
  </si>
  <si>
    <t xml:space="preserve">    Weather Normalization</t>
  </si>
  <si>
    <t xml:space="preserve">  Line 4 - Line 3 multiplied by 21%</t>
  </si>
  <si>
    <t>Pro Forma Adjustment - Retirement Plan Costs</t>
  </si>
  <si>
    <t xml:space="preserve">    Retirement Plan Costs</t>
  </si>
  <si>
    <t xml:space="preserve">  Line 4 - Line 3 multiplied by -21%</t>
  </si>
  <si>
    <t>Pro Forma Adjustment - Depreciation on Rate Base Adjustments</t>
  </si>
  <si>
    <t xml:space="preserve">  Depreciation</t>
  </si>
  <si>
    <t xml:space="preserve">    Depreciation on Rate Base Adjustments</t>
  </si>
  <si>
    <t>Pro Forma Adjustment - Sales Growth</t>
  </si>
  <si>
    <t xml:space="preserve">    Sales Growth</t>
  </si>
  <si>
    <t>Pro Forma Adjustment - Regulatory Asset Amortization</t>
  </si>
  <si>
    <t>Flooding Costs, amortized over 3 years</t>
  </si>
  <si>
    <t>Under Recovery of EECR, amortized over 3 years</t>
  </si>
  <si>
    <t>Total Amortizations</t>
  </si>
  <si>
    <t>Pro Forma Adjustment - Rate Case Expense</t>
  </si>
  <si>
    <t xml:space="preserve">    Rate Case Expense</t>
  </si>
  <si>
    <t>Pro Forma Adjustment - Late Payment Charge</t>
  </si>
  <si>
    <t xml:space="preserve">    Forfeited Discounts</t>
  </si>
  <si>
    <t>Pro Forma Adjustment -LTIP Costs</t>
  </si>
  <si>
    <t xml:space="preserve">    LTIP Costs</t>
  </si>
  <si>
    <t>Pro Forma Adjustment - Tax Adjustments</t>
  </si>
  <si>
    <t>South Dakota Electric Operating Expenses</t>
  </si>
  <si>
    <t xml:space="preserve">  Other Tax Expense</t>
  </si>
  <si>
    <t xml:space="preserve">    Property Tax Expense</t>
  </si>
  <si>
    <t xml:space="preserve">  Line 4 - Line 3 multiplied by -21% </t>
  </si>
  <si>
    <t>Pro Forma Adjustment - PGA Costs and Revenue</t>
  </si>
  <si>
    <t xml:space="preserve">  Other Electric Revenue</t>
  </si>
  <si>
    <t xml:space="preserve">    PGA Revenue</t>
  </si>
  <si>
    <t xml:space="preserve">    PGA Costs</t>
  </si>
  <si>
    <t>Other Operating Expense</t>
  </si>
  <si>
    <t xml:space="preserve">  Line 9 - (Line 3 - line 6 + line 7 - line 8) multiplied by 21%</t>
  </si>
  <si>
    <t>Pro Forma Adjustment - Economic Development</t>
  </si>
  <si>
    <t xml:space="preserve">    Economic Development</t>
  </si>
  <si>
    <t>Pro Forma Adjustment - Wholesale Revenue</t>
  </si>
  <si>
    <t xml:space="preserve">  Wholesale Revenue</t>
  </si>
  <si>
    <t xml:space="preserve">  Wholesale Purchases</t>
  </si>
  <si>
    <t xml:space="preserve">  Line 5 - (Line 2 - line 4) multiplied by -21%</t>
  </si>
  <si>
    <t>(r)</t>
  </si>
  <si>
    <t>(s)</t>
  </si>
  <si>
    <t xml:space="preserve"> </t>
  </si>
  <si>
    <t>Rate</t>
  </si>
  <si>
    <t>No.</t>
  </si>
  <si>
    <t>Subtotal</t>
  </si>
  <si>
    <t>South Dakota Operating Income Statement</t>
  </si>
  <si>
    <t>Reference</t>
  </si>
  <si>
    <t>Operating Expense</t>
  </si>
  <si>
    <t>From Exhibit ASR 1.1, Sch 1, Col (d), Ln 21</t>
  </si>
  <si>
    <t>Weighted Cost of Debt</t>
  </si>
  <si>
    <t>Pro Forma Interest</t>
  </si>
  <si>
    <t>Line 2 times Line 3</t>
  </si>
  <si>
    <t>Interest in jurisdictional tax calculation</t>
  </si>
  <si>
    <t>Pre-tax impact of book interest synch</t>
  </si>
  <si>
    <t>Book interest</t>
  </si>
  <si>
    <t>Difference</t>
  </si>
  <si>
    <t>Line 4 minus Line 7</t>
  </si>
  <si>
    <t>Federal tax difference</t>
  </si>
  <si>
    <t>Line 8 times 21% * -1</t>
  </si>
  <si>
    <t>Pro Forma Adjustment</t>
  </si>
  <si>
    <t>Federal Income Taxes (21%)</t>
  </si>
  <si>
    <t>Line 9</t>
  </si>
  <si>
    <t>To Exhibit BMG 1.1, Sch. 4</t>
  </si>
  <si>
    <t>Jurisdictional Income Taxes</t>
  </si>
  <si>
    <t>SD</t>
  </si>
  <si>
    <t>Jurisdictional</t>
  </si>
  <si>
    <t>(1)</t>
  </si>
  <si>
    <t>Pre tax, pre interest net income</t>
  </si>
  <si>
    <t>Interest Expense</t>
  </si>
  <si>
    <t>Less amounts treated as tax (431 accts), see below</t>
  </si>
  <si>
    <t>Pre Tax Book Income</t>
  </si>
  <si>
    <t>Schedule "M" Items</t>
  </si>
  <si>
    <t>State Tax Deduction</t>
  </si>
  <si>
    <t>Federal Taxable Income</t>
  </si>
  <si>
    <t>Federal Current</t>
  </si>
  <si>
    <t>South Dakota State Curr. Tax Allocation</t>
  </si>
  <si>
    <t xml:space="preserve">Total Federal Current </t>
  </si>
  <si>
    <t>Federal Interest sync</t>
  </si>
  <si>
    <t>State Current</t>
  </si>
  <si>
    <t>State Interest Sync</t>
  </si>
  <si>
    <t>Federal Deferred Taxes</t>
  </si>
  <si>
    <t>State Deferred Taxes</t>
  </si>
  <si>
    <t>Book-to-Tax / Reserves:</t>
  </si>
  <si>
    <t>Federal Deferred</t>
  </si>
  <si>
    <t xml:space="preserve">State Deferred </t>
  </si>
  <si>
    <t>Net ITC</t>
  </si>
  <si>
    <t>Summary</t>
  </si>
  <si>
    <t>Deferred Fed</t>
  </si>
  <si>
    <t>Deferred State</t>
  </si>
  <si>
    <t>Source: Company Books and Records</t>
  </si>
  <si>
    <t>ITC ADJUSTMENT</t>
  </si>
  <si>
    <t>CURRENT FED INC TAX</t>
  </si>
  <si>
    <t>CURRENT ST INC TAX</t>
  </si>
  <si>
    <t>DEFERRED FED INC TAX</t>
  </si>
  <si>
    <t>DEFERRED ST INC TAX</t>
  </si>
  <si>
    <t>Pro-Forma Adjustment - Payroll Adjustment</t>
  </si>
  <si>
    <t>Amount</t>
  </si>
  <si>
    <t>Total payroll  increase</t>
  </si>
  <si>
    <t>FICA, FUTA, SUTA %</t>
  </si>
  <si>
    <t>Total payroll paxes increase</t>
  </si>
  <si>
    <t>Line 1 * Line 2</t>
  </si>
  <si>
    <t>401(k) %</t>
  </si>
  <si>
    <t>Total 401(k) benefit increase</t>
  </si>
  <si>
    <t>Line 1 * Line 4</t>
  </si>
  <si>
    <t>O&amp;M vs total labor %</t>
  </si>
  <si>
    <t>O&amp;M labor increase</t>
  </si>
  <si>
    <t>Line 1* Line 6</t>
  </si>
  <si>
    <t>401(k) increase</t>
  </si>
  <si>
    <t>Line 5 * Line 6</t>
  </si>
  <si>
    <t>Payroll tax increase</t>
  </si>
  <si>
    <t>Line 3 * Line 6</t>
  </si>
  <si>
    <t>Gas labor amount</t>
  </si>
  <si>
    <t>Gas 401(k)</t>
  </si>
  <si>
    <t>Gas payroll Taxes</t>
  </si>
  <si>
    <t>Pro Forma Adjustment - Jurisdictional Distribution of Gas O&amp;M Expense Increase</t>
  </si>
  <si>
    <t xml:space="preserve">  Iowa</t>
  </si>
  <si>
    <t xml:space="preserve">  Illinois</t>
  </si>
  <si>
    <t xml:space="preserve">  South Dakota</t>
  </si>
  <si>
    <t xml:space="preserve">  Nebraska</t>
  </si>
  <si>
    <t>Pro Forma Adjustment - Jurisdictional Distribution of Gas 401(k) Increase</t>
  </si>
  <si>
    <t>Pro Forma Adjustment - Jurisdictional Distribution of Gas Payroll Tax Expense Increase</t>
  </si>
  <si>
    <t>Pro Forma Adjustment - SD</t>
  </si>
  <si>
    <t xml:space="preserve">  Increase Labor Expense</t>
  </si>
  <si>
    <t>Line 16</t>
  </si>
  <si>
    <t xml:space="preserve">  Increase 401(k) Expense</t>
  </si>
  <si>
    <t>Line 21</t>
  </si>
  <si>
    <t>Pro Forma Adjustment -SD</t>
  </si>
  <si>
    <t xml:space="preserve">  Increase Payroll Tax Expense - FICA</t>
  </si>
  <si>
    <t xml:space="preserve">  Increase Payroll Tax Expense - FUTA</t>
  </si>
  <si>
    <t xml:space="preserve">  Increase Payroll Tax Expense - SUTA</t>
  </si>
  <si>
    <t xml:space="preserve">  Total</t>
  </si>
  <si>
    <t>Line 26</t>
  </si>
  <si>
    <t>To Exh. BMG 1.1 Sch. 5</t>
  </si>
  <si>
    <t>Distribution of Salaries and Wages</t>
  </si>
  <si>
    <t>Per FERC Form 1 Labor Distribution Workpapers</t>
  </si>
  <si>
    <t xml:space="preserve">Total </t>
  </si>
  <si>
    <t>Company</t>
  </si>
  <si>
    <t>Iowa</t>
  </si>
  <si>
    <t>Illinois</t>
  </si>
  <si>
    <t>Nebraska</t>
  </si>
  <si>
    <t>FERC</t>
  </si>
  <si>
    <t>A</t>
  </si>
  <si>
    <t>B</t>
  </si>
  <si>
    <t>C</t>
  </si>
  <si>
    <t>D</t>
  </si>
  <si>
    <t>E</t>
  </si>
  <si>
    <t>F</t>
  </si>
  <si>
    <t>G</t>
  </si>
  <si>
    <t xml:space="preserve">Direct Payroll Distribution Summary - </t>
  </si>
  <si>
    <t xml:space="preserve">  Manufactured Gas</t>
  </si>
  <si>
    <t xml:space="preserve">  Other Gas Supply</t>
  </si>
  <si>
    <t xml:space="preserve">  Storage, LNG</t>
  </si>
  <si>
    <t xml:space="preserve">  Distribution</t>
  </si>
  <si>
    <t xml:space="preserve">  Customer Accounts</t>
  </si>
  <si>
    <t xml:space="preserve">  Customer Serv. And Info.</t>
  </si>
  <si>
    <t xml:space="preserve">  Sales</t>
  </si>
  <si>
    <t xml:space="preserve">  Admin. And General</t>
  </si>
  <si>
    <t xml:space="preserve">   Total</t>
  </si>
  <si>
    <t>Percent</t>
  </si>
  <si>
    <t>Electric Direct Labor</t>
  </si>
  <si>
    <t>Charged to O&amp;M</t>
  </si>
  <si>
    <t>Charged to Construction</t>
  </si>
  <si>
    <t>Charged to Removal</t>
  </si>
  <si>
    <t>Total Direct Labor</t>
  </si>
  <si>
    <t>Percent O&amp;M to Total</t>
  </si>
  <si>
    <t>Gas Direct Labor</t>
  </si>
  <si>
    <t>Other Income</t>
  </si>
  <si>
    <t>Other Balance Sheet</t>
  </si>
  <si>
    <t>Clearing Accounts</t>
  </si>
  <si>
    <t>Total MEC Direct Labor</t>
  </si>
  <si>
    <t>Percent Gas to Total</t>
  </si>
  <si>
    <t>Percent Electric to Total</t>
  </si>
  <si>
    <t>Test Year</t>
  </si>
  <si>
    <t>Account</t>
  </si>
  <si>
    <t>Labor</t>
  </si>
  <si>
    <t>Benefits</t>
  </si>
  <si>
    <t>Taxes</t>
  </si>
  <si>
    <t>Other taxes</t>
  </si>
  <si>
    <t>Column C source: Schedule H-1</t>
  </si>
  <si>
    <t xml:space="preserve">  Sales to Ulitimate Consumers</t>
  </si>
  <si>
    <t>Exhibit DCN 1.2 Sch. C -  Weather Normalization Summary</t>
  </si>
  <si>
    <t>Pro Forma Adjustment for Weather Normalization</t>
  </si>
  <si>
    <t>Increase Operating Revenue</t>
  </si>
  <si>
    <t>To Exh. BMG 1.1, Sch. 6</t>
  </si>
  <si>
    <t>Pro-Forma Adjustment - Retirement Plan Costs</t>
  </si>
  <si>
    <t>Three-Year Average Pension Costs - SD Gas</t>
  </si>
  <si>
    <t>Three-Year Average SERP Costs - SD Gas</t>
  </si>
  <si>
    <t>Three-Year Average OPEB Costs - SD Gas</t>
  </si>
  <si>
    <t>Sum lines 1 -3</t>
  </si>
  <si>
    <t>Test Year Pension Costs - SD Gas</t>
  </si>
  <si>
    <t>Test Year SERP Costs - SD Gas</t>
  </si>
  <si>
    <t>Test Year OPEB Costs - SD Gas</t>
  </si>
  <si>
    <t>Sum lines 6 - 8</t>
  </si>
  <si>
    <t>Line 4 - line 9</t>
  </si>
  <si>
    <t>% O&amp;M</t>
  </si>
  <si>
    <t>Change to O&amp;M</t>
  </si>
  <si>
    <t>Line 11 times line 12</t>
  </si>
  <si>
    <t xml:space="preserve">  Increase O&amp;M Expense</t>
  </si>
  <si>
    <t>To Exh. BMG 1.1, Sch. 7</t>
  </si>
  <si>
    <t>Test Year Pension Costs</t>
  </si>
  <si>
    <t>926.101 &amp; 926.102</t>
  </si>
  <si>
    <t>Jurisdictional Distribution</t>
  </si>
  <si>
    <t>Test Year SERP Costs</t>
  </si>
  <si>
    <t>Test Year OPEB Costs</t>
  </si>
  <si>
    <t>926.215 &amp; 926.216</t>
  </si>
  <si>
    <t>2026 Pension Costs</t>
  </si>
  <si>
    <t>2025 Pension Costs</t>
  </si>
  <si>
    <t>2024 Pension Costs</t>
  </si>
  <si>
    <t>3-YearAverage</t>
  </si>
  <si>
    <t>Aveage: lines 9-11</t>
  </si>
  <si>
    <t>Gas Portion of Average Pension Costs</t>
  </si>
  <si>
    <t>Line 12 * line 2</t>
  </si>
  <si>
    <t>SD Gas Portion</t>
  </si>
  <si>
    <t>Line 13 * line 2</t>
  </si>
  <si>
    <t>2026 SERP Costs</t>
  </si>
  <si>
    <t>2025 SERP Costs</t>
  </si>
  <si>
    <t>2024 SERP Costs</t>
  </si>
  <si>
    <t>Average: lines 17-19</t>
  </si>
  <si>
    <t>Gas Portion of Average SERP Costs</t>
  </si>
  <si>
    <t>Line 20 * line 4</t>
  </si>
  <si>
    <t xml:space="preserve">SD Gas Portion </t>
  </si>
  <si>
    <t>Line 21 * line 4</t>
  </si>
  <si>
    <t>2026 OPEB Costs</t>
  </si>
  <si>
    <t>2025 OPEB Costs</t>
  </si>
  <si>
    <t>2024 OPEB Costs</t>
  </si>
  <si>
    <t>Average: lines 25-27</t>
  </si>
  <si>
    <t>Gas Portion of Average OPEB Costs</t>
  </si>
  <si>
    <t>Line 28 * line 6</t>
  </si>
  <si>
    <t>Line 29 * line 6</t>
  </si>
  <si>
    <t>Depreciation on Rate Base Adjustments</t>
  </si>
  <si>
    <t>MidAmerican witness Rooney supports these adjustments.</t>
  </si>
  <si>
    <t xml:space="preserve">  Depreciation Expense:</t>
  </si>
  <si>
    <t xml:space="preserve">    Projects in service in test year</t>
  </si>
  <si>
    <t>Exhibit ASR 1.1 WP B</t>
  </si>
  <si>
    <t xml:space="preserve">    System reliability</t>
  </si>
  <si>
    <t>Exhibit ASR 1.1 WP C</t>
  </si>
  <si>
    <t xml:space="preserve">    Integrity management</t>
  </si>
  <si>
    <t>Exhibit ASR 1.1 WP D</t>
  </si>
  <si>
    <t xml:space="preserve">    Government Relocation</t>
  </si>
  <si>
    <t>Exhibit ASR 1.1 WP E</t>
  </si>
  <si>
    <t xml:space="preserve">    IT Modernization</t>
  </si>
  <si>
    <t>Exhibit ASR 1.1 WP F</t>
  </si>
  <si>
    <t>Pro Forma Adjustments for:</t>
  </si>
  <si>
    <t xml:space="preserve">    Increase Depreciation Expense</t>
  </si>
  <si>
    <t>To Exh. BMG 1.1, Sch. 8</t>
  </si>
  <si>
    <t>Residential</t>
  </si>
  <si>
    <t>Commercial</t>
  </si>
  <si>
    <t>Average Customers</t>
  </si>
  <si>
    <t>EOP Customers</t>
  </si>
  <si>
    <t>Change in Customers</t>
  </si>
  <si>
    <t>Line 2 - Line 1</t>
  </si>
  <si>
    <t>Test Year Sales (therms)</t>
  </si>
  <si>
    <t>Test Year Billed Revenues -</t>
  </si>
  <si>
    <t xml:space="preserve">  Account</t>
  </si>
  <si>
    <t xml:space="preserve">  Amount</t>
  </si>
  <si>
    <t xml:space="preserve">  Less:  PGA Recoveries</t>
  </si>
  <si>
    <t xml:space="preserve">            Energy Efficiency Recoveries</t>
  </si>
  <si>
    <t>Net Revenues</t>
  </si>
  <si>
    <t xml:space="preserve">Line 7 - Line 8 - Line 9 </t>
  </si>
  <si>
    <t>Average Margin -</t>
  </si>
  <si>
    <t xml:space="preserve">  Cents per therms</t>
  </si>
  <si>
    <t>(Line 11 / Line 4)*100</t>
  </si>
  <si>
    <t>Average therms</t>
  </si>
  <si>
    <t xml:space="preserve">  Per Customer</t>
  </si>
  <si>
    <t>Line 4 / Line 1</t>
  </si>
  <si>
    <t>End of Period Customers -</t>
  </si>
  <si>
    <t>Line 2 * Line 15</t>
  </si>
  <si>
    <t xml:space="preserve">  Margins</t>
  </si>
  <si>
    <t>(Line 13 * Line 17)/100</t>
  </si>
  <si>
    <t>End of Period Customer Pro Forma Adjustments -</t>
  </si>
  <si>
    <t>Line 17 - Line 4</t>
  </si>
  <si>
    <t xml:space="preserve">  Revenue</t>
  </si>
  <si>
    <t>Line 18 - Line 11</t>
  </si>
  <si>
    <t>Pro Forma Adjustment:</t>
  </si>
  <si>
    <t xml:space="preserve">   Increase Revenue</t>
  </si>
  <si>
    <t>Line 21 col. B + C,</t>
  </si>
  <si>
    <t xml:space="preserve">  To Exh. BMG 1.1, Sch. 9</t>
  </si>
  <si>
    <t>South Dakota Gas Residential and Commercial Customers</t>
  </si>
  <si>
    <t>Account 480091</t>
  </si>
  <si>
    <t>Account 481091</t>
  </si>
  <si>
    <t>Month</t>
  </si>
  <si>
    <t>1.</t>
  </si>
  <si>
    <t>January 2025</t>
  </si>
  <si>
    <t>2.</t>
  </si>
  <si>
    <t>February 2025</t>
  </si>
  <si>
    <t>3.</t>
  </si>
  <si>
    <t>March 2025</t>
  </si>
  <si>
    <t>4.</t>
  </si>
  <si>
    <t>April 2025</t>
  </si>
  <si>
    <t>5.</t>
  </si>
  <si>
    <t>May 2025</t>
  </si>
  <si>
    <t>6.</t>
  </si>
  <si>
    <t>June 2025</t>
  </si>
  <si>
    <t>7.</t>
  </si>
  <si>
    <t>July 2025</t>
  </si>
  <si>
    <t>8.</t>
  </si>
  <si>
    <t>August 2025</t>
  </si>
  <si>
    <t>9.</t>
  </si>
  <si>
    <t>September 2025</t>
  </si>
  <si>
    <t>10.</t>
  </si>
  <si>
    <t>October 2025</t>
  </si>
  <si>
    <t>11.</t>
  </si>
  <si>
    <t>November 2025</t>
  </si>
  <si>
    <t>12.</t>
  </si>
  <si>
    <t>December 2025</t>
  </si>
  <si>
    <t>13.</t>
  </si>
  <si>
    <t>Sum of Lines 1 through 12</t>
  </si>
  <si>
    <t>14.</t>
  </si>
  <si>
    <t>Average</t>
  </si>
  <si>
    <t>Line 13 divided by 12</t>
  </si>
  <si>
    <t>15.</t>
  </si>
  <si>
    <t>Change</t>
  </si>
  <si>
    <t>Line 12 minus Line 14</t>
  </si>
  <si>
    <t>Source: Statement I.</t>
  </si>
  <si>
    <t>South Dakota Gas Residential and Commercial Billed Sales</t>
  </si>
  <si>
    <t>Account 480081</t>
  </si>
  <si>
    <t>Account 481081</t>
  </si>
  <si>
    <t>Pro Forma Adjustment - Meter Reading Labor</t>
  </si>
  <si>
    <t>Test Period Information:</t>
  </si>
  <si>
    <t>Activity 902002 costs should have been charged to SD gas</t>
  </si>
  <si>
    <t>WP BJW 10 Page 2</t>
  </si>
  <si>
    <t>Activity 902002 labor charged to SD gas</t>
  </si>
  <si>
    <t>Difference - additional labor costs for SD gas</t>
  </si>
  <si>
    <t>To Exh,__(BJW-1), Schedule 10</t>
  </si>
  <si>
    <t>McCook Lake Flooding Costs</t>
  </si>
  <si>
    <t>Docket NG24-013 Attachment A, Line 6</t>
  </si>
  <si>
    <t>Amortized over 3 years</t>
  </si>
  <si>
    <t>Line 1 divided by 3</t>
  </si>
  <si>
    <t>Under Recovery of EECR</t>
  </si>
  <si>
    <t>Line 3 divided by 3</t>
  </si>
  <si>
    <t>To Exh. BMG 1.1, Sch. 10</t>
  </si>
  <si>
    <t>Accounting Period</t>
  </si>
  <si>
    <t>Ledger or Ledger Set</t>
  </si>
  <si>
    <t>BHE COMPANY</t>
  </si>
  <si>
    <t>BHE FERC ACCOUNT</t>
  </si>
  <si>
    <t>BHE LINE OF BUSINESS</t>
  </si>
  <si>
    <t>BHE COST CENTER</t>
  </si>
  <si>
    <t>BHE JURISDICTION</t>
  </si>
  <si>
    <t>BHE OWNING ORG</t>
  </si>
  <si>
    <t>BHE INTERCOMPANY</t>
  </si>
  <si>
    <t>BHE FUTURE1</t>
  </si>
  <si>
    <t>BHE FUTURE2</t>
  </si>
  <si>
    <t>Beginning Balance (USD)</t>
  </si>
  <si>
    <t>Period Activity (USD)</t>
  </si>
  <si>
    <t>Ending Balance (USD)</t>
  </si>
  <si>
    <t>Jul-26</t>
  </si>
  <si>
    <t>BHE US REGULATORY</t>
  </si>
  <si>
    <t>20430</t>
  </si>
  <si>
    <t>1730450</t>
  </si>
  <si>
    <t>265</t>
  </si>
  <si>
    <t>MEC1360</t>
  </si>
  <si>
    <t>3450</t>
  </si>
  <si>
    <t>00000</t>
  </si>
  <si>
    <t>000000</t>
  </si>
  <si>
    <t>1823105</t>
  </si>
  <si>
    <t>0000000</t>
  </si>
  <si>
    <t>TOTAL</t>
  </si>
  <si>
    <t>Pro-Forma Adjustment - Rate Case Expense</t>
  </si>
  <si>
    <t>Estimated rate case costs</t>
  </si>
  <si>
    <t>Exhibit DCN 1.1 Schedule B</t>
  </si>
  <si>
    <t>Amortization period (years)</t>
  </si>
  <si>
    <t>Amortized cost</t>
  </si>
  <si>
    <t>Line 1 / line 2</t>
  </si>
  <si>
    <t>Test year rate case expense</t>
  </si>
  <si>
    <t>Line 3 minus line 4</t>
  </si>
  <si>
    <t>To Exh. BMG 1.1, Schedule 11</t>
  </si>
  <si>
    <t>Other Operating Revenues</t>
  </si>
  <si>
    <t xml:space="preserve">  Forfeited Discounts</t>
  </si>
  <si>
    <t xml:space="preserve">    Acct 487011</t>
  </si>
  <si>
    <t>To Exh. BMG 1.1, Schedule 12</t>
  </si>
  <si>
    <t>Pro Forma Adjustment - LTIP Costs</t>
  </si>
  <si>
    <t>2025 LTIP - 926000</t>
  </si>
  <si>
    <t>Pro forma adjustment - decrease</t>
  </si>
  <si>
    <t>O&amp;M expense</t>
  </si>
  <si>
    <t>To Exh. BMG 1.1, Schedule 13</t>
  </si>
  <si>
    <t>Pro Forma Adjustment - Tax Expense</t>
  </si>
  <si>
    <t xml:space="preserve">April 2025 entry truing up 2024 property tax </t>
  </si>
  <si>
    <t xml:space="preserve">  expense to actual</t>
  </si>
  <si>
    <t>Decrease property tax expense</t>
  </si>
  <si>
    <t>To Exh. BMG 1.1, Schedule 14</t>
  </si>
  <si>
    <t>Purchased gas adjustment revenue:</t>
  </si>
  <si>
    <t xml:space="preserve">  PGA revenue recovered via rider</t>
  </si>
  <si>
    <t xml:space="preserve">  Residential (over) under recoveries</t>
  </si>
  <si>
    <t xml:space="preserve">  Commercial (over) under recoveries</t>
  </si>
  <si>
    <t xml:space="preserve">  Industrial (over) under recoveries</t>
  </si>
  <si>
    <t xml:space="preserve">  January and April Adjustment</t>
  </si>
  <si>
    <t>Total revenues</t>
  </si>
  <si>
    <t>Sum lines 1 through 6</t>
  </si>
  <si>
    <t>Total cost of gas</t>
  </si>
  <si>
    <t>Wholesale cost of gas</t>
  </si>
  <si>
    <t>Total cost of gas recoverable through PGA</t>
  </si>
  <si>
    <t>Line 9 minus line 10</t>
  </si>
  <si>
    <t>Company use</t>
  </si>
  <si>
    <t>Kansas gas tax</t>
  </si>
  <si>
    <t>Net difference</t>
  </si>
  <si>
    <t>Line 7 minus line 11 plus line 13 minus line 15</t>
  </si>
  <si>
    <t>PGA Revenue</t>
  </si>
  <si>
    <t>To Exh. BMG 1.1, Schedule 15</t>
  </si>
  <si>
    <t>PGA Expense</t>
  </si>
  <si>
    <t>Pro-Forma Adjustment - Economic Development</t>
  </si>
  <si>
    <t>Estimated 2026 economic development costs</t>
  </si>
  <si>
    <t>2025 actual economic development costs</t>
  </si>
  <si>
    <t>Line 1 -  Line 2</t>
  </si>
  <si>
    <t>50% sharing of estimated costs</t>
  </si>
  <si>
    <t>Line 1 times 50%</t>
  </si>
  <si>
    <t>Less Actual economic development costs in test year</t>
  </si>
  <si>
    <t>Line 2</t>
  </si>
  <si>
    <t>Line 4 - Line 5</t>
  </si>
  <si>
    <t xml:space="preserve">  Decrease O&amp;M Expense</t>
  </si>
  <si>
    <t>To Exh. BMG 1.1, Schedule 16</t>
  </si>
  <si>
    <t xml:space="preserve">    Acct 483111</t>
  </si>
  <si>
    <t xml:space="preserve">  Wholesale Purchase Costs</t>
  </si>
  <si>
    <t xml:space="preserve">    Acct 807501</t>
  </si>
  <si>
    <t>Pro Forma Adjustment - Revenue</t>
  </si>
  <si>
    <t>To Exh BMG 1.1, Schedule 17</t>
  </si>
  <si>
    <t>Pro Forma Adjustment - Operating Expense</t>
  </si>
  <si>
    <t xml:space="preserve">13-Month Average Embedded Weighted Average Cost of Capital </t>
  </si>
  <si>
    <t>Annual</t>
  </si>
  <si>
    <t>Weighted</t>
  </si>
  <si>
    <t>Component</t>
  </si>
  <si>
    <t xml:space="preserve">Amount </t>
  </si>
  <si>
    <t>Weight</t>
  </si>
  <si>
    <t>Cost</t>
  </si>
  <si>
    <t xml:space="preserve">Cost </t>
  </si>
  <si>
    <t>Long Term Debt</t>
  </si>
  <si>
    <t xml:space="preserve">Common Equity </t>
  </si>
  <si>
    <t>Line 2 from MidAmerican Exhibit BMG 1.1, Schedule 27, Page 1 of 2.</t>
  </si>
  <si>
    <t>Line 2 column (d) from MidAmerican Exhibit AEB 1.1, Sch. 2</t>
  </si>
  <si>
    <t>Cost of Long Term Debt</t>
  </si>
  <si>
    <t>13-point Average Long Term Debt Balance</t>
  </si>
  <si>
    <t>Plus:</t>
  </si>
  <si>
    <t>Unamortized Long Term Debt Premium</t>
  </si>
  <si>
    <t>Unamortized Gain on Reacquired L-T Debt</t>
  </si>
  <si>
    <t>Less:</t>
  </si>
  <si>
    <t>Unamortized L-T Debt Discount</t>
  </si>
  <si>
    <t>Unamortized L-T Debt Expense</t>
  </si>
  <si>
    <t>Unamortized Loss on Reacquired L-T Debt</t>
  </si>
  <si>
    <t>13-point Average Long Term Debt</t>
  </si>
  <si>
    <t>Amortization of L-T Debt Discount</t>
  </si>
  <si>
    <t>Amortization of L-T Debt Expense</t>
  </si>
  <si>
    <t>Amortization of Loss on Reacquired L-T Debt</t>
  </si>
  <si>
    <t>Amortization of Premium on L-T Debt</t>
  </si>
  <si>
    <t>Amortization of Gain on Reacquired L-T Debt</t>
  </si>
  <si>
    <t>13-point Average Cost of Long Term Debt</t>
  </si>
  <si>
    <t>13 Month Average Long Term Debt</t>
  </si>
  <si>
    <t xml:space="preserve">Issue </t>
  </si>
  <si>
    <t xml:space="preserve">Maturity </t>
  </si>
  <si>
    <t>Date</t>
  </si>
  <si>
    <t>13 Month</t>
  </si>
  <si>
    <t>General Mortgage Bonds</t>
  </si>
  <si>
    <t>First Mortgage Bonds</t>
  </si>
  <si>
    <t>4.80% series due 2043</t>
  </si>
  <si>
    <t>4.40% series due 2044</t>
  </si>
  <si>
    <t>4.25% series due 2046</t>
  </si>
  <si>
    <t>3.10% series due 2027</t>
  </si>
  <si>
    <t>3.95% series due 2047</t>
  </si>
  <si>
    <t>3.65% series due 2048</t>
  </si>
  <si>
    <t>3.65% series due 2029</t>
  </si>
  <si>
    <t>4.25% Series due 2049</t>
  </si>
  <si>
    <t>3.15% Series due 2050</t>
  </si>
  <si>
    <t>3.65% Series due 2029-2</t>
  </si>
  <si>
    <t>2.70% Series due 2052</t>
  </si>
  <si>
    <t>5.35% Series due 2034</t>
  </si>
  <si>
    <t>5.85% Series due 2054</t>
  </si>
  <si>
    <t>5.30% Series due 2055</t>
  </si>
  <si>
    <t>5.500% First Mortgage Bonds due 2056</t>
  </si>
  <si>
    <t>5.50% Series due 2056</t>
  </si>
  <si>
    <t>Total First Mortgage Bonds</t>
  </si>
  <si>
    <t>Pollution Control Bonds</t>
  </si>
  <si>
    <t>Iowa Finance Authority Bond 2016A, due 2036</t>
  </si>
  <si>
    <t>Adj.</t>
  </si>
  <si>
    <t>Solid Waste Rev Bonds, Series 2016B, due 2046</t>
  </si>
  <si>
    <t>Solid Waste Rev Bonds, Series 2017, due 2047</t>
  </si>
  <si>
    <t>12/13/2017</t>
  </si>
  <si>
    <t>12/1/2047</t>
  </si>
  <si>
    <t>PC IFA series A, Var. rate due 2038</t>
  </si>
  <si>
    <t>7/1/2038</t>
  </si>
  <si>
    <t>Total Pollution Control Bonds</t>
  </si>
  <si>
    <t>Other Long Term Debt</t>
  </si>
  <si>
    <t>Palo Alto Wind Farm due 2042</t>
  </si>
  <si>
    <t>Paloalto2/Nrtheng2/ctrl due 2042</t>
  </si>
  <si>
    <t>Beaver Creek/Holliday due 2042</t>
  </si>
  <si>
    <t>Chickasaw due 2043</t>
  </si>
  <si>
    <t>MTN 6.75% series due 2031</t>
  </si>
  <si>
    <t>MTN 5.75% series due 2035</t>
  </si>
  <si>
    <t>MTN 5.80% series due 2036</t>
  </si>
  <si>
    <t>Prarie Wind Farm Interconnect'n Agree</t>
  </si>
  <si>
    <t>North English Farm Interconnect'n Agree</t>
  </si>
  <si>
    <t>Beaver Creek/Arbor Hill/Orient</t>
  </si>
  <si>
    <t>Wellsburg Wind Farm Interconnect'n Agree</t>
  </si>
  <si>
    <t>Vienna Wind Farm Interconnect'n Agree</t>
  </si>
  <si>
    <t>Total Other Long Term Debt</t>
  </si>
  <si>
    <t>Current Maturity L-T Debt</t>
  </si>
  <si>
    <t>PC Co. Bluffs Adj Rate due 2025</t>
  </si>
  <si>
    <t>1/1/1995</t>
  </si>
  <si>
    <t>1/1/2025</t>
  </si>
  <si>
    <t>Total Current Maturities</t>
  </si>
  <si>
    <t>Total Long Term Debt</t>
  </si>
  <si>
    <t>Source:  General Ledger</t>
  </si>
  <si>
    <t>13 Month Average Unamortized Debt Premium</t>
  </si>
  <si>
    <t>3.65% series due 2029-2</t>
  </si>
  <si>
    <t>Total Unamortized Debt Premium</t>
  </si>
  <si>
    <t>13 Month Average Unamortized Gain on Reacquired Debt</t>
  </si>
  <si>
    <t xml:space="preserve">             (b)</t>
  </si>
  <si>
    <t>6.95% due 2025</t>
  </si>
  <si>
    <t>Totals</t>
  </si>
  <si>
    <t xml:space="preserve">     Reacquired Debt</t>
  </si>
  <si>
    <t>13 Month Average Unamortized Debt Discount</t>
  </si>
  <si>
    <t>13-point</t>
  </si>
  <si>
    <t>3.15% series due 2050</t>
  </si>
  <si>
    <t>2.70% series due 2052</t>
  </si>
  <si>
    <t>Palo Alto Wind Farm Due 2042</t>
  </si>
  <si>
    <t>226051</t>
  </si>
  <si>
    <t>Total Unamortized Debt Discount</t>
  </si>
  <si>
    <t>13 Month Average Unamortized Debt Expense</t>
  </si>
  <si>
    <t>PC Rev Refunding, Series 2016A, due 2036</t>
  </si>
  <si>
    <t>Solid Waste Rev Bonds, Series  2016B, due 2046</t>
  </si>
  <si>
    <t>Solid Waste Rev Bonds, Series  2017, due 2047</t>
  </si>
  <si>
    <t>PC IFA series A, Var. rate, due 2038</t>
  </si>
  <si>
    <t>Total Unamortized Debt Expense</t>
  </si>
  <si>
    <t>13 Month Average Unamortized Loss on Reacquired Debt</t>
  </si>
  <si>
    <t>Bond that refinanced initial issuance</t>
  </si>
  <si>
    <t>3.10% due 2027</t>
  </si>
  <si>
    <t>PC Chillicothe Adj Rate due 2023</t>
  </si>
  <si>
    <t>3.95% due 2047</t>
  </si>
  <si>
    <t>3.65% due 2029</t>
  </si>
  <si>
    <t>3.70% series due 2023</t>
  </si>
  <si>
    <t>4.25% due 2049</t>
  </si>
  <si>
    <t>Retired (2003) mortgage bond 2025 mature date</t>
  </si>
  <si>
    <t>QUIPS 6.75% due 2031</t>
  </si>
  <si>
    <t>MTN 6.75% Series due 2031</t>
  </si>
  <si>
    <t>3.50% series due 2024</t>
  </si>
  <si>
    <t xml:space="preserve">    Total Other Long Term Debt</t>
  </si>
  <si>
    <t>Current Maturity - L T Debt</t>
  </si>
  <si>
    <t xml:space="preserve">Total Unamortized Loss on </t>
  </si>
  <si>
    <t>Source:  Lines 1-11:  General Ledger</t>
  </si>
  <si>
    <t>Interest on Long Term Debt</t>
  </si>
  <si>
    <t>Balance</t>
  </si>
  <si>
    <t>4.25% series due 2049</t>
  </si>
  <si>
    <t>N/A</t>
  </si>
  <si>
    <t xml:space="preserve">  Total Current Maturities</t>
  </si>
  <si>
    <t>Total Long Term Debt Interest</t>
  </si>
  <si>
    <t>Annual Amortization of Debt Discount</t>
  </si>
  <si>
    <t>Amort. Debt</t>
  </si>
  <si>
    <t>Issue Type and Coupon Rate</t>
  </si>
  <si>
    <t>Discount</t>
  </si>
  <si>
    <t xml:space="preserve">3.10% series due 2027 </t>
  </si>
  <si>
    <t>Am Disc Bonds 2049</t>
  </si>
  <si>
    <t>Am Disc Bonds 2052</t>
  </si>
  <si>
    <t>Am Disc Bonds 2034</t>
  </si>
  <si>
    <t>Am Disc Bonds 2054</t>
  </si>
  <si>
    <t>Am Disc Bonds 2055</t>
  </si>
  <si>
    <t>Am Disc Bonds 2056</t>
  </si>
  <si>
    <t>428052</t>
  </si>
  <si>
    <t>428053</t>
  </si>
  <si>
    <t>North English Wind Farm Interconnect'n Agree</t>
  </si>
  <si>
    <t>Current Maturities</t>
  </si>
  <si>
    <t>Source:  Income Statement</t>
  </si>
  <si>
    <t>Annual Amortization of Debt Expense</t>
  </si>
  <si>
    <t>IFA series A, Var. rate, due 2038</t>
  </si>
  <si>
    <t>Co. Bluffs Adj Rate due 2025</t>
  </si>
  <si>
    <t>MTN 5.80% Series due 2036</t>
  </si>
  <si>
    <t>MTN 6.75% due 2031</t>
  </si>
  <si>
    <t>MTN 5.75% series, due 2035</t>
  </si>
  <si>
    <t>Annual Amortization of Loss on Reacquired Debt</t>
  </si>
  <si>
    <t>Amort. of Loss</t>
  </si>
  <si>
    <t>on Reacq Debt</t>
  </si>
  <si>
    <t>8.50% due 2017</t>
  </si>
  <si>
    <t>3.65% series 2029</t>
  </si>
  <si>
    <t>4.25% series 2049</t>
  </si>
  <si>
    <t>Total First Motgage Bonds</t>
  </si>
  <si>
    <t xml:space="preserve">  Total Other Long Term Debt</t>
  </si>
  <si>
    <t>Other</t>
  </si>
  <si>
    <t>Source:  Lines 1-8:  Income Statement</t>
  </si>
  <si>
    <t>Annual Amortization of Premium on Bonds</t>
  </si>
  <si>
    <t>Annual Amort.</t>
  </si>
  <si>
    <t xml:space="preserve"> of Premium</t>
  </si>
  <si>
    <t>Activity</t>
  </si>
  <si>
    <t xml:space="preserve"> on Bonds</t>
  </si>
  <si>
    <t>3.65% due 2029-2</t>
  </si>
  <si>
    <t>Annual Amortization of Gain on Reacquired Debt</t>
  </si>
  <si>
    <t>Amort. of Gain</t>
  </si>
  <si>
    <t>Finished in September 2025</t>
  </si>
  <si>
    <t>13 Month Average Common Equity</t>
  </si>
  <si>
    <t>Common Stock Issued</t>
  </si>
  <si>
    <t>Premium on Capital Stock</t>
  </si>
  <si>
    <t>210-211</t>
  </si>
  <si>
    <t>Miscellaneous Paid-In Capital</t>
  </si>
  <si>
    <t>Capital Stock Expense</t>
  </si>
  <si>
    <t>TOTAL RETAINED EARNINGS</t>
  </si>
  <si>
    <t>Treasury Shares</t>
  </si>
  <si>
    <t>Adj. For Unamort. Balances</t>
  </si>
  <si>
    <t>Common Equity</t>
  </si>
  <si>
    <t>Source:  Lines 1-4, and 6:  General Ledger.</t>
  </si>
  <si>
    <t>13 Month Average Unamortized Gains &amp; Losses on Reacquired Securities</t>
  </si>
  <si>
    <t xml:space="preserve">After Tax Gains </t>
  </si>
  <si>
    <t>MIDAMERICAN ENERGY COMPANY</t>
  </si>
  <si>
    <t>2026 SOUTH DAKOTA RATE CASE</t>
  </si>
  <si>
    <t>FOR THE YEAR ENDING DECEMBER 31, 2025</t>
  </si>
  <si>
    <t>Docket No. NG-26-___</t>
  </si>
  <si>
    <t>2026 SOUTH DAKOTA GAS RATE CASE</t>
  </si>
  <si>
    <t>Docket No. NG26-___</t>
  </si>
  <si>
    <t>Individual Responsible: Blake M. Groen</t>
  </si>
  <si>
    <t>Line 1 from MidAmerican Exhibit BMG 1.1, Schedule 26, Page 1 of 13.</t>
  </si>
  <si>
    <t>Column (b) - Company Books and Records; Exhibit BMG 1.1, Schedule 2 WP (PDF)</t>
  </si>
  <si>
    <t>Exhibit BMG 1.1, Sch 4 WP pg. 2, line 2</t>
  </si>
  <si>
    <t>Exhibit BMG 1.1, Sch 4 WP pg. 2, line 11 divided by -21%</t>
  </si>
  <si>
    <t>Exhibit BMG 1.1, Sch 5 WP pg. 2 (PDF)</t>
  </si>
  <si>
    <t>Exhibit BMG 1.1, Sch 5 WP pg. 3 (PDF)</t>
  </si>
  <si>
    <t>Exhibit BMG 1.1, Sch 5 WP pg. 5, Line 21</t>
  </si>
  <si>
    <t>From Exhibit BMG 1.1, Sch 25, pg. 1, Col (e), Ln 1</t>
  </si>
  <si>
    <t>Gas Labor % (Exhibit BMG 1.1, Sch 5 WP pg. 5)* Line 7</t>
  </si>
  <si>
    <t>Gas Labor % (Exhibit BMG 1.1, Sch 5 WP pg. 5) * Line 8</t>
  </si>
  <si>
    <t>Gas Labor % (Exhibit BMG 1.1, Sch 5 WP pg. 5) * Line 9</t>
  </si>
  <si>
    <t>Exhibit BMG 1.1, Sch 5 WP pg. 5 Line 11 * Line 10</t>
  </si>
  <si>
    <t>Exhibit BMG 1.1, Sch 5 WP pg. 5 Line 11 * Line 11</t>
  </si>
  <si>
    <t>Exhibit BMG 1.1, Sch 5 WP pg. 5 Line 11 * Line 12</t>
  </si>
  <si>
    <t>Exhibit BMG 1.1, Sch 7 WP pg. 2</t>
  </si>
  <si>
    <t>Exhibit BMG 1.1, Sch 5 WP pg. 5, line 21</t>
  </si>
  <si>
    <t>Exhibit BMG 1.1, Sch 9 WP pg. 2</t>
  </si>
  <si>
    <t>Exhibit BMG 1.1, Sch 9 WP pg. 3</t>
  </si>
  <si>
    <t>Exhibit BMG 1.1, Sch 9 WP pg. 4 (PDF)</t>
  </si>
  <si>
    <t>Exhibit BMG 1.1, Sch 7 WP pg. 15 (PDF)</t>
  </si>
  <si>
    <t>Exhibit BMG 1.1, Sch 7 WP pg. 16 (PDF)</t>
  </si>
  <si>
    <t>Exhibit BMG 1.1, Sch 7 WP pg. 17 (PDF)</t>
  </si>
  <si>
    <t>Exhibit BMG 1.1, Sch 7 WP pg. 3 (PDF)</t>
  </si>
  <si>
    <t>Exhibit BMG 1.1, Sch 7 WP pg. 7 (PDF)</t>
  </si>
  <si>
    <t>Exhibit BMG 1.1, Sch 7 WP pg. 11 (PDF)</t>
  </si>
  <si>
    <t>Exhibit BMG 1.1, Sch 7 WP pg. 4 (PDF)</t>
  </si>
  <si>
    <t>Exhibit BMG 1.1, Sch 7 WP pg. 8 (PDF)</t>
  </si>
  <si>
    <t>Exhibit BMG 1.1, Sch 7 WP pg. 12 (PDF)</t>
  </si>
  <si>
    <t>Exhibit BMG 1.1, Sch 7 WP pg. 9, 10 (PDF)</t>
  </si>
  <si>
    <t>Exhibit BMG 1.1, Sch 7 WP pg. 5, 6 (PDF)</t>
  </si>
  <si>
    <t>Exhibit BMG 1.1, Sch 7 WP pg. 13, 14 (PDF)</t>
  </si>
  <si>
    <t>Exhibit BMG 1.1, Sch 10 WP pg. 2</t>
  </si>
  <si>
    <t>To Exhibit BMG 1.1, Sch 10 WP pg. 1</t>
  </si>
  <si>
    <t>Exhibit BMG 1.1, Sch 12 WP pg. 2 (PDF)</t>
  </si>
  <si>
    <t>Exhibit BMG 1.1, Sch 13 WP pg. 3 (PDF)</t>
  </si>
  <si>
    <t>Exhibit BMG 1.1, Sch 14 WP pg. 2 (PDF)</t>
  </si>
  <si>
    <t>Exhibit BMG 1.1, Sch 15 WP pg. 2 (PDF)</t>
  </si>
  <si>
    <t>Exhibit BMG 1.1, Sch 15 WP pg. 3 (PDF) account 480041</t>
  </si>
  <si>
    <t>Exhibit BMG 1.1, Sch 15 WP pg. 3 (PDF) account 481041</t>
  </si>
  <si>
    <t>Exhibit BMG 1.1, Sch 15 WP pg. 3 (PDF) account 481241</t>
  </si>
  <si>
    <t xml:space="preserve">Exhibit BMG 1.1, Sch 15 WP pg. 4 (PDF) </t>
  </si>
  <si>
    <t>Exhibit BMG 1.1, Sch 15 WP pg. 5 (PDF)  account 807501</t>
  </si>
  <si>
    <t>Exhibit BMG 1.1, Sch 15 WP pg. 6 (PDF) account 929011</t>
  </si>
  <si>
    <t>Exhibit BMG 1.1, Sch 15 WP pg. 7 (PDF) account 408147</t>
  </si>
  <si>
    <t xml:space="preserve">Exhibit BMG 1.1, Sch 16 WP pg. 2 (PDF) </t>
  </si>
  <si>
    <t xml:space="preserve">Exhibit BMG 1.1, Sch 17 WP pg. 2 (PDF) </t>
  </si>
  <si>
    <t>Sources:   Line 1: Exhibit BMG 1.1, Schedule 26, Page 2 of 13, Column (s), Line 37.</t>
  </si>
  <si>
    <t xml:space="preserve">                 Line 2: Exhibit BMG 1.1, Schedule 26, Page 3 of 13, Column (n), Line 3.</t>
  </si>
  <si>
    <t xml:space="preserve">                 Line 3: Exhibit BMG 1.1, Schedule 26, Page 4 of 13, Column (p), Line 4.</t>
  </si>
  <si>
    <t xml:space="preserve">                 Line 5: Exhibit BMG 1.1, Schedule 26, Page 6 of 13, Column (s), Line 27.</t>
  </si>
  <si>
    <t xml:space="preserve">                 Line 4: Exhibit BMG 1.1, Schedule 26, Page 5 of 13, Column (r), Line 32.</t>
  </si>
  <si>
    <t xml:space="preserve">                 Line 6: Exhibit BMG 1.1, Schedule 26, Page 7 of 13, Column (s), Line 11.</t>
  </si>
  <si>
    <t xml:space="preserve">                 Line 8: Exhibit BMG 1.1, Schedule 26, Page 8 of 13, Column (e), Line 37.</t>
  </si>
  <si>
    <t xml:space="preserve">                 Line 9: Exhibit BMG 1.1, Schedule 26, Page 9 of 13, Column (c), Line 30.</t>
  </si>
  <si>
    <t xml:space="preserve">                 Line 10: Exhibit BMG 1.1, Schedule 26, Page 10 of 13, Column (c), Line 28.</t>
  </si>
  <si>
    <t xml:space="preserve">                 Line 11: Exhibit BMG 1.1, Schedule 26, Page 11 of 13, Column (c), Line 11.</t>
  </si>
  <si>
    <t xml:space="preserve">                 Line 12: Exhibit BMG 1.1, Schedule 26, Page 12 of 13, Column (c), Line 2.</t>
  </si>
  <si>
    <t xml:space="preserve">                 Line 13: Exhibit BMG 1.1, Schedule 26, Page 13 of 13, Column (b), Line 4.</t>
  </si>
  <si>
    <t>Source:  Columns (c) and (d) from Exhibit BMG 1.1, Schedule 26, Page 2 of 13.</t>
  </si>
  <si>
    <t xml:space="preserve">                  Line 5: Exhibit BMG 1.1, Schedule 27, Page 2 of 2. </t>
  </si>
  <si>
    <t xml:space="preserve">  Line 3 - Exhibit BMG 1.1, Sch 4 WP pg. 1,  Line 11</t>
  </si>
  <si>
    <t xml:space="preserve">  Line 3 - Exhibit BMG 1.1, Sch 5 WP pg. 1, Line 29 + Line 31</t>
  </si>
  <si>
    <t xml:space="preserve">  Line 5 - Exhibit BMG 1.1, Sch 5 WP pg. 1, Line 36</t>
  </si>
  <si>
    <t xml:space="preserve">  Line 3 - Exhibit BMG 1.1, Sch 6 WP pg. 1, Line 5</t>
  </si>
  <si>
    <t xml:space="preserve">  Line 3 - Exhibit BMG 1.1, Sch 7 WP pg. 1, Line 16</t>
  </si>
  <si>
    <t xml:space="preserve">  Line 3 - Exhibit BMG 1.1, Sch 8 WP pg. 1, Line 12</t>
  </si>
  <si>
    <t xml:space="preserve">  Line 3 - hibit BMG 1.1, Sch 9 WP pg. 1, Line 22</t>
  </si>
  <si>
    <t xml:space="preserve">  Line 1 - Exhibit BMG 1.1, Sch 10 WP pg. 1, Line 2</t>
  </si>
  <si>
    <t xml:space="preserve">  Line 2 - Exhibit BMG 1.1, Sch 10 WP pg. 1, Line 4</t>
  </si>
  <si>
    <t xml:space="preserve">  Line 3 - WExhibit BMG 1.1, Sch 10 WP pg. 1, Line 5</t>
  </si>
  <si>
    <t xml:space="preserve">  Line 3 - Exhibit BMG 1.1, Sch 11 WP pg. 1, Line 7</t>
  </si>
  <si>
    <t xml:space="preserve">  Line 3 - Exhibit BMG 1.1, Sch 12 WP pg. 1, Line 5</t>
  </si>
  <si>
    <t xml:space="preserve">  Line 3 - Exhibit BMG 1.1, Sch 13 WP pg. 1, Line 5</t>
  </si>
  <si>
    <t xml:space="preserve">  Line 3 - Exhibit BMG 1.1, Sch 14 WP pg. 1, Line 6</t>
  </si>
  <si>
    <t xml:space="preserve">  Line 3 - Exhibit BMG 1.1, Sch 15 WP pg. 1, Line 21</t>
  </si>
  <si>
    <t xml:space="preserve">  Line 6 - Exhibit BMG 1.1, Sch 15 WP pg. 1, Line 23</t>
  </si>
  <si>
    <t xml:space="preserve">  Line 7 - Exhibit BMG 1.1, Sch 15 WP pg. 1, Line 25</t>
  </si>
  <si>
    <t xml:space="preserve">  Line 8 - Exhibit BMG 1.1, Sch 15 WP pg. 1, Line 27</t>
  </si>
  <si>
    <t xml:space="preserve">  Line 3 - Exhibit BMG 1.1, Sch 16 WP pg. 1, Line 7</t>
  </si>
  <si>
    <t xml:space="preserve">  Line 2 - Exhibit BMG 1.1, Sch 17 WP pg. 1, Line 7</t>
  </si>
  <si>
    <t xml:space="preserve">  Line 4 - Exhibit BMG 1.1, Sch 17 WP pg. 1, Line 8</t>
  </si>
  <si>
    <t>Line No.</t>
  </si>
  <si>
    <t>Line
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</si>
</sst>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0."/>
    <numFmt numFmtId="166" formatCode="0.000%"/>
    <numFmt numFmtId="167" formatCode="_(&quot;$&quot;* #,##0_);_(&quot;$&quot;* \(#,##0\);_(&quot;$&quot;* &quot;-&quot;??_);_(@_)"/>
    <numFmt numFmtId="168" formatCode="_(* #,##0_);_(* \(#,##0\);_(* &quot;-&quot;??_);_(@_)"/>
    <numFmt numFmtId="169" formatCode="_(&quot;$&quot;* #,##0.0000_);_(&quot;$&quot;* \(#,##0.0000\);_(&quot;$&quot;* &quot;-&quot;??_);_(@_)"/>
    <numFmt numFmtId="170" formatCode="0.000_)"/>
    <numFmt numFmtId="171" formatCode="0.00_)"/>
    <numFmt numFmtId="172" formatCode="&quot;$&quot;#,##0.00"/>
    <numFmt numFmtId="173" formatCode="0.0%"/>
    <numFmt numFmtId="174" formatCode="mm/dd/yy"/>
    <numFmt numFmtId="175" formatCode="_(* #,##0.0_);_(* \(#,##0.0\);_(* &quot;-&quot;?_);_(@_)"/>
    <numFmt numFmtId="176" formatCode="0.0000%"/>
    <numFmt numFmtId="177" formatCode="0.00000"/>
    <numFmt numFmtId="178" formatCode="_(* #,##0.000_);_(* \(#,##0.000\);_(* &quot;-&quot;??_);_(@_)"/>
  </numFmts>
  <fonts count="5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Helvetica"/>
    </font>
    <font>
      <sz val="8"/>
      <name val="Helvetica"/>
      <family val="2"/>
    </font>
    <font>
      <sz val="8"/>
      <name val="Arial"/>
      <family val="2"/>
    </font>
    <font>
      <sz val="12"/>
      <name val="Times New Roman"/>
      <family val="1"/>
    </font>
    <font>
      <sz val="8"/>
      <name val="Century Schoolbook"/>
      <family val="1"/>
    </font>
    <font>
      <sz val="8"/>
      <name val="NewCenturySchlbk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Tms Rm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  <family val="2"/>
    </font>
    <font>
      <sz val="10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name val="Times New Roman"/>
      <family val="1"/>
    </font>
    <font>
      <sz val="12"/>
      <color indexed="62"/>
      <name val="Times New Roman"/>
      <family val="1"/>
    </font>
    <font>
      <sz val="12"/>
      <color indexed="10"/>
      <name val="Times New Roman"/>
      <family val="1"/>
    </font>
    <font>
      <sz val="12"/>
      <color indexed="18"/>
      <name val="Times New Roman"/>
      <family val="1"/>
    </font>
    <font>
      <sz val="12"/>
      <color indexed="17"/>
      <name val="Times New Roman"/>
      <family val="1"/>
    </font>
    <font>
      <u/>
      <sz val="12"/>
      <name val="Times New Roman"/>
      <family val="1"/>
    </font>
    <font>
      <sz val="12"/>
      <color indexed="8"/>
      <name val="Times New Roman"/>
      <family val="1"/>
    </font>
    <font>
      <b/>
      <sz val="10"/>
      <name val="Arial"/>
      <family val="2"/>
    </font>
    <font>
      <sz val="10"/>
      <name val="Times New Roman"/>
      <family val="1"/>
    </font>
    <font>
      <sz val="12"/>
      <color theme="3"/>
      <name val="Times New Roman"/>
      <family val="1"/>
    </font>
    <font>
      <b/>
      <sz val="12"/>
      <color rgb="FFFF0000"/>
      <name val="Times New Roman"/>
      <family val="1"/>
    </font>
    <font>
      <sz val="10"/>
      <name val="Arial"/>
      <family val="2"/>
    </font>
    <font>
      <sz val="12"/>
      <color theme="1"/>
      <name val="Times New Roman"/>
      <family val="1"/>
    </font>
    <font>
      <u/>
      <sz val="12"/>
      <color theme="1"/>
      <name val="Times New Roman"/>
      <family val="1"/>
    </font>
    <font>
      <u val="singleAccounting"/>
      <sz val="12"/>
      <name val="Times New Roman"/>
      <family val="1"/>
    </font>
    <font>
      <b/>
      <u/>
      <sz val="12"/>
      <name val="Times New Roman"/>
      <family val="1"/>
    </font>
    <font>
      <u/>
      <sz val="12"/>
      <color indexed="8"/>
      <name val="Times New Roman"/>
      <family val="1"/>
    </font>
    <font>
      <sz val="10"/>
      <color theme="1"/>
      <name val="Arial Unicode MS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</borders>
  <cellStyleXfs count="132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6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7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3" borderId="0" applyNumberFormat="0" applyBorder="0" applyAlignment="0" applyProtection="0"/>
    <xf numFmtId="0" fontId="15" fillId="20" borderId="12" applyNumberFormat="0" applyAlignment="0" applyProtection="0"/>
    <xf numFmtId="0" fontId="16" fillId="21" borderId="13" applyNumberFormat="0" applyAlignment="0" applyProtection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170" fontId="17" fillId="0" borderId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14" applyNumberFormat="0" applyFill="0" applyAlignment="0" applyProtection="0"/>
    <xf numFmtId="0" fontId="21" fillId="0" borderId="15" applyNumberFormat="0" applyFill="0" applyAlignment="0" applyProtection="0"/>
    <xf numFmtId="0" fontId="22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23" fillId="7" borderId="12" applyNumberFormat="0" applyAlignment="0" applyProtection="0"/>
    <xf numFmtId="0" fontId="24" fillId="0" borderId="17" applyNumberFormat="0" applyFill="0" applyAlignment="0" applyProtection="0"/>
    <xf numFmtId="0" fontId="25" fillId="22" borderId="0" applyNumberFormat="0" applyBorder="0" applyAlignment="0" applyProtection="0"/>
    <xf numFmtId="171" fontId="26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27" fillId="0" borderId="0"/>
    <xf numFmtId="0" fontId="7" fillId="0" borderId="0"/>
    <xf numFmtId="0" fontId="4" fillId="0" borderId="0"/>
    <xf numFmtId="0" fontId="11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23" borderId="18" applyNumberFormat="0" applyFont="0" applyAlignment="0" applyProtection="0"/>
    <xf numFmtId="0" fontId="28" fillId="20" borderId="19" applyNumberFormat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20" applyNumberFormat="0" applyFill="0" applyAlignment="0" applyProtection="0"/>
    <xf numFmtId="0" fontId="31" fillId="0" borderId="0" applyNumberFormat="0" applyFill="0" applyBorder="0" applyAlignment="0" applyProtection="0"/>
    <xf numFmtId="0" fontId="5" fillId="0" borderId="0"/>
    <xf numFmtId="0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2" fontId="43" fillId="0" borderId="0" applyFont="0" applyFill="0" applyBorder="0" applyAlignment="0" applyProtection="0"/>
  </cellStyleXfs>
  <cellXfs count="307">
    <xf numFmtId="0" fontId="0" fillId="0" borderId="0" xfId="0"/>
    <xf numFmtId="0" fontId="9" fillId="0" borderId="0" xfId="8" applyFont="1"/>
    <xf numFmtId="0" fontId="9" fillId="0" borderId="0" xfId="11" applyFont="1"/>
    <xf numFmtId="0" fontId="9" fillId="0" borderId="0" xfId="11" applyFont="1" applyAlignment="1">
      <alignment horizontal="center"/>
    </xf>
    <xf numFmtId="0" fontId="9" fillId="0" borderId="1" xfId="11" applyFont="1" applyBorder="1" applyAlignment="1">
      <alignment horizontal="center"/>
    </xf>
    <xf numFmtId="165" fontId="9" fillId="0" borderId="0" xfId="11" applyNumberFormat="1" applyFont="1"/>
    <xf numFmtId="5" fontId="9" fillId="0" borderId="0" xfId="11" applyNumberFormat="1" applyFont="1"/>
    <xf numFmtId="167" fontId="9" fillId="0" borderId="0" xfId="11" applyNumberFormat="1" applyFont="1"/>
    <xf numFmtId="0" fontId="9" fillId="0" borderId="0" xfId="10" applyFont="1"/>
    <xf numFmtId="167" fontId="9" fillId="0" borderId="1" xfId="11" applyNumberFormat="1" applyFont="1" applyBorder="1"/>
    <xf numFmtId="42" fontId="9" fillId="0" borderId="2" xfId="11" applyNumberFormat="1" applyFont="1" applyBorder="1"/>
    <xf numFmtId="165" fontId="9" fillId="0" borderId="0" xfId="10" applyNumberFormat="1" applyFont="1"/>
    <xf numFmtId="42" fontId="9" fillId="0" borderId="0" xfId="10" applyNumberFormat="1" applyFont="1"/>
    <xf numFmtId="0" fontId="32" fillId="0" borderId="0" xfId="11" applyFont="1"/>
    <xf numFmtId="44" fontId="9" fillId="0" borderId="0" xfId="11" applyNumberFormat="1" applyFont="1"/>
    <xf numFmtId="167" fontId="32" fillId="0" borderId="4" xfId="10" applyNumberFormat="1" applyFont="1" applyBorder="1"/>
    <xf numFmtId="0" fontId="9" fillId="0" borderId="0" xfId="0" applyFont="1"/>
    <xf numFmtId="0" fontId="9" fillId="0" borderId="0" xfId="0" quotePrefix="1" applyFont="1"/>
    <xf numFmtId="0" fontId="9" fillId="0" borderId="0" xfId="0" applyFont="1" applyAlignment="1">
      <alignment horizontal="center"/>
    </xf>
    <xf numFmtId="0" fontId="9" fillId="0" borderId="0" xfId="3" applyFont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166" fontId="9" fillId="0" borderId="0" xfId="12" applyNumberFormat="1" applyFont="1"/>
    <xf numFmtId="0" fontId="9" fillId="0" borderId="0" xfId="3" applyFont="1"/>
    <xf numFmtId="168" fontId="33" fillId="0" borderId="0" xfId="1" applyNumberFormat="1" applyFont="1"/>
    <xf numFmtId="166" fontId="33" fillId="0" borderId="0" xfId="12" applyNumberFormat="1" applyFont="1"/>
    <xf numFmtId="165" fontId="9" fillId="0" borderId="0" xfId="0" applyNumberFormat="1" applyFont="1"/>
    <xf numFmtId="168" fontId="9" fillId="0" borderId="0" xfId="1" applyNumberFormat="1" applyFont="1"/>
    <xf numFmtId="37" fontId="33" fillId="0" borderId="0" xfId="3" applyNumberFormat="1" applyFont="1"/>
    <xf numFmtId="166" fontId="34" fillId="0" borderId="0" xfId="12" applyNumberFormat="1" applyFont="1"/>
    <xf numFmtId="168" fontId="9" fillId="0" borderId="0" xfId="3" applyNumberFormat="1" applyFont="1"/>
    <xf numFmtId="164" fontId="9" fillId="0" borderId="0" xfId="0" applyNumberFormat="1" applyFont="1"/>
    <xf numFmtId="164" fontId="9" fillId="0" borderId="1" xfId="0" applyNumberFormat="1" applyFont="1" applyBorder="1"/>
    <xf numFmtId="164" fontId="9" fillId="0" borderId="2" xfId="0" applyNumberFormat="1" applyFont="1" applyBorder="1"/>
    <xf numFmtId="164" fontId="9" fillId="0" borderId="5" xfId="0" applyNumberFormat="1" applyFont="1" applyBorder="1"/>
    <xf numFmtId="3" fontId="9" fillId="0" borderId="0" xfId="0" applyNumberFormat="1" applyFont="1"/>
    <xf numFmtId="0" fontId="32" fillId="0" borderId="0" xfId="0" applyFont="1" applyAlignment="1">
      <alignment horizontal="center"/>
    </xf>
    <xf numFmtId="9" fontId="9" fillId="0" borderId="1" xfId="0" applyNumberFormat="1" applyFont="1" applyBorder="1" applyAlignment="1">
      <alignment horizontal="center"/>
    </xf>
    <xf numFmtId="0" fontId="9" fillId="0" borderId="0" xfId="0" quotePrefix="1" applyFont="1" applyAlignment="1">
      <alignment horizontal="center"/>
    </xf>
    <xf numFmtId="5" fontId="9" fillId="0" borderId="0" xfId="0" applyNumberFormat="1" applyFont="1"/>
    <xf numFmtId="5" fontId="9" fillId="0" borderId="1" xfId="0" applyNumberFormat="1" applyFont="1" applyBorder="1"/>
    <xf numFmtId="5" fontId="9" fillId="0" borderId="5" xfId="0" applyNumberFormat="1" applyFont="1" applyBorder="1"/>
    <xf numFmtId="5" fontId="9" fillId="0" borderId="2" xfId="0" applyNumberFormat="1" applyFont="1" applyBorder="1"/>
    <xf numFmtId="0" fontId="32" fillId="0" borderId="0" xfId="0" applyFont="1"/>
    <xf numFmtId="0" fontId="9" fillId="0" borderId="0" xfId="0" applyFont="1" applyAlignment="1">
      <alignment horizontal="right"/>
    </xf>
    <xf numFmtId="41" fontId="9" fillId="0" borderId="0" xfId="8" applyNumberFormat="1" applyFont="1"/>
    <xf numFmtId="0" fontId="9" fillId="0" borderId="0" xfId="8" applyFont="1" applyAlignment="1">
      <alignment horizontal="center"/>
    </xf>
    <xf numFmtId="0" fontId="9" fillId="0" borderId="1" xfId="8" applyFont="1" applyBorder="1" applyAlignment="1">
      <alignment horizontal="center"/>
    </xf>
    <xf numFmtId="10" fontId="9" fillId="0" borderId="0" xfId="12" applyNumberFormat="1" applyFont="1"/>
    <xf numFmtId="0" fontId="32" fillId="0" borderId="0" xfId="8" applyFont="1"/>
    <xf numFmtId="0" fontId="9" fillId="0" borderId="0" xfId="4" applyFont="1"/>
    <xf numFmtId="0" fontId="9" fillId="0" borderId="10" xfId="11" applyFont="1" applyBorder="1"/>
    <xf numFmtId="168" fontId="9" fillId="0" borderId="10" xfId="1" applyNumberFormat="1" applyFont="1" applyBorder="1" applyAlignment="1">
      <alignment horizontal="center"/>
    </xf>
    <xf numFmtId="0" fontId="9" fillId="0" borderId="10" xfId="11" applyFont="1" applyBorder="1" applyAlignment="1">
      <alignment horizontal="center"/>
    </xf>
    <xf numFmtId="168" fontId="9" fillId="0" borderId="0" xfId="1" applyNumberFormat="1" applyFont="1" applyBorder="1" applyAlignment="1">
      <alignment horizontal="center"/>
    </xf>
    <xf numFmtId="168" fontId="32" fillId="0" borderId="6" xfId="1" applyNumberFormat="1" applyFont="1" applyBorder="1"/>
    <xf numFmtId="168" fontId="9" fillId="0" borderId="0" xfId="1" applyNumberFormat="1" applyFont="1" applyBorder="1" applyAlignment="1"/>
    <xf numFmtId="164" fontId="35" fillId="0" borderId="0" xfId="1" applyNumberFormat="1" applyFont="1" applyBorder="1" applyAlignment="1"/>
    <xf numFmtId="164" fontId="35" fillId="0" borderId="0" xfId="5" applyNumberFormat="1" applyFont="1"/>
    <xf numFmtId="168" fontId="35" fillId="0" borderId="0" xfId="1" applyNumberFormat="1" applyFont="1" applyBorder="1" applyAlignment="1"/>
    <xf numFmtId="164" fontId="9" fillId="0" borderId="0" xfId="1" applyNumberFormat="1" applyFont="1" applyBorder="1" applyAlignment="1"/>
    <xf numFmtId="3" fontId="35" fillId="0" borderId="0" xfId="5" applyNumberFormat="1" applyFont="1"/>
    <xf numFmtId="168" fontId="35" fillId="0" borderId="0" xfId="1" applyNumberFormat="1" applyFont="1"/>
    <xf numFmtId="3" fontId="9" fillId="0" borderId="0" xfId="1" applyNumberFormat="1" applyFont="1" applyBorder="1" applyAlignment="1"/>
    <xf numFmtId="168" fontId="36" fillId="0" borderId="0" xfId="1" applyNumberFormat="1" applyFont="1"/>
    <xf numFmtId="10" fontId="9" fillId="0" borderId="3" xfId="12" applyNumberFormat="1" applyFont="1" applyBorder="1"/>
    <xf numFmtId="0" fontId="9" fillId="0" borderId="0" xfId="5" applyFont="1" applyAlignment="1">
      <alignment horizontal="center"/>
    </xf>
    <xf numFmtId="0" fontId="9" fillId="0" borderId="0" xfId="5" applyFont="1"/>
    <xf numFmtId="0" fontId="37" fillId="0" borderId="0" xfId="5" applyFont="1"/>
    <xf numFmtId="164" fontId="9" fillId="0" borderId="0" xfId="5" applyNumberFormat="1" applyFont="1"/>
    <xf numFmtId="167" fontId="9" fillId="0" borderId="0" xfId="2" applyNumberFormat="1" applyFont="1" applyBorder="1" applyAlignment="1"/>
    <xf numFmtId="168" fontId="35" fillId="0" borderId="0" xfId="54" applyNumberFormat="1" applyFont="1"/>
    <xf numFmtId="168" fontId="9" fillId="0" borderId="0" xfId="54" applyNumberFormat="1" applyFont="1"/>
    <xf numFmtId="10" fontId="9" fillId="0" borderId="0" xfId="97" applyNumberFormat="1" applyFont="1"/>
    <xf numFmtId="10" fontId="9" fillId="0" borderId="3" xfId="97" applyNumberFormat="1" applyFont="1" applyBorder="1"/>
    <xf numFmtId="0" fontId="9" fillId="0" borderId="10" xfId="11" applyFont="1" applyBorder="1" applyAlignment="1">
      <alignment horizontal="centerContinuous"/>
    </xf>
    <xf numFmtId="0" fontId="32" fillId="0" borderId="0" xfId="11" applyFont="1" applyAlignment="1">
      <alignment horizontal="center"/>
    </xf>
    <xf numFmtId="167" fontId="35" fillId="0" borderId="0" xfId="2" applyNumberFormat="1" applyFont="1"/>
    <xf numFmtId="167" fontId="9" fillId="0" borderId="0" xfId="2" applyNumberFormat="1" applyFont="1"/>
    <xf numFmtId="167" fontId="9" fillId="0" borderId="0" xfId="2" applyNumberFormat="1" applyFont="1" applyBorder="1"/>
    <xf numFmtId="167" fontId="32" fillId="0" borderId="6" xfId="11" applyNumberFormat="1" applyFont="1" applyBorder="1"/>
    <xf numFmtId="167" fontId="32" fillId="0" borderId="7" xfId="11" applyNumberFormat="1" applyFont="1" applyBorder="1"/>
    <xf numFmtId="167" fontId="32" fillId="0" borderId="8" xfId="2" applyNumberFormat="1" applyFont="1" applyBorder="1"/>
    <xf numFmtId="167" fontId="32" fillId="0" borderId="9" xfId="2" applyNumberFormat="1" applyFont="1" applyBorder="1"/>
    <xf numFmtId="168" fontId="9" fillId="0" borderId="0" xfId="1" applyNumberFormat="1" applyFont="1" applyAlignment="1">
      <alignment horizontal="center"/>
    </xf>
    <xf numFmtId="0" fontId="9" fillId="0" borderId="1" xfId="11" applyFont="1" applyBorder="1"/>
    <xf numFmtId="168" fontId="9" fillId="0" borderId="1" xfId="1" applyNumberFormat="1" applyFont="1" applyBorder="1" applyAlignment="1">
      <alignment horizontal="center"/>
    </xf>
    <xf numFmtId="10" fontId="9" fillId="0" borderId="0" xfId="1" applyNumberFormat="1" applyFont="1"/>
    <xf numFmtId="167" fontId="9" fillId="0" borderId="0" xfId="13" applyNumberFormat="1" applyFont="1"/>
    <xf numFmtId="168" fontId="9" fillId="0" borderId="0" xfId="11" applyNumberFormat="1" applyFont="1"/>
    <xf numFmtId="0" fontId="9" fillId="0" borderId="0" xfId="7" applyFont="1"/>
    <xf numFmtId="0" fontId="9" fillId="0" borderId="0" xfId="7" applyFont="1" applyAlignment="1">
      <alignment horizontal="center"/>
    </xf>
    <xf numFmtId="0" fontId="9" fillId="0" borderId="1" xfId="7" applyFont="1" applyBorder="1" applyAlignment="1">
      <alignment horizontal="center"/>
    </xf>
    <xf numFmtId="165" fontId="9" fillId="0" borderId="0" xfId="7" applyNumberFormat="1" applyFont="1"/>
    <xf numFmtId="0" fontId="9" fillId="0" borderId="0" xfId="7" applyFont="1" applyAlignment="1">
      <alignment horizontal="left" indent="1"/>
    </xf>
    <xf numFmtId="5" fontId="9" fillId="0" borderId="0" xfId="7" applyNumberFormat="1" applyFont="1"/>
    <xf numFmtId="5" fontId="9" fillId="0" borderId="2" xfId="7" applyNumberFormat="1" applyFont="1" applyBorder="1"/>
    <xf numFmtId="0" fontId="9" fillId="0" borderId="0" xfId="9" applyFont="1"/>
    <xf numFmtId="0" fontId="32" fillId="0" borderId="0" xfId="7" applyFont="1"/>
    <xf numFmtId="5" fontId="32" fillId="0" borderId="0" xfId="7" applyNumberFormat="1" applyFont="1"/>
    <xf numFmtId="5" fontId="32" fillId="0" borderId="4" xfId="7" applyNumberFormat="1" applyFont="1" applyBorder="1"/>
    <xf numFmtId="169" fontId="32" fillId="0" borderId="0" xfId="2" applyNumberFormat="1" applyFont="1"/>
    <xf numFmtId="0" fontId="32" fillId="0" borderId="0" xfId="7" applyFont="1" applyAlignment="1">
      <alignment horizontal="left"/>
    </xf>
    <xf numFmtId="168" fontId="32" fillId="0" borderId="0" xfId="1" applyNumberFormat="1" applyFont="1"/>
    <xf numFmtId="168" fontId="32" fillId="0" borderId="0" xfId="2" applyNumberFormat="1" applyFont="1"/>
    <xf numFmtId="0" fontId="32" fillId="0" borderId="0" xfId="9" applyFont="1"/>
    <xf numFmtId="0" fontId="9" fillId="0" borderId="0" xfId="109" applyFont="1"/>
    <xf numFmtId="0" fontId="9" fillId="0" borderId="0" xfId="109" applyFont="1" applyAlignment="1">
      <alignment horizontal="right"/>
    </xf>
    <xf numFmtId="0" fontId="9" fillId="0" borderId="1" xfId="109" applyFont="1" applyBorder="1" applyAlignment="1">
      <alignment horizontal="center"/>
    </xf>
    <xf numFmtId="0" fontId="9" fillId="0" borderId="0" xfId="109" applyFont="1" applyAlignment="1">
      <alignment horizontal="center"/>
    </xf>
    <xf numFmtId="165" fontId="9" fillId="0" borderId="0" xfId="109" applyNumberFormat="1" applyFont="1"/>
    <xf numFmtId="3" fontId="9" fillId="0" borderId="0" xfId="109" applyNumberFormat="1" applyFont="1"/>
    <xf numFmtId="172" fontId="9" fillId="0" borderId="0" xfId="109" applyNumberFormat="1" applyFont="1"/>
    <xf numFmtId="5" fontId="9" fillId="0" borderId="5" xfId="109" applyNumberFormat="1" applyFont="1" applyBorder="1"/>
    <xf numFmtId="164" fontId="9" fillId="0" borderId="0" xfId="109" applyNumberFormat="1" applyFont="1"/>
    <xf numFmtId="0" fontId="32" fillId="0" borderId="0" xfId="109" applyFont="1"/>
    <xf numFmtId="164" fontId="32" fillId="0" borderId="6" xfId="109" applyNumberFormat="1" applyFont="1" applyBorder="1"/>
    <xf numFmtId="0" fontId="9" fillId="0" borderId="0" xfId="110" applyFont="1"/>
    <xf numFmtId="0" fontId="37" fillId="0" borderId="0" xfId="109" applyFont="1" applyAlignment="1">
      <alignment horizontal="center"/>
    </xf>
    <xf numFmtId="0" fontId="9" fillId="0" borderId="0" xfId="109" quotePrefix="1" applyFont="1" applyAlignment="1">
      <alignment horizontal="center"/>
    </xf>
    <xf numFmtId="0" fontId="9" fillId="0" borderId="0" xfId="109" quotePrefix="1" applyFont="1" applyAlignment="1">
      <alignment horizontal="right"/>
    </xf>
    <xf numFmtId="0" fontId="9" fillId="0" borderId="0" xfId="109" quotePrefix="1" applyFont="1"/>
    <xf numFmtId="168" fontId="9" fillId="0" borderId="5" xfId="109" applyNumberFormat="1" applyFont="1" applyBorder="1"/>
    <xf numFmtId="168" fontId="9" fillId="0" borderId="4" xfId="109" applyNumberFormat="1" applyFont="1" applyBorder="1"/>
    <xf numFmtId="0" fontId="9" fillId="0" borderId="0" xfId="110" applyFont="1" applyAlignment="1">
      <alignment horizontal="center"/>
    </xf>
    <xf numFmtId="9" fontId="9" fillId="0" borderId="0" xfId="0" applyNumberFormat="1" applyFont="1" applyAlignment="1">
      <alignment horizontal="left"/>
    </xf>
    <xf numFmtId="5" fontId="32" fillId="0" borderId="4" xfId="0" applyNumberFormat="1" applyFont="1" applyBorder="1"/>
    <xf numFmtId="0" fontId="9" fillId="0" borderId="0" xfId="14" applyFont="1"/>
    <xf numFmtId="0" fontId="9" fillId="0" borderId="1" xfId="14" applyFont="1" applyBorder="1"/>
    <xf numFmtId="0" fontId="9" fillId="0" borderId="1" xfId="14" applyFont="1" applyBorder="1" applyAlignment="1">
      <alignment horizontal="centerContinuous"/>
    </xf>
    <xf numFmtId="0" fontId="9" fillId="0" borderId="1" xfId="14" applyFont="1" applyBorder="1" applyAlignment="1">
      <alignment horizontal="center"/>
    </xf>
    <xf numFmtId="0" fontId="32" fillId="0" borderId="0" xfId="14" applyFont="1"/>
    <xf numFmtId="0" fontId="9" fillId="0" borderId="0" xfId="14" applyFont="1" applyAlignment="1">
      <alignment horizontal="centerContinuous"/>
    </xf>
    <xf numFmtId="0" fontId="9" fillId="0" borderId="0" xfId="14" applyFont="1" applyAlignment="1">
      <alignment horizontal="center"/>
    </xf>
    <xf numFmtId="0" fontId="32" fillId="0" borderId="0" xfId="14" applyFont="1" applyAlignment="1">
      <alignment horizontal="center"/>
    </xf>
    <xf numFmtId="165" fontId="9" fillId="0" borderId="0" xfId="14" applyNumberFormat="1" applyFont="1"/>
    <xf numFmtId="10" fontId="35" fillId="0" borderId="0" xfId="16" applyNumberFormat="1" applyFont="1"/>
    <xf numFmtId="167" fontId="9" fillId="0" borderId="0" xfId="17" applyNumberFormat="1" applyFont="1"/>
    <xf numFmtId="0" fontId="9" fillId="0" borderId="0" xfId="14" applyFont="1" applyAlignment="1">
      <alignment horizontal="left"/>
    </xf>
    <xf numFmtId="167" fontId="32" fillId="0" borderId="0" xfId="17" applyNumberFormat="1" applyFont="1"/>
    <xf numFmtId="0" fontId="32" fillId="0" borderId="0" xfId="14" applyFont="1" applyAlignment="1">
      <alignment horizontal="left" indent="2"/>
    </xf>
    <xf numFmtId="167" fontId="32" fillId="0" borderId="4" xfId="17" applyNumberFormat="1" applyFont="1" applyBorder="1"/>
    <xf numFmtId="167" fontId="9" fillId="0" borderId="0" xfId="14" applyNumberFormat="1" applyFont="1"/>
    <xf numFmtId="168" fontId="32" fillId="0" borderId="10" xfId="1" applyNumberFormat="1" applyFont="1" applyBorder="1" applyAlignment="1">
      <alignment horizontal="center"/>
    </xf>
    <xf numFmtId="0" fontId="32" fillId="0" borderId="10" xfId="11" applyFont="1" applyBorder="1" applyAlignment="1">
      <alignment horizontal="center"/>
    </xf>
    <xf numFmtId="168" fontId="32" fillId="0" borderId="0" xfId="1" applyNumberFormat="1" applyFont="1" applyBorder="1" applyAlignment="1">
      <alignment horizontal="center"/>
    </xf>
    <xf numFmtId="0" fontId="9" fillId="0" borderId="0" xfId="11" applyFont="1" applyAlignment="1">
      <alignment horizontal="left"/>
    </xf>
    <xf numFmtId="5" fontId="9" fillId="0" borderId="0" xfId="1" applyNumberFormat="1" applyFont="1"/>
    <xf numFmtId="5" fontId="9" fillId="0" borderId="0" xfId="1" applyNumberFormat="1" applyFont="1" applyBorder="1"/>
    <xf numFmtId="5" fontId="9" fillId="0" borderId="1" xfId="1" applyNumberFormat="1" applyFont="1" applyBorder="1"/>
    <xf numFmtId="5" fontId="9" fillId="0" borderId="2" xfId="1" applyNumberFormat="1" applyFont="1" applyBorder="1"/>
    <xf numFmtId="5" fontId="32" fillId="0" borderId="6" xfId="1" applyNumberFormat="1" applyFont="1" applyBorder="1"/>
    <xf numFmtId="173" fontId="9" fillId="0" borderId="1" xfId="12" applyNumberFormat="1" applyFont="1" applyBorder="1"/>
    <xf numFmtId="0" fontId="40" fillId="0" borderId="0" xfId="0" applyFont="1"/>
    <xf numFmtId="168" fontId="9" fillId="0" borderId="1" xfId="1" applyNumberFormat="1" applyFont="1" applyBorder="1"/>
    <xf numFmtId="0" fontId="5" fillId="0" borderId="0" xfId="0" applyFont="1"/>
    <xf numFmtId="0" fontId="0" fillId="0" borderId="0" xfId="0" applyAlignment="1">
      <alignment horizontal="center"/>
    </xf>
    <xf numFmtId="0" fontId="39" fillId="0" borderId="0" xfId="0" applyFont="1"/>
    <xf numFmtId="167" fontId="9" fillId="0" borderId="0" xfId="13" applyNumberFormat="1" applyFont="1" applyFill="1"/>
    <xf numFmtId="168" fontId="9" fillId="0" borderId="0" xfId="1" applyNumberFormat="1" applyFont="1" applyFill="1"/>
    <xf numFmtId="168" fontId="9" fillId="0" borderId="0" xfId="1" applyNumberFormat="1" applyFont="1" applyFill="1" applyBorder="1"/>
    <xf numFmtId="37" fontId="9" fillId="0" borderId="0" xfId="8" applyNumberFormat="1" applyFont="1"/>
    <xf numFmtId="168" fontId="9" fillId="0" borderId="1" xfId="1" applyNumberFormat="1" applyFont="1" applyFill="1" applyBorder="1"/>
    <xf numFmtId="168" fontId="9" fillId="0" borderId="2" xfId="1" applyNumberFormat="1" applyFont="1" applyFill="1" applyBorder="1"/>
    <xf numFmtId="0" fontId="41" fillId="0" borderId="0" xfId="5" applyFont="1"/>
    <xf numFmtId="5" fontId="9" fillId="0" borderId="2" xfId="12" applyNumberFormat="1" applyFont="1" applyBorder="1"/>
    <xf numFmtId="0" fontId="9" fillId="0" borderId="0" xfId="78" applyFont="1"/>
    <xf numFmtId="168" fontId="9" fillId="0" borderId="0" xfId="123" applyNumberFormat="1" applyFont="1"/>
    <xf numFmtId="10" fontId="35" fillId="0" borderId="0" xfId="124" applyNumberFormat="1" applyFont="1"/>
    <xf numFmtId="167" fontId="9" fillId="0" borderId="0" xfId="125" applyNumberFormat="1" applyFont="1"/>
    <xf numFmtId="0" fontId="32" fillId="0" borderId="0" xfId="7" applyFont="1" applyAlignment="1">
      <alignment horizontal="left" indent="1"/>
    </xf>
    <xf numFmtId="168" fontId="32" fillId="0" borderId="4" xfId="54" applyNumberFormat="1" applyFont="1" applyBorder="1"/>
    <xf numFmtId="167" fontId="32" fillId="0" borderId="0" xfId="125" applyNumberFormat="1" applyFont="1"/>
    <xf numFmtId="177" fontId="9" fillId="0" borderId="0" xfId="0" applyNumberFormat="1" applyFont="1"/>
    <xf numFmtId="167" fontId="9" fillId="0" borderId="1" xfId="125" applyNumberFormat="1" applyFont="1" applyBorder="1"/>
    <xf numFmtId="167" fontId="9" fillId="0" borderId="0" xfId="125" applyNumberFormat="1" applyFont="1" applyBorder="1"/>
    <xf numFmtId="168" fontId="32" fillId="0" borderId="4" xfId="7" applyNumberFormat="1" applyFont="1" applyBorder="1"/>
    <xf numFmtId="167" fontId="38" fillId="0" borderId="0" xfId="2" applyNumberFormat="1" applyFont="1" applyFill="1"/>
    <xf numFmtId="167" fontId="32" fillId="0" borderId="4" xfId="7" applyNumberFormat="1" applyFont="1" applyBorder="1"/>
    <xf numFmtId="0" fontId="42" fillId="0" borderId="0" xfId="0" applyFont="1" applyAlignment="1">
      <alignment horizontal="center"/>
    </xf>
    <xf numFmtId="178" fontId="9" fillId="0" borderId="0" xfId="0" applyNumberFormat="1" applyFont="1"/>
    <xf numFmtId="168" fontId="9" fillId="0" borderId="0" xfId="0" applyNumberFormat="1" applyFont="1"/>
    <xf numFmtId="168" fontId="9" fillId="0" borderId="1" xfId="0" applyNumberFormat="1" applyFont="1" applyBorder="1"/>
    <xf numFmtId="168" fontId="9" fillId="0" borderId="2" xfId="0" applyNumberFormat="1" applyFont="1" applyBorder="1"/>
    <xf numFmtId="168" fontId="9" fillId="0" borderId="3" xfId="0" applyNumberFormat="1" applyFont="1" applyBorder="1"/>
    <xf numFmtId="168" fontId="9" fillId="0" borderId="0" xfId="127" applyNumberFormat="1" applyFont="1" applyAlignment="1">
      <alignment horizontal="center"/>
    </xf>
    <xf numFmtId="0" fontId="44" fillId="0" borderId="0" xfId="126" applyFont="1"/>
    <xf numFmtId="168" fontId="9" fillId="0" borderId="0" xfId="127" applyNumberFormat="1" applyFont="1"/>
    <xf numFmtId="168" fontId="9" fillId="0" borderId="0" xfId="127" applyNumberFormat="1" applyFont="1" applyBorder="1" applyAlignment="1">
      <alignment horizontal="center"/>
    </xf>
    <xf numFmtId="0" fontId="45" fillId="0" borderId="0" xfId="126" applyFont="1"/>
    <xf numFmtId="168" fontId="45" fillId="0" borderId="0" xfId="127" applyNumberFormat="1" applyFont="1" applyAlignment="1">
      <alignment horizontal="center"/>
    </xf>
    <xf numFmtId="168" fontId="45" fillId="0" borderId="0" xfId="127" applyNumberFormat="1" applyFont="1"/>
    <xf numFmtId="0" fontId="44" fillId="0" borderId="0" xfId="126" applyFont="1" applyAlignment="1">
      <alignment horizontal="center"/>
    </xf>
    <xf numFmtId="165" fontId="9" fillId="0" borderId="0" xfId="11" applyNumberFormat="1" applyFont="1" applyAlignment="1">
      <alignment horizontal="center"/>
    </xf>
    <xf numFmtId="168" fontId="44" fillId="0" borderId="0" xfId="126" applyNumberFormat="1" applyFont="1"/>
    <xf numFmtId="165" fontId="44" fillId="0" borderId="0" xfId="126" applyNumberFormat="1" applyFont="1" applyAlignment="1">
      <alignment horizontal="center"/>
    </xf>
    <xf numFmtId="167" fontId="9" fillId="0" borderId="2" xfId="2" applyNumberFormat="1" applyFont="1" applyBorder="1"/>
    <xf numFmtId="0" fontId="44" fillId="0" borderId="0" xfId="126" applyFont="1" applyAlignment="1">
      <alignment horizontal="right"/>
    </xf>
    <xf numFmtId="0" fontId="32" fillId="0" borderId="0" xfId="110" applyFont="1"/>
    <xf numFmtId="0" fontId="32" fillId="0" borderId="0" xfId="110" applyFont="1" applyAlignment="1">
      <alignment horizontal="center"/>
    </xf>
    <xf numFmtId="165" fontId="9" fillId="0" borderId="0" xfId="110" applyNumberFormat="1" applyFont="1"/>
    <xf numFmtId="42" fontId="9" fillId="0" borderId="0" xfId="1" applyNumberFormat="1" applyFont="1" applyFill="1"/>
    <xf numFmtId="42" fontId="9" fillId="0" borderId="0" xfId="1" applyNumberFormat="1" applyFont="1"/>
    <xf numFmtId="42" fontId="9" fillId="0" borderId="0" xfId="78" applyNumberFormat="1" applyFont="1"/>
    <xf numFmtId="167" fontId="32" fillId="0" borderId="4" xfId="2" applyNumberFormat="1" applyFont="1" applyBorder="1"/>
    <xf numFmtId="0" fontId="9" fillId="0" borderId="0" xfId="0" applyFont="1" applyAlignment="1">
      <alignment horizontal="centerContinuous"/>
    </xf>
    <xf numFmtId="0" fontId="37" fillId="0" borderId="0" xfId="0" applyFont="1" applyAlignment="1">
      <alignment horizontal="center"/>
    </xf>
    <xf numFmtId="166" fontId="9" fillId="0" borderId="0" xfId="0" applyNumberFormat="1" applyFont="1" applyAlignment="1">
      <alignment horizontal="center"/>
    </xf>
    <xf numFmtId="164" fontId="37" fillId="0" borderId="0" xfId="0" applyNumberFormat="1" applyFont="1"/>
    <xf numFmtId="166" fontId="37" fillId="0" borderId="0" xfId="0" applyNumberFormat="1" applyFont="1" applyAlignment="1">
      <alignment horizontal="center"/>
    </xf>
    <xf numFmtId="14" fontId="9" fillId="0" borderId="0" xfId="0" applyNumberFormat="1" applyFont="1" applyAlignment="1">
      <alignment horizontal="left"/>
    </xf>
    <xf numFmtId="17" fontId="9" fillId="0" borderId="0" xfId="0" quotePrefix="1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49" fontId="9" fillId="0" borderId="0" xfId="0" quotePrefix="1" applyNumberFormat="1" applyFont="1" applyAlignment="1">
      <alignment horizontal="center"/>
    </xf>
    <xf numFmtId="41" fontId="9" fillId="0" borderId="0" xfId="0" applyNumberFormat="1" applyFont="1"/>
    <xf numFmtId="37" fontId="9" fillId="0" borderId="0" xfId="0" applyNumberFormat="1" applyFont="1"/>
    <xf numFmtId="41" fontId="37" fillId="0" borderId="0" xfId="0" applyNumberFormat="1" applyFont="1"/>
    <xf numFmtId="41" fontId="46" fillId="0" borderId="0" xfId="0" applyNumberFormat="1" applyFont="1"/>
    <xf numFmtId="43" fontId="9" fillId="0" borderId="0" xfId="0" applyNumberFormat="1" applyFont="1"/>
    <xf numFmtId="0" fontId="9" fillId="0" borderId="0" xfId="0" applyFont="1" applyAlignment="1">
      <alignment horizontal="left"/>
    </xf>
    <xf numFmtId="37" fontId="9" fillId="0" borderId="1" xfId="0" applyNumberFormat="1" applyFont="1" applyBorder="1"/>
    <xf numFmtId="0" fontId="38" fillId="0" borderId="0" xfId="0" applyFont="1"/>
    <xf numFmtId="41" fontId="38" fillId="0" borderId="0" xfId="0" applyNumberFormat="1" applyFont="1"/>
    <xf numFmtId="0" fontId="9" fillId="0" borderId="0" xfId="0" quotePrefix="1" applyFont="1" applyAlignment="1">
      <alignment horizontal="right"/>
    </xf>
    <xf numFmtId="0" fontId="47" fillId="0" borderId="0" xfId="0" applyFont="1" applyAlignment="1">
      <alignment horizontal="center"/>
    </xf>
    <xf numFmtId="41" fontId="9" fillId="0" borderId="1" xfId="0" applyNumberFormat="1" applyFont="1" applyBorder="1"/>
    <xf numFmtId="10" fontId="9" fillId="0" borderId="0" xfId="0" applyNumberFormat="1" applyFont="1" applyAlignment="1">
      <alignment horizontal="center"/>
    </xf>
    <xf numFmtId="14" fontId="9" fillId="0" borderId="0" xfId="0" applyNumberFormat="1" applyFont="1" applyAlignment="1">
      <alignment horizontal="center"/>
    </xf>
    <xf numFmtId="14" fontId="9" fillId="0" borderId="0" xfId="0" applyNumberFormat="1" applyFont="1"/>
    <xf numFmtId="0" fontId="9" fillId="0" borderId="0" xfId="0" applyFont="1" applyAlignment="1">
      <alignment horizontal="center" vertical="center"/>
    </xf>
    <xf numFmtId="176" fontId="9" fillId="0" borderId="0" xfId="0" applyNumberFormat="1" applyFont="1"/>
    <xf numFmtId="174" fontId="9" fillId="0" borderId="0" xfId="0" quotePrefix="1" applyNumberFormat="1" applyFont="1" applyAlignment="1">
      <alignment horizontal="center"/>
    </xf>
    <xf numFmtId="14" fontId="9" fillId="0" borderId="0" xfId="0" quotePrefix="1" applyNumberFormat="1" applyFont="1" applyAlignment="1">
      <alignment horizontal="center"/>
    </xf>
    <xf numFmtId="166" fontId="9" fillId="0" borderId="0" xfId="12" applyNumberFormat="1" applyFont="1" applyFill="1" applyAlignment="1">
      <alignment horizontal="center"/>
    </xf>
    <xf numFmtId="166" fontId="9" fillId="0" borderId="0" xfId="0" applyNumberFormat="1" applyFont="1" applyAlignment="1">
      <alignment horizontal="right"/>
    </xf>
    <xf numFmtId="176" fontId="9" fillId="0" borderId="0" xfId="0" applyNumberFormat="1" applyFont="1" applyAlignment="1">
      <alignment horizontal="right"/>
    </xf>
    <xf numFmtId="166" fontId="9" fillId="0" borderId="0" xfId="0" applyNumberFormat="1" applyFont="1"/>
    <xf numFmtId="49" fontId="9" fillId="0" borderId="0" xfId="0" applyNumberFormat="1" applyFont="1"/>
    <xf numFmtId="38" fontId="9" fillId="0" borderId="0" xfId="0" applyNumberFormat="1" applyFont="1"/>
    <xf numFmtId="41" fontId="9" fillId="0" borderId="0" xfId="0" applyNumberFormat="1" applyFont="1" applyAlignment="1">
      <alignment horizontal="center"/>
    </xf>
    <xf numFmtId="174" fontId="9" fillId="0" borderId="0" xfId="0" applyNumberFormat="1" applyFont="1" applyAlignment="1">
      <alignment horizontal="center"/>
    </xf>
    <xf numFmtId="41" fontId="9" fillId="0" borderId="21" xfId="0" applyNumberFormat="1" applyFont="1" applyBorder="1"/>
    <xf numFmtId="41" fontId="9" fillId="0" borderId="0" xfId="0" quotePrefix="1" applyNumberFormat="1" applyFont="1" applyAlignment="1">
      <alignment horizontal="center"/>
    </xf>
    <xf numFmtId="17" fontId="9" fillId="0" borderId="0" xfId="0" applyNumberFormat="1" applyFont="1"/>
    <xf numFmtId="37" fontId="9" fillId="0" borderId="21" xfId="0" applyNumberFormat="1" applyFont="1" applyBorder="1"/>
    <xf numFmtId="173" fontId="9" fillId="0" borderId="0" xfId="12" applyNumberFormat="1" applyFont="1"/>
    <xf numFmtId="41" fontId="34" fillId="0" borderId="0" xfId="0" applyNumberFormat="1" applyFont="1"/>
    <xf numFmtId="175" fontId="9" fillId="0" borderId="0" xfId="0" applyNumberFormat="1" applyFont="1"/>
    <xf numFmtId="41" fontId="48" fillId="0" borderId="0" xfId="0" quotePrefix="1" applyNumberFormat="1" applyFont="1"/>
    <xf numFmtId="166" fontId="9" fillId="0" borderId="0" xfId="12" applyNumberFormat="1" applyFont="1" applyAlignment="1">
      <alignment horizontal="center"/>
    </xf>
    <xf numFmtId="42" fontId="9" fillId="0" borderId="0" xfId="0" applyNumberFormat="1" applyFont="1"/>
    <xf numFmtId="0" fontId="9" fillId="0" borderId="1" xfId="78" applyFont="1" applyBorder="1"/>
    <xf numFmtId="165" fontId="9" fillId="0" borderId="0" xfId="78" applyNumberFormat="1" applyFont="1"/>
    <xf numFmtId="166" fontId="9" fillId="0" borderId="1" xfId="11" applyNumberFormat="1" applyFont="1" applyBorder="1"/>
    <xf numFmtId="167" fontId="9" fillId="0" borderId="1" xfId="13" applyNumberFormat="1" applyFont="1" applyFill="1" applyBorder="1"/>
    <xf numFmtId="167" fontId="9" fillId="0" borderId="1" xfId="13" applyNumberFormat="1" applyFont="1" applyBorder="1"/>
    <xf numFmtId="5" fontId="9" fillId="0" borderId="0" xfId="109" applyNumberFormat="1" applyFont="1"/>
    <xf numFmtId="166" fontId="9" fillId="0" borderId="1" xfId="12" applyNumberFormat="1" applyFont="1" applyFill="1" applyBorder="1"/>
    <xf numFmtId="0" fontId="37" fillId="0" borderId="0" xfId="8" applyFont="1"/>
    <xf numFmtId="0" fontId="9" fillId="0" borderId="0" xfId="0" applyFont="1" applyAlignment="1">
      <alignment horizontal="left" indent="1"/>
    </xf>
    <xf numFmtId="37" fontId="9" fillId="0" borderId="0" xfId="109" applyNumberFormat="1" applyFont="1"/>
    <xf numFmtId="37" fontId="9" fillId="0" borderId="5" xfId="109" applyNumberFormat="1" applyFont="1" applyBorder="1"/>
    <xf numFmtId="43" fontId="9" fillId="0" borderId="0" xfId="54" applyFont="1"/>
    <xf numFmtId="168" fontId="9" fillId="0" borderId="0" xfId="54" applyNumberFormat="1" applyFont="1" applyFill="1"/>
    <xf numFmtId="49" fontId="49" fillId="0" borderId="0" xfId="0" applyNumberFormat="1" applyFont="1" applyAlignment="1">
      <alignment wrapText="1"/>
    </xf>
    <xf numFmtId="49" fontId="49" fillId="0" borderId="0" xfId="0" applyNumberFormat="1" applyFont="1"/>
    <xf numFmtId="0" fontId="0" fillId="0" borderId="0" xfId="0" applyAlignment="1">
      <alignment wrapText="1"/>
    </xf>
    <xf numFmtId="0" fontId="44" fillId="0" borderId="1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42" fontId="49" fillId="0" borderId="0" xfId="131" applyFont="1" applyAlignment="1">
      <alignment wrapText="1"/>
    </xf>
    <xf numFmtId="42" fontId="0" fillId="0" borderId="0" xfId="131" applyFont="1"/>
    <xf numFmtId="42" fontId="39" fillId="0" borderId="0" xfId="131" applyFont="1"/>
    <xf numFmtId="10" fontId="9" fillId="0" borderId="0" xfId="12" applyNumberFormat="1" applyFont="1" applyBorder="1"/>
    <xf numFmtId="0" fontId="9" fillId="0" borderId="0" xfId="6" applyFont="1" applyAlignment="1">
      <alignment horizontal="center"/>
    </xf>
    <xf numFmtId="0" fontId="9" fillId="0" borderId="0" xfId="81" applyFont="1"/>
    <xf numFmtId="0" fontId="32" fillId="0" borderId="0" xfId="0" applyFont="1" applyAlignment="1">
      <alignment horizontal="left"/>
    </xf>
    <xf numFmtId="0" fontId="9" fillId="0" borderId="1" xfId="7" applyFont="1" applyBorder="1" applyAlignment="1">
      <alignment horizontal="center" wrapText="1"/>
    </xf>
    <xf numFmtId="0" fontId="9" fillId="0" borderId="1" xfId="14" applyFont="1" applyBorder="1" applyAlignment="1">
      <alignment wrapText="1"/>
    </xf>
    <xf numFmtId="0" fontId="32" fillId="0" borderId="10" xfId="11" applyFont="1" applyBorder="1" applyAlignment="1">
      <alignment wrapText="1"/>
    </xf>
    <xf numFmtId="0" fontId="9" fillId="0" borderId="1" xfId="0" applyFont="1" applyBorder="1" applyAlignment="1">
      <alignment horizontal="center" wrapText="1"/>
    </xf>
    <xf numFmtId="0" fontId="9" fillId="0" borderId="0" xfId="11" applyFont="1" applyAlignment="1">
      <alignment wrapText="1"/>
    </xf>
    <xf numFmtId="0" fontId="9" fillId="0" borderId="10" xfId="11" applyFont="1" applyBorder="1" applyAlignment="1">
      <alignment wrapText="1"/>
    </xf>
    <xf numFmtId="0" fontId="9" fillId="0" borderId="1" xfId="78" applyFont="1" applyBorder="1" applyAlignment="1">
      <alignment horizontal="center" wrapText="1"/>
    </xf>
    <xf numFmtId="0" fontId="9" fillId="0" borderId="1" xfId="14" applyFont="1" applyBorder="1" applyAlignment="1">
      <alignment horizontal="center"/>
    </xf>
    <xf numFmtId="0" fontId="9" fillId="0" borderId="1" xfId="14" applyFont="1" applyBorder="1"/>
    <xf numFmtId="0" fontId="9" fillId="0" borderId="0" xfId="14" applyFont="1" applyAlignment="1">
      <alignment horizontal="center"/>
    </xf>
    <xf numFmtId="0" fontId="9" fillId="0" borderId="0" xfId="14" applyFont="1"/>
    <xf numFmtId="0" fontId="9" fillId="0" borderId="0" xfId="0" applyFont="1" applyAlignment="1">
      <alignment horizontal="center"/>
    </xf>
    <xf numFmtId="0" fontId="9" fillId="0" borderId="0" xfId="7" applyFont="1" applyAlignment="1">
      <alignment horizontal="center"/>
    </xf>
    <xf numFmtId="0" fontId="9" fillId="0" borderId="0" xfId="11" applyFont="1" applyAlignment="1">
      <alignment horizontal="center"/>
    </xf>
    <xf numFmtId="0" fontId="9" fillId="0" borderId="0" xfId="0" quotePrefix="1" applyFont="1" applyAlignment="1">
      <alignment horizontal="center"/>
    </xf>
    <xf numFmtId="0" fontId="9" fillId="0" borderId="0" xfId="8" applyFont="1" applyAlignment="1">
      <alignment horizontal="center"/>
    </xf>
    <xf numFmtId="168" fontId="9" fillId="0" borderId="1" xfId="127" applyNumberFormat="1" applyFont="1" applyBorder="1" applyAlignment="1">
      <alignment horizontal="center"/>
    </xf>
    <xf numFmtId="0" fontId="9" fillId="0" borderId="0" xfId="126" applyFont="1" applyAlignment="1">
      <alignment horizontal="center"/>
    </xf>
    <xf numFmtId="0" fontId="9" fillId="0" borderId="10" xfId="11" applyFont="1" applyBorder="1" applyAlignment="1">
      <alignment horizontal="center"/>
    </xf>
    <xf numFmtId="0" fontId="9" fillId="0" borderId="10" xfId="11" applyFont="1" applyBorder="1"/>
    <xf numFmtId="0" fontId="9" fillId="0" borderId="11" xfId="11" applyFont="1" applyBorder="1" applyAlignment="1">
      <alignment horizontal="center"/>
    </xf>
    <xf numFmtId="0" fontId="9" fillId="0" borderId="11" xfId="11" applyFont="1" applyBorder="1"/>
    <xf numFmtId="0" fontId="9" fillId="0" borderId="0" xfId="11" applyFont="1"/>
    <xf numFmtId="0" fontId="9" fillId="0" borderId="1" xfId="11" applyFont="1" applyBorder="1" applyAlignment="1">
      <alignment horizontal="center"/>
    </xf>
    <xf numFmtId="0" fontId="9" fillId="0" borderId="1" xfId="11" applyFont="1" applyBorder="1"/>
    <xf numFmtId="0" fontId="9" fillId="0" borderId="0" xfId="110" applyFont="1" applyAlignment="1">
      <alignment horizontal="center"/>
    </xf>
    <xf numFmtId="0" fontId="9" fillId="0" borderId="0" xfId="109" applyFont="1" applyAlignment="1">
      <alignment horizontal="center"/>
    </xf>
    <xf numFmtId="0" fontId="9" fillId="0" borderId="0" xfId="78" applyFont="1" applyAlignment="1">
      <alignment horizontal="center"/>
    </xf>
    <xf numFmtId="0" fontId="32" fillId="0" borderId="10" xfId="11" applyFont="1" applyBorder="1" applyAlignment="1">
      <alignment horizontal="center"/>
    </xf>
    <xf numFmtId="15" fontId="9" fillId="0" borderId="0" xfId="0" applyNumberFormat="1" applyFont="1" applyAlignment="1">
      <alignment horizontal="center"/>
    </xf>
    <xf numFmtId="15" fontId="9" fillId="0" borderId="0" xfId="0" quotePrefix="1" applyNumberFormat="1" applyFont="1" applyAlignment="1">
      <alignment horizontal="center"/>
    </xf>
  </cellXfs>
  <cellStyles count="132">
    <cellStyle name="20% - Accent1 2" xfId="18" xr:uid="{00000000-0005-0000-0000-000000000000}"/>
    <cellStyle name="20% - Accent2 2" xfId="19" xr:uid="{00000000-0005-0000-0000-000001000000}"/>
    <cellStyle name="20% - Accent3 2" xfId="20" xr:uid="{00000000-0005-0000-0000-000002000000}"/>
    <cellStyle name="20% - Accent4 2" xfId="21" xr:uid="{00000000-0005-0000-0000-000003000000}"/>
    <cellStyle name="20% - Accent5 2" xfId="22" xr:uid="{00000000-0005-0000-0000-000004000000}"/>
    <cellStyle name="20% - Accent6 2" xfId="23" xr:uid="{00000000-0005-0000-0000-000005000000}"/>
    <cellStyle name="40% - Accent1 2" xfId="24" xr:uid="{00000000-0005-0000-0000-000006000000}"/>
    <cellStyle name="40% - Accent2 2" xfId="25" xr:uid="{00000000-0005-0000-0000-000007000000}"/>
    <cellStyle name="40% - Accent3 2" xfId="26" xr:uid="{00000000-0005-0000-0000-000008000000}"/>
    <cellStyle name="40% - Accent4 2" xfId="27" xr:uid="{00000000-0005-0000-0000-000009000000}"/>
    <cellStyle name="40% - Accent5 2" xfId="28" xr:uid="{00000000-0005-0000-0000-00000A000000}"/>
    <cellStyle name="40% - Accent6 2" xfId="29" xr:uid="{00000000-0005-0000-0000-00000B000000}"/>
    <cellStyle name="60% - Accent1 2" xfId="30" xr:uid="{00000000-0005-0000-0000-00000C000000}"/>
    <cellStyle name="60% - Accent2 2" xfId="31" xr:uid="{00000000-0005-0000-0000-00000D000000}"/>
    <cellStyle name="60% - Accent3 2" xfId="32" xr:uid="{00000000-0005-0000-0000-00000E000000}"/>
    <cellStyle name="60% - Accent4 2" xfId="33" xr:uid="{00000000-0005-0000-0000-00000F000000}"/>
    <cellStyle name="60% - Accent5 2" xfId="34" xr:uid="{00000000-0005-0000-0000-000010000000}"/>
    <cellStyle name="60% - Accent6 2" xfId="35" xr:uid="{00000000-0005-0000-0000-000011000000}"/>
    <cellStyle name="Accent1 2" xfId="36" xr:uid="{00000000-0005-0000-0000-000012000000}"/>
    <cellStyle name="Accent2 2" xfId="37" xr:uid="{00000000-0005-0000-0000-000013000000}"/>
    <cellStyle name="Accent3 2" xfId="38" xr:uid="{00000000-0005-0000-0000-000014000000}"/>
    <cellStyle name="Accent4 2" xfId="39" xr:uid="{00000000-0005-0000-0000-000015000000}"/>
    <cellStyle name="Accent5 2" xfId="40" xr:uid="{00000000-0005-0000-0000-000016000000}"/>
    <cellStyle name="Accent6 2" xfId="41" xr:uid="{00000000-0005-0000-0000-000017000000}"/>
    <cellStyle name="Bad 2" xfId="42" xr:uid="{00000000-0005-0000-0000-000018000000}"/>
    <cellStyle name="Calculation 2" xfId="43" xr:uid="{00000000-0005-0000-0000-000019000000}"/>
    <cellStyle name="Check Cell 2" xfId="44" xr:uid="{00000000-0005-0000-0000-00001A000000}"/>
    <cellStyle name="Comma" xfId="1" builtinId="3"/>
    <cellStyle name="Comma  - Style1" xfId="45" xr:uid="{00000000-0005-0000-0000-00001C000000}"/>
    <cellStyle name="Comma  - Style2" xfId="46" xr:uid="{00000000-0005-0000-0000-00001D000000}"/>
    <cellStyle name="Comma  - Style3" xfId="47" xr:uid="{00000000-0005-0000-0000-00001E000000}"/>
    <cellStyle name="Comma  - Style4" xfId="48" xr:uid="{00000000-0005-0000-0000-00001F000000}"/>
    <cellStyle name="Comma  - Style5" xfId="49" xr:uid="{00000000-0005-0000-0000-000020000000}"/>
    <cellStyle name="Comma  - Style6" xfId="50" xr:uid="{00000000-0005-0000-0000-000021000000}"/>
    <cellStyle name="Comma  - Style7" xfId="51" xr:uid="{00000000-0005-0000-0000-000022000000}"/>
    <cellStyle name="Comma  - Style8" xfId="52" xr:uid="{00000000-0005-0000-0000-000023000000}"/>
    <cellStyle name="Comma [0] 2" xfId="53" xr:uid="{00000000-0005-0000-0000-000025000000}"/>
    <cellStyle name="Comma 10" xfId="127" xr:uid="{00000000-0005-0000-0000-000026000000}"/>
    <cellStyle name="Comma 2" xfId="54" xr:uid="{00000000-0005-0000-0000-000027000000}"/>
    <cellStyle name="Comma 2 2" xfId="55" xr:uid="{00000000-0005-0000-0000-000028000000}"/>
    <cellStyle name="Comma 2 3" xfId="56" xr:uid="{00000000-0005-0000-0000-000029000000}"/>
    <cellStyle name="Comma 3" xfId="57" xr:uid="{00000000-0005-0000-0000-00002A000000}"/>
    <cellStyle name="Comma 4" xfId="58" xr:uid="{00000000-0005-0000-0000-00002B000000}"/>
    <cellStyle name="Comma 4 2" xfId="111" xr:uid="{00000000-0005-0000-0000-00002C000000}"/>
    <cellStyle name="Comma 4 3" xfId="112" xr:uid="{00000000-0005-0000-0000-00002D000000}"/>
    <cellStyle name="Comma 5" xfId="59" xr:uid="{00000000-0005-0000-0000-00002E000000}"/>
    <cellStyle name="Comma 6" xfId="60" xr:uid="{00000000-0005-0000-0000-00002F000000}"/>
    <cellStyle name="Comma 7" xfId="61" xr:uid="{00000000-0005-0000-0000-000030000000}"/>
    <cellStyle name="Comma 8" xfId="15" xr:uid="{00000000-0005-0000-0000-000031000000}"/>
    <cellStyle name="Comma 8 2" xfId="123" xr:uid="{00000000-0005-0000-0000-000032000000}"/>
    <cellStyle name="Comma 9" xfId="113" xr:uid="{00000000-0005-0000-0000-000033000000}"/>
    <cellStyle name="Currency" xfId="2" builtinId="4"/>
    <cellStyle name="Currency [0]" xfId="131" builtinId="7"/>
    <cellStyle name="Currency 2" xfId="62" xr:uid="{00000000-0005-0000-0000-000036000000}"/>
    <cellStyle name="Currency 3" xfId="63" xr:uid="{00000000-0005-0000-0000-000037000000}"/>
    <cellStyle name="Currency 3 2" xfId="64" xr:uid="{00000000-0005-0000-0000-000038000000}"/>
    <cellStyle name="Currency 4" xfId="65" xr:uid="{00000000-0005-0000-0000-000039000000}"/>
    <cellStyle name="Currency 5" xfId="13" xr:uid="{00000000-0005-0000-0000-00003A000000}"/>
    <cellStyle name="Currency 6" xfId="17" xr:uid="{00000000-0005-0000-0000-00003B000000}"/>
    <cellStyle name="Currency 6 2" xfId="125" xr:uid="{00000000-0005-0000-0000-00003C000000}"/>
    <cellStyle name="Currency 7" xfId="66" xr:uid="{00000000-0005-0000-0000-00003D000000}"/>
    <cellStyle name="Currency 7 2" xfId="114" xr:uid="{00000000-0005-0000-0000-00003E000000}"/>
    <cellStyle name="Currency 8" xfId="115" xr:uid="{00000000-0005-0000-0000-00003F000000}"/>
    <cellStyle name="Explanatory Text 2" xfId="67" xr:uid="{00000000-0005-0000-0000-000040000000}"/>
    <cellStyle name="Good 2" xfId="68" xr:uid="{00000000-0005-0000-0000-000041000000}"/>
    <cellStyle name="Heading 1 2" xfId="69" xr:uid="{00000000-0005-0000-0000-000042000000}"/>
    <cellStyle name="Heading 2 2" xfId="70" xr:uid="{00000000-0005-0000-0000-000043000000}"/>
    <cellStyle name="Heading 3 2" xfId="71" xr:uid="{00000000-0005-0000-0000-000044000000}"/>
    <cellStyle name="Heading 4 2" xfId="72" xr:uid="{00000000-0005-0000-0000-000045000000}"/>
    <cellStyle name="Input 2" xfId="73" xr:uid="{00000000-0005-0000-0000-000046000000}"/>
    <cellStyle name="Linked Cell 2" xfId="74" xr:uid="{00000000-0005-0000-0000-000047000000}"/>
    <cellStyle name="Neutral 2" xfId="75" xr:uid="{00000000-0005-0000-0000-000048000000}"/>
    <cellStyle name="Normal" xfId="0" builtinId="0"/>
    <cellStyle name="Normal - Style1" xfId="76" xr:uid="{00000000-0005-0000-0000-00004A000000}"/>
    <cellStyle name="Normal 10" xfId="77" xr:uid="{00000000-0005-0000-0000-00004B000000}"/>
    <cellStyle name="Normal 11" xfId="78" xr:uid="{00000000-0005-0000-0000-00004C000000}"/>
    <cellStyle name="Normal 12" xfId="79" xr:uid="{00000000-0005-0000-0000-00004D000000}"/>
    <cellStyle name="Normal 13" xfId="80" xr:uid="{00000000-0005-0000-0000-00004E000000}"/>
    <cellStyle name="Normal 13 2" xfId="116" xr:uid="{00000000-0005-0000-0000-00004F000000}"/>
    <cellStyle name="Normal 14" xfId="117" xr:uid="{00000000-0005-0000-0000-000050000000}"/>
    <cellStyle name="Normal 15" xfId="126" xr:uid="{00000000-0005-0000-0000-000051000000}"/>
    <cellStyle name="Normal 16" xfId="128" xr:uid="{A1DC2308-EC9C-4BBA-907E-05F27D2750E7}"/>
    <cellStyle name="Normal 17" xfId="130" xr:uid="{B873959F-08A1-433A-AFEB-6BB35F95B0B0}"/>
    <cellStyle name="Normal 18" xfId="129" xr:uid="{C0BD2068-4931-4EAC-8A17-6F2286C3C8DC}"/>
    <cellStyle name="Normal 2" xfId="81" xr:uid="{00000000-0005-0000-0000-000052000000}"/>
    <cellStyle name="Normal 2 2" xfId="82" xr:uid="{00000000-0005-0000-0000-000053000000}"/>
    <cellStyle name="Normal 2 2 2" xfId="83" xr:uid="{00000000-0005-0000-0000-000054000000}"/>
    <cellStyle name="Normal 2 3" xfId="84" xr:uid="{00000000-0005-0000-0000-000055000000}"/>
    <cellStyle name="Normal 2 4" xfId="85" xr:uid="{00000000-0005-0000-0000-000056000000}"/>
    <cellStyle name="Normal 3" xfId="86" xr:uid="{00000000-0005-0000-0000-000057000000}"/>
    <cellStyle name="Normal 4" xfId="87" xr:uid="{00000000-0005-0000-0000-000058000000}"/>
    <cellStyle name="Normal 5" xfId="88" xr:uid="{00000000-0005-0000-0000-000059000000}"/>
    <cellStyle name="Normal 6" xfId="89" xr:uid="{00000000-0005-0000-0000-00005A000000}"/>
    <cellStyle name="Normal 7" xfId="90" xr:uid="{00000000-0005-0000-0000-00005B000000}"/>
    <cellStyle name="Normal 7 2" xfId="91" xr:uid="{00000000-0005-0000-0000-00005C000000}"/>
    <cellStyle name="Normal 8" xfId="92" xr:uid="{00000000-0005-0000-0000-00005D000000}"/>
    <cellStyle name="Normal 8 2" xfId="118" xr:uid="{00000000-0005-0000-0000-00005E000000}"/>
    <cellStyle name="Normal 8 3" xfId="119" xr:uid="{00000000-0005-0000-0000-00005F000000}"/>
    <cellStyle name="Normal 9" xfId="93" xr:uid="{00000000-0005-0000-0000-000060000000}"/>
    <cellStyle name="Normal 9 2" xfId="94" xr:uid="{00000000-0005-0000-0000-000061000000}"/>
    <cellStyle name="Normal_EOP Iowa Gas Growth for December 31, 2001" xfId="109" xr:uid="{00000000-0005-0000-0000-000062000000}"/>
    <cellStyle name="Normal_IGINCSTMNT2000" xfId="3" xr:uid="{00000000-0005-0000-0000-000064000000}"/>
    <cellStyle name="Normal_IncomeProForma2000" xfId="4" xr:uid="{00000000-0005-0000-0000-000065000000}"/>
    <cellStyle name="Normal_Revenue Req SD03" xfId="5" xr:uid="{00000000-0005-0000-0000-000066000000}"/>
    <cellStyle name="Normal_RRTTEXHILL" xfId="6" xr:uid="{00000000-0005-0000-0000-000067000000}"/>
    <cellStyle name="Normal_SalesGrowth2001_SD" xfId="7" xr:uid="{00000000-0005-0000-0000-000068000000}"/>
    <cellStyle name="Normal_SCH C-3" xfId="8" xr:uid="{00000000-0005-0000-0000-000069000000}"/>
    <cellStyle name="Normal_Sd01" xfId="9" xr:uid="{00000000-0005-0000-0000-00006A000000}"/>
    <cellStyle name="Normal_Tunning-Workpapers" xfId="10" xr:uid="{00000000-0005-0000-0000-00006C000000}"/>
    <cellStyle name="Normal_Tunning-Workpapers 2" xfId="110" xr:uid="{00000000-0005-0000-0000-00006D000000}"/>
    <cellStyle name="Normal_Workpapers" xfId="11" xr:uid="{00000000-0005-0000-0000-00006E000000}"/>
    <cellStyle name="Normal_Workpapers 2" xfId="14" xr:uid="{00000000-0005-0000-0000-00006F000000}"/>
    <cellStyle name="Note 2" xfId="95" xr:uid="{00000000-0005-0000-0000-000070000000}"/>
    <cellStyle name="Output 2" xfId="96" xr:uid="{00000000-0005-0000-0000-000071000000}"/>
    <cellStyle name="Percent" xfId="12" builtinId="5"/>
    <cellStyle name="Percent 10" xfId="120" xr:uid="{00000000-0005-0000-0000-000073000000}"/>
    <cellStyle name="Percent 2" xfId="97" xr:uid="{00000000-0005-0000-0000-000074000000}"/>
    <cellStyle name="Percent 2 2" xfId="98" xr:uid="{00000000-0005-0000-0000-000075000000}"/>
    <cellStyle name="Percent 3" xfId="99" xr:uid="{00000000-0005-0000-0000-000076000000}"/>
    <cellStyle name="Percent 4" xfId="100" xr:uid="{00000000-0005-0000-0000-000077000000}"/>
    <cellStyle name="Percent 4 2" xfId="121" xr:uid="{00000000-0005-0000-0000-000078000000}"/>
    <cellStyle name="Percent 4 3" xfId="122" xr:uid="{00000000-0005-0000-0000-000079000000}"/>
    <cellStyle name="Percent 5" xfId="101" xr:uid="{00000000-0005-0000-0000-00007A000000}"/>
    <cellStyle name="Percent 5 2" xfId="102" xr:uid="{00000000-0005-0000-0000-00007B000000}"/>
    <cellStyle name="Percent 6" xfId="103" xr:uid="{00000000-0005-0000-0000-00007C000000}"/>
    <cellStyle name="Percent 7" xfId="104" xr:uid="{00000000-0005-0000-0000-00007D000000}"/>
    <cellStyle name="Percent 8" xfId="16" xr:uid="{00000000-0005-0000-0000-00007E000000}"/>
    <cellStyle name="Percent 8 2" xfId="124" xr:uid="{00000000-0005-0000-0000-00007F000000}"/>
    <cellStyle name="Percent 9" xfId="105" xr:uid="{00000000-0005-0000-0000-000080000000}"/>
    <cellStyle name="Title 2" xfId="106" xr:uid="{00000000-0005-0000-0000-000081000000}"/>
    <cellStyle name="Total 2" xfId="107" xr:uid="{00000000-0005-0000-0000-000082000000}"/>
    <cellStyle name="Warning Text 2" xfId="108" xr:uid="{00000000-0005-0000-0000-000083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abSelected="1" view="pageLayout" zoomScaleNormal="100" workbookViewId="0">
      <selection activeCell="M7" sqref="M7"/>
    </sheetView>
  </sheetViews>
  <sheetFormatPr defaultColWidth="8.85546875" defaultRowHeight="15.75"/>
  <cols>
    <col min="1" max="1" width="5.28515625" style="166" customWidth="1"/>
    <col min="2" max="2" width="0.85546875" style="166" customWidth="1"/>
    <col min="3" max="3" width="2.28515625" style="166" customWidth="1"/>
    <col min="4" max="4" width="14.7109375" style="166" bestFit="1" customWidth="1"/>
    <col min="5" max="6" width="1.7109375" style="166" customWidth="1"/>
    <col min="7" max="11" width="8.85546875" style="166"/>
    <col min="12" max="12" width="8.85546875" style="166" customWidth="1"/>
    <col min="13" max="13" width="9.85546875" style="166" customWidth="1"/>
    <col min="14" max="14" width="8.85546875" style="166"/>
    <col min="15" max="15" width="19.42578125" style="166" bestFit="1" customWidth="1"/>
    <col min="16" max="16384" width="8.85546875" style="166"/>
  </cols>
  <sheetData>
    <row r="1" spans="1:13">
      <c r="A1" s="287" t="s">
        <v>787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</row>
    <row r="2" spans="1:13">
      <c r="A2" s="287" t="s">
        <v>791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</row>
    <row r="3" spans="1:13">
      <c r="A3" s="287" t="s">
        <v>792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</row>
    <row r="4" spans="1:13">
      <c r="A4" s="287" t="s">
        <v>1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</row>
    <row r="5" spans="1:13">
      <c r="A5" s="287" t="s">
        <v>789</v>
      </c>
      <c r="B5" s="287"/>
      <c r="C5" s="287"/>
      <c r="D5" s="287"/>
      <c r="E5" s="287"/>
      <c r="F5" s="287"/>
      <c r="G5" s="287"/>
      <c r="H5" s="287"/>
      <c r="I5" s="287"/>
      <c r="J5" s="287"/>
      <c r="K5" s="287"/>
      <c r="L5" s="287"/>
      <c r="M5" s="287"/>
    </row>
    <row r="6" spans="1:13">
      <c r="A6" s="287" t="s">
        <v>793</v>
      </c>
      <c r="B6" s="287"/>
      <c r="C6" s="287"/>
      <c r="D6" s="287"/>
      <c r="E6" s="287"/>
      <c r="F6" s="287"/>
      <c r="G6" s="287"/>
      <c r="H6" s="287"/>
      <c r="I6" s="287"/>
      <c r="J6" s="287"/>
      <c r="K6" s="287"/>
      <c r="L6" s="287"/>
      <c r="M6" s="287"/>
    </row>
    <row r="8" spans="1:13" ht="31.5">
      <c r="A8" s="282" t="s">
        <v>876</v>
      </c>
      <c r="C8" s="251" t="s">
        <v>3</v>
      </c>
      <c r="D8" s="251"/>
      <c r="E8" s="251"/>
      <c r="F8" s="251"/>
      <c r="G8" s="251"/>
      <c r="H8" s="251"/>
      <c r="I8" s="251"/>
      <c r="J8" s="251"/>
      <c r="K8" s="251"/>
      <c r="L8" s="251"/>
      <c r="M8" s="251"/>
    </row>
    <row r="10" spans="1:13">
      <c r="A10" s="252">
        <v>1</v>
      </c>
      <c r="D10" s="166" t="s">
        <v>4</v>
      </c>
      <c r="F10" s="166" t="s">
        <v>5</v>
      </c>
    </row>
    <row r="11" spans="1:13">
      <c r="A11" s="252">
        <f>+A10+1</f>
        <v>2</v>
      </c>
      <c r="D11" s="166" t="s">
        <v>6</v>
      </c>
      <c r="F11" s="166" t="s">
        <v>7</v>
      </c>
    </row>
    <row r="12" spans="1:13">
      <c r="A12" s="252">
        <f>+A11+1</f>
        <v>3</v>
      </c>
      <c r="D12" s="166" t="s">
        <v>8</v>
      </c>
      <c r="F12" s="166" t="s">
        <v>9</v>
      </c>
    </row>
    <row r="13" spans="1:13">
      <c r="A13" s="252">
        <f>+A12+1</f>
        <v>4</v>
      </c>
      <c r="D13" s="166" t="s">
        <v>10</v>
      </c>
      <c r="F13" s="166" t="s">
        <v>11</v>
      </c>
    </row>
    <row r="14" spans="1:13">
      <c r="A14" s="252">
        <f t="shared" ref="A14:A25" si="0">+A13+1</f>
        <v>5</v>
      </c>
      <c r="D14" s="166" t="s">
        <v>12</v>
      </c>
      <c r="F14" s="166" t="s">
        <v>13</v>
      </c>
    </row>
    <row r="15" spans="1:13">
      <c r="A15" s="252">
        <f t="shared" si="0"/>
        <v>6</v>
      </c>
      <c r="D15" s="166" t="s">
        <v>14</v>
      </c>
      <c r="F15" s="166" t="s">
        <v>15</v>
      </c>
    </row>
    <row r="16" spans="1:13">
      <c r="A16" s="252">
        <f t="shared" si="0"/>
        <v>7</v>
      </c>
      <c r="D16" s="166" t="s">
        <v>16</v>
      </c>
      <c r="F16" s="166" t="s">
        <v>17</v>
      </c>
    </row>
    <row r="17" spans="1:7">
      <c r="A17" s="252">
        <f t="shared" si="0"/>
        <v>8</v>
      </c>
      <c r="D17" s="166" t="s">
        <v>18</v>
      </c>
      <c r="F17" s="166" t="s">
        <v>19</v>
      </c>
    </row>
    <row r="18" spans="1:7">
      <c r="A18" s="252">
        <f t="shared" si="0"/>
        <v>9</v>
      </c>
      <c r="D18" s="166" t="s">
        <v>20</v>
      </c>
      <c r="F18" s="166" t="s">
        <v>21</v>
      </c>
    </row>
    <row r="19" spans="1:7">
      <c r="A19" s="252">
        <f t="shared" si="0"/>
        <v>10</v>
      </c>
      <c r="D19" s="166" t="s">
        <v>22</v>
      </c>
      <c r="F19" s="166" t="s">
        <v>23</v>
      </c>
    </row>
    <row r="20" spans="1:7">
      <c r="A20" s="252">
        <f t="shared" si="0"/>
        <v>11</v>
      </c>
      <c r="D20" s="166" t="s">
        <v>24</v>
      </c>
      <c r="F20" s="166" t="s">
        <v>25</v>
      </c>
    </row>
    <row r="21" spans="1:7">
      <c r="A21" s="252">
        <f t="shared" si="0"/>
        <v>12</v>
      </c>
      <c r="D21" s="166" t="s">
        <v>26</v>
      </c>
      <c r="F21" s="166" t="s">
        <v>27</v>
      </c>
    </row>
    <row r="22" spans="1:7">
      <c r="A22" s="252">
        <f t="shared" si="0"/>
        <v>13</v>
      </c>
      <c r="D22" s="166" t="s">
        <v>28</v>
      </c>
      <c r="F22" s="166" t="s">
        <v>29</v>
      </c>
    </row>
    <row r="23" spans="1:7">
      <c r="A23" s="252">
        <f t="shared" si="0"/>
        <v>14</v>
      </c>
      <c r="D23" s="166" t="s">
        <v>30</v>
      </c>
      <c r="F23" s="166" t="s">
        <v>31</v>
      </c>
    </row>
    <row r="24" spans="1:7">
      <c r="A24" s="252">
        <f t="shared" si="0"/>
        <v>15</v>
      </c>
      <c r="D24" s="166" t="s">
        <v>32</v>
      </c>
      <c r="F24" s="166" t="s">
        <v>33</v>
      </c>
    </row>
    <row r="25" spans="1:7">
      <c r="A25" s="252">
        <f t="shared" si="0"/>
        <v>16</v>
      </c>
      <c r="D25" s="166" t="s">
        <v>34</v>
      </c>
      <c r="F25" s="166" t="s">
        <v>35</v>
      </c>
    </row>
    <row r="26" spans="1:7">
      <c r="A26" s="252">
        <f>+A25+1</f>
        <v>17</v>
      </c>
      <c r="D26" s="166" t="s">
        <v>36</v>
      </c>
      <c r="F26" s="166" t="s">
        <v>37</v>
      </c>
    </row>
    <row r="27" spans="1:7">
      <c r="A27" s="252">
        <f t="shared" ref="A27:A30" si="1">+A26+1</f>
        <v>18</v>
      </c>
      <c r="D27" s="166" t="s">
        <v>38</v>
      </c>
      <c r="F27" s="166" t="s">
        <v>39</v>
      </c>
    </row>
    <row r="28" spans="1:7">
      <c r="A28" s="252">
        <f t="shared" si="1"/>
        <v>19</v>
      </c>
      <c r="D28" s="16" t="s">
        <v>40</v>
      </c>
      <c r="E28" s="16"/>
      <c r="F28" s="16" t="s">
        <v>41</v>
      </c>
      <c r="G28" s="16"/>
    </row>
    <row r="29" spans="1:7">
      <c r="A29" s="252">
        <f t="shared" si="1"/>
        <v>20</v>
      </c>
      <c r="D29" s="16" t="s">
        <v>42</v>
      </c>
      <c r="E29" s="16"/>
      <c r="F29" s="16" t="s">
        <v>43</v>
      </c>
      <c r="G29" s="16"/>
    </row>
    <row r="30" spans="1:7">
      <c r="A30" s="252">
        <f t="shared" si="1"/>
        <v>21</v>
      </c>
      <c r="D30" s="16" t="s">
        <v>44</v>
      </c>
      <c r="E30" s="16"/>
      <c r="F30" s="16" t="s">
        <v>45</v>
      </c>
      <c r="G30" s="16"/>
    </row>
    <row r="31" spans="1:7">
      <c r="A31" s="252"/>
    </row>
  </sheetData>
  <mergeCells count="6">
    <mergeCell ref="A6:M6"/>
    <mergeCell ref="A1:M1"/>
    <mergeCell ref="A2:M2"/>
    <mergeCell ref="A3:M3"/>
    <mergeCell ref="A4:M4"/>
    <mergeCell ref="A5:M5"/>
  </mergeCells>
  <pageMargins left="0.75" right="0.68" top="1" bottom="1" header="0.5" footer="0.5"/>
  <pageSetup orientation="portrait" r:id="rId1"/>
  <headerFooter alignWithMargins="0">
    <oddHeader xml:space="preserve">&amp;RGroen Direct Exhibit 1.1, Schedule Index
&amp;"Arial,Bold"&amp;12
</oddHeader>
  </headerFooter>
  <colBreaks count="1" manualBreakCount="1">
    <brk id="13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N153"/>
  <sheetViews>
    <sheetView view="pageLayout" topLeftCell="A32" zoomScaleNormal="100" workbookViewId="0">
      <selection activeCell="L13" sqref="L13"/>
    </sheetView>
  </sheetViews>
  <sheetFormatPr defaultColWidth="8.85546875" defaultRowHeight="15.75"/>
  <cols>
    <col min="1" max="1" width="6.7109375" style="186" customWidth="1"/>
    <col min="2" max="2" width="12.5703125" style="186" customWidth="1"/>
    <col min="3" max="3" width="1.7109375" style="186" customWidth="1"/>
    <col min="4" max="4" width="12.7109375" style="186" bestFit="1" customWidth="1"/>
    <col min="5" max="5" width="11" style="186" bestFit="1" customWidth="1"/>
    <col min="6" max="6" width="9" style="186" bestFit="1" customWidth="1"/>
    <col min="7" max="7" width="9.85546875" style="186" bestFit="1" customWidth="1"/>
    <col min="8" max="8" width="11" style="186" bestFit="1" customWidth="1"/>
    <col min="9" max="16384" width="8.85546875" style="186"/>
  </cols>
  <sheetData>
    <row r="1" spans="1:14">
      <c r="A1" s="287" t="s">
        <v>787</v>
      </c>
      <c r="B1" s="287"/>
      <c r="C1" s="287"/>
      <c r="D1" s="287"/>
      <c r="E1" s="287"/>
      <c r="F1" s="287"/>
      <c r="G1" s="287"/>
      <c r="H1" s="287"/>
    </row>
    <row r="2" spans="1:14">
      <c r="A2" s="287" t="s">
        <v>791</v>
      </c>
      <c r="B2" s="287"/>
      <c r="C2" s="287"/>
      <c r="D2" s="287"/>
      <c r="E2" s="287"/>
      <c r="F2" s="287"/>
      <c r="G2" s="287"/>
      <c r="H2" s="287"/>
    </row>
    <row r="3" spans="1:14">
      <c r="A3" s="287" t="s">
        <v>792</v>
      </c>
      <c r="B3" s="287"/>
      <c r="C3" s="287"/>
      <c r="D3" s="287"/>
      <c r="E3" s="287"/>
      <c r="F3" s="287"/>
      <c r="G3" s="287"/>
      <c r="H3" s="287"/>
    </row>
    <row r="4" spans="1:14">
      <c r="A4" s="293" t="s">
        <v>112</v>
      </c>
      <c r="B4" s="293"/>
      <c r="C4" s="293"/>
      <c r="D4" s="293"/>
      <c r="E4" s="293"/>
      <c r="F4" s="293"/>
      <c r="G4" s="293"/>
      <c r="H4" s="293"/>
    </row>
    <row r="5" spans="1:14">
      <c r="A5" s="293" t="s">
        <v>324</v>
      </c>
      <c r="B5" s="293"/>
      <c r="C5" s="293"/>
      <c r="D5" s="293"/>
      <c r="E5" s="293"/>
      <c r="F5" s="293"/>
      <c r="G5" s="293"/>
      <c r="H5" s="293"/>
    </row>
    <row r="6" spans="1:14">
      <c r="A6" s="289" t="str">
        <f>'Sch 1 - RevReq'!A5</f>
        <v>FOR THE YEAR ENDING DECEMBER 31, 2025</v>
      </c>
      <c r="B6" s="289"/>
      <c r="C6" s="289"/>
      <c r="D6" s="289"/>
      <c r="E6" s="289"/>
      <c r="F6" s="289"/>
      <c r="G6" s="289"/>
      <c r="H6" s="289"/>
    </row>
    <row r="7" spans="1:14">
      <c r="A7" s="287" t="s">
        <v>793</v>
      </c>
      <c r="B7" s="287"/>
      <c r="C7" s="287"/>
      <c r="D7" s="287"/>
      <c r="E7" s="287"/>
      <c r="F7" s="287"/>
      <c r="G7" s="287"/>
      <c r="H7" s="287"/>
    </row>
    <row r="8" spans="1:14">
      <c r="A8" s="2"/>
      <c r="B8" s="185"/>
      <c r="D8" s="185"/>
      <c r="E8" s="188"/>
      <c r="F8" s="188"/>
      <c r="G8" s="188"/>
      <c r="H8" s="188"/>
    </row>
    <row r="9" spans="1:14">
      <c r="A9" s="2" t="s">
        <v>2</v>
      </c>
      <c r="B9" s="185"/>
      <c r="D9" s="185" t="s">
        <v>363</v>
      </c>
      <c r="E9" s="292" t="s">
        <v>250</v>
      </c>
      <c r="F9" s="292"/>
      <c r="G9" s="292"/>
      <c r="H9" s="292"/>
    </row>
    <row r="10" spans="1:14">
      <c r="A10" s="189" t="s">
        <v>234</v>
      </c>
      <c r="B10" s="190" t="s">
        <v>364</v>
      </c>
      <c r="C10" s="189"/>
      <c r="D10" s="190" t="s">
        <v>365</v>
      </c>
      <c r="E10" s="191" t="s">
        <v>365</v>
      </c>
      <c r="F10" s="191" t="s">
        <v>366</v>
      </c>
      <c r="G10" s="191" t="s">
        <v>367</v>
      </c>
      <c r="H10" s="191" t="s">
        <v>77</v>
      </c>
    </row>
    <row r="11" spans="1:14">
      <c r="A11" s="192" t="s">
        <v>50</v>
      </c>
      <c r="B11" s="192" t="s">
        <v>51</v>
      </c>
      <c r="C11" s="189"/>
      <c r="D11" s="192" t="s">
        <v>86</v>
      </c>
      <c r="E11" s="192" t="s">
        <v>87</v>
      </c>
      <c r="F11" s="192" t="s">
        <v>88</v>
      </c>
      <c r="G11" s="192" t="s">
        <v>89</v>
      </c>
      <c r="H11" s="192" t="s">
        <v>140</v>
      </c>
    </row>
    <row r="12" spans="1:14">
      <c r="A12" s="192"/>
      <c r="B12" s="192"/>
      <c r="C12" s="189"/>
      <c r="D12" s="192"/>
      <c r="E12" s="192"/>
      <c r="F12" s="192"/>
      <c r="G12" s="192"/>
      <c r="H12" s="192"/>
    </row>
    <row r="13" spans="1:14">
      <c r="A13" s="192"/>
      <c r="B13" s="192"/>
      <c r="C13" s="189"/>
      <c r="D13" s="192"/>
      <c r="E13" s="192"/>
      <c r="F13" s="192"/>
      <c r="G13" s="192"/>
      <c r="H13" s="192"/>
    </row>
    <row r="14" spans="1:14">
      <c r="A14" s="193">
        <v>1</v>
      </c>
      <c r="B14" s="186">
        <v>735</v>
      </c>
      <c r="C14" s="194"/>
      <c r="D14" s="78">
        <v>0</v>
      </c>
      <c r="E14" s="78">
        <f t="shared" ref="E14:E49" si="0">D14/D$51*$E$51</f>
        <v>0</v>
      </c>
      <c r="F14" s="78"/>
      <c r="G14" s="78"/>
      <c r="H14" s="78">
        <f>SUM(E14:G14)</f>
        <v>0</v>
      </c>
      <c r="I14" s="194"/>
      <c r="J14" s="194"/>
      <c r="K14" s="194"/>
      <c r="L14" s="194"/>
      <c r="M14" s="194"/>
      <c r="N14" s="194"/>
    </row>
    <row r="15" spans="1:14">
      <c r="A15" s="195">
        <f>A14+1</f>
        <v>2</v>
      </c>
      <c r="B15" s="186">
        <v>813</v>
      </c>
      <c r="D15" s="187">
        <v>165684</v>
      </c>
      <c r="E15" s="187">
        <f t="shared" si="0"/>
        <v>3692.0486150390134</v>
      </c>
      <c r="F15" s="187"/>
      <c r="G15" s="187"/>
      <c r="H15" s="187">
        <f t="shared" ref="H15:H50" si="1">SUM(E15:G15)</f>
        <v>3692.0486150390134</v>
      </c>
    </row>
    <row r="16" spans="1:14">
      <c r="A16" s="195">
        <f t="shared" ref="A16:A51" si="2">A15+1</f>
        <v>3</v>
      </c>
      <c r="B16" s="186">
        <v>840</v>
      </c>
      <c r="D16" s="187">
        <v>109659</v>
      </c>
      <c r="E16" s="187">
        <f t="shared" si="0"/>
        <v>2443.6056533917772</v>
      </c>
      <c r="F16" s="187"/>
      <c r="G16" s="187"/>
      <c r="H16" s="187">
        <f t="shared" si="1"/>
        <v>2443.6056533917772</v>
      </c>
    </row>
    <row r="17" spans="1:8">
      <c r="A17" s="195">
        <f t="shared" si="2"/>
        <v>4</v>
      </c>
      <c r="B17" s="186">
        <v>841</v>
      </c>
      <c r="D17" s="187">
        <v>116176</v>
      </c>
      <c r="E17" s="187">
        <f t="shared" si="0"/>
        <v>2588.8283714828976</v>
      </c>
      <c r="F17" s="187"/>
      <c r="G17" s="187"/>
      <c r="H17" s="187">
        <f t="shared" si="1"/>
        <v>2588.8283714828976</v>
      </c>
    </row>
    <row r="18" spans="1:8">
      <c r="A18" s="195">
        <f t="shared" si="2"/>
        <v>5</v>
      </c>
      <c r="B18" s="186">
        <v>843</v>
      </c>
      <c r="D18" s="187">
        <v>17</v>
      </c>
      <c r="E18" s="187">
        <f t="shared" si="0"/>
        <v>0.37882249617140595</v>
      </c>
      <c r="F18" s="187"/>
      <c r="G18" s="187"/>
      <c r="H18" s="187">
        <f t="shared" si="1"/>
        <v>0.37882249617140595</v>
      </c>
    </row>
    <row r="19" spans="1:8">
      <c r="A19" s="195">
        <f t="shared" si="2"/>
        <v>6</v>
      </c>
      <c r="B19" s="186">
        <v>870</v>
      </c>
      <c r="D19" s="187">
        <v>834961</v>
      </c>
      <c r="E19" s="187">
        <f t="shared" si="0"/>
        <v>18606.000601516076</v>
      </c>
      <c r="F19" s="187"/>
      <c r="G19" s="187"/>
      <c r="H19" s="187">
        <f t="shared" si="1"/>
        <v>18606.000601516076</v>
      </c>
    </row>
    <row r="20" spans="1:8">
      <c r="A20" s="195">
        <f t="shared" si="2"/>
        <v>7</v>
      </c>
      <c r="B20" s="186">
        <v>871</v>
      </c>
      <c r="D20" s="187">
        <v>118652</v>
      </c>
      <c r="E20" s="187">
        <f t="shared" si="0"/>
        <v>2644.0027538664508</v>
      </c>
      <c r="F20" s="187"/>
      <c r="G20" s="187"/>
      <c r="H20" s="187">
        <f t="shared" si="1"/>
        <v>2644.0027538664508</v>
      </c>
    </row>
    <row r="21" spans="1:8">
      <c r="A21" s="195">
        <f t="shared" si="2"/>
        <v>8</v>
      </c>
      <c r="B21" s="186">
        <v>874</v>
      </c>
      <c r="D21" s="187">
        <v>1722651</v>
      </c>
      <c r="E21" s="187">
        <f t="shared" si="0"/>
        <v>38386.997167774629</v>
      </c>
      <c r="F21" s="187"/>
      <c r="G21" s="187"/>
      <c r="H21" s="187">
        <f t="shared" si="1"/>
        <v>38386.997167774629</v>
      </c>
    </row>
    <row r="22" spans="1:8">
      <c r="A22" s="195">
        <f t="shared" si="2"/>
        <v>9</v>
      </c>
      <c r="B22" s="186">
        <v>875</v>
      </c>
      <c r="D22" s="187">
        <v>101190</v>
      </c>
      <c r="E22" s="187">
        <f t="shared" si="0"/>
        <v>2254.8851992696809</v>
      </c>
      <c r="F22" s="187"/>
      <c r="G22" s="187"/>
      <c r="H22" s="187">
        <f t="shared" si="1"/>
        <v>2254.8851992696809</v>
      </c>
    </row>
    <row r="23" spans="1:8">
      <c r="A23" s="195">
        <f t="shared" si="2"/>
        <v>10</v>
      </c>
      <c r="B23" s="186">
        <v>877</v>
      </c>
      <c r="D23" s="187">
        <v>0</v>
      </c>
      <c r="E23" s="187">
        <f t="shared" si="0"/>
        <v>0</v>
      </c>
      <c r="F23" s="187"/>
      <c r="G23" s="187"/>
      <c r="H23" s="187">
        <f t="shared" si="1"/>
        <v>0</v>
      </c>
    </row>
    <row r="24" spans="1:8">
      <c r="A24" s="195">
        <f t="shared" si="2"/>
        <v>11</v>
      </c>
      <c r="B24" s="186">
        <v>878</v>
      </c>
      <c r="D24" s="187">
        <v>1744438</v>
      </c>
      <c r="E24" s="187">
        <f t="shared" si="0"/>
        <v>38872.491622132657</v>
      </c>
      <c r="F24" s="187"/>
      <c r="G24" s="187"/>
      <c r="H24" s="187">
        <f t="shared" si="1"/>
        <v>38872.491622132657</v>
      </c>
    </row>
    <row r="25" spans="1:8">
      <c r="A25" s="195">
        <f t="shared" si="2"/>
        <v>12</v>
      </c>
      <c r="B25" s="186">
        <v>879</v>
      </c>
      <c r="D25" s="187">
        <v>198125</v>
      </c>
      <c r="E25" s="187">
        <f t="shared" si="0"/>
        <v>4414.953356115283</v>
      </c>
      <c r="F25" s="187"/>
      <c r="G25" s="187"/>
      <c r="H25" s="187">
        <f t="shared" si="1"/>
        <v>4414.953356115283</v>
      </c>
    </row>
    <row r="26" spans="1:8">
      <c r="A26" s="195">
        <f t="shared" si="2"/>
        <v>13</v>
      </c>
      <c r="B26" s="186">
        <v>880</v>
      </c>
      <c r="D26" s="187">
        <v>207789</v>
      </c>
      <c r="E26" s="187">
        <f t="shared" si="0"/>
        <v>4630.3028033506043</v>
      </c>
      <c r="F26" s="187"/>
      <c r="G26" s="187"/>
      <c r="H26" s="187">
        <f t="shared" si="1"/>
        <v>4630.3028033506043</v>
      </c>
    </row>
    <row r="27" spans="1:8">
      <c r="A27" s="195">
        <f t="shared" si="2"/>
        <v>14</v>
      </c>
      <c r="B27" s="186">
        <v>886</v>
      </c>
      <c r="D27" s="187">
        <v>2442</v>
      </c>
      <c r="E27" s="187">
        <f t="shared" si="0"/>
        <v>54.416737391210205</v>
      </c>
      <c r="F27" s="187"/>
      <c r="G27" s="187"/>
      <c r="H27" s="187">
        <f>SUM(E27:G27)</f>
        <v>54.416737391210205</v>
      </c>
    </row>
    <row r="28" spans="1:8">
      <c r="A28" s="195">
        <f t="shared" si="2"/>
        <v>15</v>
      </c>
      <c r="B28" s="186">
        <v>887</v>
      </c>
      <c r="D28" s="187">
        <v>83568</v>
      </c>
      <c r="E28" s="187">
        <f t="shared" si="0"/>
        <v>1862.2022564736503</v>
      </c>
      <c r="F28" s="187"/>
      <c r="G28" s="187"/>
      <c r="H28" s="187">
        <f t="shared" si="1"/>
        <v>1862.2022564736503</v>
      </c>
    </row>
    <row r="29" spans="1:8">
      <c r="A29" s="195">
        <f t="shared" si="2"/>
        <v>16</v>
      </c>
      <c r="B29" s="186">
        <v>889</v>
      </c>
      <c r="D29" s="187">
        <v>5148</v>
      </c>
      <c r="E29" s="187">
        <f t="shared" si="0"/>
        <v>114.71636531119988</v>
      </c>
      <c r="F29" s="187"/>
      <c r="G29" s="187"/>
      <c r="H29" s="187">
        <f t="shared" si="1"/>
        <v>114.71636531119988</v>
      </c>
    </row>
    <row r="30" spans="1:8">
      <c r="A30" s="195">
        <f t="shared" si="2"/>
        <v>17</v>
      </c>
      <c r="B30" s="186">
        <v>891</v>
      </c>
      <c r="D30" s="187">
        <v>0</v>
      </c>
      <c r="E30" s="187">
        <f t="shared" si="0"/>
        <v>0</v>
      </c>
      <c r="F30" s="187"/>
      <c r="G30" s="187"/>
      <c r="H30" s="187">
        <f t="shared" si="1"/>
        <v>0</v>
      </c>
    </row>
    <row r="31" spans="1:8">
      <c r="A31" s="195">
        <f t="shared" si="2"/>
        <v>18</v>
      </c>
      <c r="B31" s="186">
        <v>892</v>
      </c>
      <c r="D31" s="187">
        <v>3632</v>
      </c>
      <c r="E31" s="187">
        <f t="shared" si="0"/>
        <v>80.934312123208628</v>
      </c>
      <c r="F31" s="187"/>
      <c r="G31" s="187"/>
      <c r="H31" s="187">
        <f t="shared" si="1"/>
        <v>80.934312123208628</v>
      </c>
    </row>
    <row r="32" spans="1:8">
      <c r="A32" s="195">
        <f t="shared" si="2"/>
        <v>19</v>
      </c>
      <c r="B32" s="186">
        <v>893</v>
      </c>
      <c r="D32" s="187">
        <v>15183</v>
      </c>
      <c r="E32" s="187">
        <f t="shared" si="0"/>
        <v>338.33305643355629</v>
      </c>
      <c r="F32" s="187"/>
      <c r="G32" s="187"/>
      <c r="H32" s="187">
        <f t="shared" si="1"/>
        <v>338.33305643355629</v>
      </c>
    </row>
    <row r="33" spans="1:8">
      <c r="A33" s="195">
        <f t="shared" si="2"/>
        <v>20</v>
      </c>
      <c r="B33" s="186">
        <v>901</v>
      </c>
      <c r="D33" s="187">
        <v>32335</v>
      </c>
      <c r="E33" s="187">
        <f t="shared" si="0"/>
        <v>720.54267139425951</v>
      </c>
      <c r="F33" s="187"/>
      <c r="G33" s="187"/>
      <c r="H33" s="187">
        <f t="shared" si="1"/>
        <v>720.54267139425951</v>
      </c>
    </row>
    <row r="34" spans="1:8">
      <c r="A34" s="195">
        <f t="shared" si="2"/>
        <v>21</v>
      </c>
      <c r="B34" s="186">
        <v>902</v>
      </c>
      <c r="D34" s="187">
        <v>262597</v>
      </c>
      <c r="E34" s="187">
        <f t="shared" si="0"/>
        <v>5851.6265310072167</v>
      </c>
      <c r="F34" s="187"/>
      <c r="G34" s="187"/>
      <c r="H34" s="187">
        <f t="shared" si="1"/>
        <v>5851.6265310072167</v>
      </c>
    </row>
    <row r="35" spans="1:8">
      <c r="A35" s="195">
        <f t="shared" si="2"/>
        <v>22</v>
      </c>
      <c r="B35" s="186">
        <v>903</v>
      </c>
      <c r="D35" s="187">
        <v>283881</v>
      </c>
      <c r="E35" s="187">
        <f t="shared" si="0"/>
        <v>6325.9122962138181</v>
      </c>
      <c r="F35" s="187"/>
      <c r="G35" s="187"/>
      <c r="H35" s="187">
        <f t="shared" si="1"/>
        <v>6325.9122962138181</v>
      </c>
    </row>
    <row r="36" spans="1:8">
      <c r="A36" s="195">
        <f t="shared" si="2"/>
        <v>23</v>
      </c>
      <c r="B36" s="186">
        <v>904</v>
      </c>
      <c r="D36" s="187">
        <v>0</v>
      </c>
      <c r="E36" s="187">
        <f t="shared" si="0"/>
        <v>0</v>
      </c>
      <c r="F36" s="187"/>
      <c r="G36" s="187"/>
      <c r="H36" s="187">
        <f t="shared" si="1"/>
        <v>0</v>
      </c>
    </row>
    <row r="37" spans="1:8">
      <c r="A37" s="195">
        <f t="shared" si="2"/>
        <v>24</v>
      </c>
      <c r="B37" s="186">
        <v>905</v>
      </c>
      <c r="D37" s="187">
        <v>2579</v>
      </c>
      <c r="E37" s="187">
        <f t="shared" si="0"/>
        <v>57.469601036826823</v>
      </c>
      <c r="F37" s="187"/>
      <c r="G37" s="187"/>
      <c r="H37" s="187">
        <f t="shared" si="1"/>
        <v>57.469601036826823</v>
      </c>
    </row>
    <row r="38" spans="1:8">
      <c r="A38" s="195">
        <f t="shared" si="2"/>
        <v>25</v>
      </c>
      <c r="B38" s="186">
        <v>908</v>
      </c>
      <c r="D38" s="187">
        <v>0</v>
      </c>
      <c r="E38" s="187">
        <f t="shared" si="0"/>
        <v>0</v>
      </c>
      <c r="F38" s="187"/>
      <c r="G38" s="187"/>
      <c r="H38" s="187">
        <f t="shared" si="1"/>
        <v>0</v>
      </c>
    </row>
    <row r="39" spans="1:8">
      <c r="A39" s="195">
        <f t="shared" si="2"/>
        <v>26</v>
      </c>
      <c r="B39" s="186">
        <v>909</v>
      </c>
      <c r="D39" s="187">
        <v>0</v>
      </c>
      <c r="E39" s="187">
        <f t="shared" si="0"/>
        <v>0</v>
      </c>
      <c r="F39" s="187"/>
      <c r="G39" s="187"/>
      <c r="H39" s="187">
        <f t="shared" si="1"/>
        <v>0</v>
      </c>
    </row>
    <row r="40" spans="1:8">
      <c r="A40" s="195">
        <f t="shared" si="2"/>
        <v>27</v>
      </c>
      <c r="B40" s="186">
        <v>912</v>
      </c>
      <c r="D40" s="187">
        <v>51323</v>
      </c>
      <c r="E40" s="187">
        <f t="shared" si="0"/>
        <v>1143.6651159414746</v>
      </c>
      <c r="F40" s="187"/>
      <c r="G40" s="187"/>
      <c r="H40" s="187">
        <f t="shared" si="1"/>
        <v>1143.6651159414746</v>
      </c>
    </row>
    <row r="41" spans="1:8">
      <c r="A41" s="195">
        <f t="shared" si="2"/>
        <v>28</v>
      </c>
      <c r="B41" s="186">
        <v>916</v>
      </c>
      <c r="D41" s="187">
        <v>1993</v>
      </c>
      <c r="E41" s="187">
        <f t="shared" si="0"/>
        <v>44.411366757036006</v>
      </c>
      <c r="F41" s="187"/>
      <c r="G41" s="187"/>
      <c r="H41" s="187">
        <f t="shared" si="1"/>
        <v>44.411366757036006</v>
      </c>
    </row>
    <row r="42" spans="1:8">
      <c r="A42" s="195">
        <f t="shared" si="2"/>
        <v>29</v>
      </c>
      <c r="B42" s="186">
        <v>920</v>
      </c>
      <c r="D42" s="187">
        <v>682725</v>
      </c>
      <c r="E42" s="187">
        <f t="shared" si="0"/>
        <v>15213.622864624893</v>
      </c>
      <c r="F42" s="187"/>
      <c r="G42" s="187"/>
      <c r="H42" s="187">
        <f t="shared" si="1"/>
        <v>15213.622864624893</v>
      </c>
    </row>
    <row r="43" spans="1:8">
      <c r="A43" s="195">
        <f t="shared" si="2"/>
        <v>30</v>
      </c>
      <c r="B43" s="186">
        <v>922</v>
      </c>
      <c r="D43" s="187">
        <v>4</v>
      </c>
      <c r="E43" s="187">
        <f t="shared" si="0"/>
        <v>8.9134704981507301E-2</v>
      </c>
      <c r="F43" s="187"/>
      <c r="G43" s="187"/>
      <c r="H43" s="187">
        <f t="shared" si="1"/>
        <v>8.9134704981507301E-2</v>
      </c>
    </row>
    <row r="44" spans="1:8">
      <c r="A44" s="195">
        <f t="shared" si="2"/>
        <v>31</v>
      </c>
      <c r="B44" s="186">
        <v>924</v>
      </c>
      <c r="D44" s="187">
        <v>8808</v>
      </c>
      <c r="E44" s="187">
        <f t="shared" si="0"/>
        <v>196.27462036927903</v>
      </c>
      <c r="F44" s="187"/>
      <c r="G44" s="187"/>
      <c r="H44" s="187">
        <f t="shared" si="1"/>
        <v>196.27462036927903</v>
      </c>
    </row>
    <row r="45" spans="1:8">
      <c r="A45" s="195">
        <f t="shared" si="2"/>
        <v>32</v>
      </c>
      <c r="B45" s="186">
        <v>925</v>
      </c>
      <c r="D45" s="187">
        <v>77458</v>
      </c>
      <c r="E45" s="187">
        <f t="shared" si="0"/>
        <v>1726.048994614398</v>
      </c>
      <c r="F45" s="187"/>
      <c r="G45" s="187"/>
      <c r="H45" s="187">
        <f t="shared" si="1"/>
        <v>1726.048994614398</v>
      </c>
    </row>
    <row r="46" spans="1:8">
      <c r="A46" s="195">
        <f t="shared" si="2"/>
        <v>33</v>
      </c>
      <c r="B46" s="186">
        <v>926</v>
      </c>
      <c r="D46" s="187">
        <v>9447</v>
      </c>
      <c r="E46" s="187">
        <f t="shared" si="0"/>
        <v>210.51388949007486</v>
      </c>
      <c r="F46" s="187">
        <f>'Sch 5 WP pg. 1 - Payroll Adj'!F51</f>
        <v>5783.9334288861864</v>
      </c>
      <c r="G46" s="187"/>
      <c r="H46" s="187">
        <f t="shared" si="1"/>
        <v>5994.4473183762611</v>
      </c>
    </row>
    <row r="47" spans="1:8">
      <c r="A47" s="195">
        <f t="shared" si="2"/>
        <v>34</v>
      </c>
      <c r="B47" s="186">
        <v>928</v>
      </c>
      <c r="D47" s="187">
        <v>274</v>
      </c>
      <c r="E47" s="187">
        <f t="shared" si="0"/>
        <v>6.105727291233249</v>
      </c>
      <c r="F47" s="187"/>
      <c r="G47" s="187"/>
      <c r="H47" s="187">
        <f t="shared" si="1"/>
        <v>6.105727291233249</v>
      </c>
    </row>
    <row r="48" spans="1:8">
      <c r="A48" s="195">
        <f t="shared" si="2"/>
        <v>35</v>
      </c>
      <c r="B48" s="186">
        <v>930</v>
      </c>
      <c r="D48" s="187">
        <v>5785</v>
      </c>
      <c r="E48" s="187">
        <f t="shared" si="0"/>
        <v>128.9110670795049</v>
      </c>
      <c r="F48" s="187"/>
      <c r="G48" s="187"/>
      <c r="H48" s="187">
        <f t="shared" si="1"/>
        <v>128.9110670795049</v>
      </c>
    </row>
    <row r="49" spans="1:8">
      <c r="A49" s="195">
        <f t="shared" si="2"/>
        <v>36</v>
      </c>
      <c r="B49" s="186">
        <v>935</v>
      </c>
      <c r="D49" s="187">
        <v>4</v>
      </c>
      <c r="E49" s="187">
        <f t="shared" si="0"/>
        <v>8.9134704981507301E-2</v>
      </c>
      <c r="F49" s="187"/>
      <c r="G49" s="187"/>
      <c r="H49" s="187">
        <f t="shared" si="1"/>
        <v>8.9134704981507301E-2</v>
      </c>
    </row>
    <row r="50" spans="1:8">
      <c r="A50" s="195">
        <f t="shared" si="2"/>
        <v>37</v>
      </c>
      <c r="B50" s="197" t="s">
        <v>368</v>
      </c>
      <c r="D50" s="187"/>
      <c r="E50" s="187"/>
      <c r="F50" s="187"/>
      <c r="G50" s="187">
        <f>'Sch 5 WP pg. 1 - Payroll Adj'!F57</f>
        <v>13551.801806994546</v>
      </c>
      <c r="H50" s="187">
        <f t="shared" si="1"/>
        <v>13551.801806994546</v>
      </c>
    </row>
    <row r="51" spans="1:8" ht="16.5" thickBot="1">
      <c r="A51" s="195">
        <f t="shared" si="2"/>
        <v>38</v>
      </c>
      <c r="B51" s="197" t="s">
        <v>77</v>
      </c>
      <c r="D51" s="196">
        <f>SUM(D14:D50)</f>
        <v>6848528</v>
      </c>
      <c r="E51" s="196">
        <f>'Sch 5 WP pg. 1 - Payroll Adj'!F48</f>
        <v>152610.38070939804</v>
      </c>
      <c r="F51" s="196">
        <f t="shared" ref="F51:H51" si="3">SUM(F14:F50)</f>
        <v>5783.9334288861864</v>
      </c>
      <c r="G51" s="196">
        <f t="shared" si="3"/>
        <v>13551.801806994546</v>
      </c>
      <c r="H51" s="196">
        <f t="shared" si="3"/>
        <v>171946.11594527875</v>
      </c>
    </row>
    <row r="52" spans="1:8" ht="16.5" thickTop="1">
      <c r="D52" s="187"/>
      <c r="E52" s="187"/>
      <c r="F52" s="187"/>
      <c r="G52" s="187"/>
      <c r="H52" s="187"/>
    </row>
    <row r="53" spans="1:8">
      <c r="D53" s="187"/>
      <c r="E53" s="187"/>
      <c r="F53" s="187"/>
      <c r="G53" s="187"/>
      <c r="H53" s="187"/>
    </row>
    <row r="54" spans="1:8">
      <c r="A54" s="186" t="s">
        <v>369</v>
      </c>
      <c r="D54" s="187"/>
      <c r="E54" s="187"/>
      <c r="F54" s="187"/>
      <c r="G54" s="187"/>
      <c r="H54" s="187"/>
    </row>
    <row r="55" spans="1:8">
      <c r="D55" s="187"/>
      <c r="E55" s="187"/>
      <c r="F55" s="187"/>
      <c r="G55" s="187"/>
      <c r="H55" s="187"/>
    </row>
    <row r="56" spans="1:8">
      <c r="D56" s="187"/>
      <c r="E56" s="187"/>
      <c r="F56" s="187"/>
      <c r="G56" s="187"/>
      <c r="H56" s="187"/>
    </row>
    <row r="57" spans="1:8">
      <c r="D57" s="187"/>
      <c r="E57" s="187"/>
      <c r="F57" s="187"/>
      <c r="G57" s="187"/>
      <c r="H57" s="187"/>
    </row>
    <row r="58" spans="1:8">
      <c r="D58" s="187"/>
      <c r="E58" s="187"/>
      <c r="F58" s="187"/>
      <c r="G58" s="187"/>
      <c r="H58" s="187"/>
    </row>
    <row r="59" spans="1:8">
      <c r="D59" s="187"/>
      <c r="E59" s="187"/>
      <c r="F59" s="187"/>
      <c r="G59" s="187"/>
      <c r="H59" s="187"/>
    </row>
    <row r="60" spans="1:8">
      <c r="D60" s="187"/>
      <c r="E60" s="187"/>
      <c r="F60" s="187"/>
      <c r="G60" s="187"/>
      <c r="H60" s="187"/>
    </row>
    <row r="61" spans="1:8">
      <c r="D61" s="187"/>
      <c r="E61" s="187"/>
      <c r="F61" s="187"/>
      <c r="G61" s="187"/>
      <c r="H61" s="187"/>
    </row>
    <row r="62" spans="1:8">
      <c r="D62" s="187"/>
      <c r="E62" s="187"/>
      <c r="F62" s="187"/>
      <c r="G62" s="187"/>
      <c r="H62" s="187"/>
    </row>
    <row r="63" spans="1:8">
      <c r="D63" s="187"/>
      <c r="E63" s="187"/>
      <c r="F63" s="187"/>
      <c r="G63" s="187"/>
      <c r="H63" s="187"/>
    </row>
    <row r="64" spans="1:8">
      <c r="D64" s="187"/>
      <c r="E64" s="187"/>
      <c r="F64" s="187"/>
      <c r="G64" s="187"/>
      <c r="H64" s="187"/>
    </row>
    <row r="65" spans="4:8">
      <c r="D65" s="187"/>
      <c r="E65" s="187"/>
      <c r="F65" s="187"/>
      <c r="G65" s="187"/>
      <c r="H65" s="187"/>
    </row>
    <row r="66" spans="4:8">
      <c r="D66" s="187"/>
      <c r="E66" s="187"/>
      <c r="F66" s="187"/>
      <c r="G66" s="187"/>
      <c r="H66" s="187"/>
    </row>
    <row r="67" spans="4:8">
      <c r="D67" s="187"/>
      <c r="E67" s="187"/>
      <c r="F67" s="187"/>
      <c r="G67" s="187"/>
      <c r="H67" s="187"/>
    </row>
    <row r="68" spans="4:8">
      <c r="D68" s="187"/>
      <c r="E68" s="187"/>
      <c r="F68" s="187"/>
      <c r="G68" s="187"/>
      <c r="H68" s="187"/>
    </row>
    <row r="69" spans="4:8">
      <c r="D69" s="187"/>
      <c r="E69" s="187"/>
      <c r="F69" s="187"/>
      <c r="G69" s="187"/>
      <c r="H69" s="187"/>
    </row>
    <row r="70" spans="4:8">
      <c r="D70" s="187"/>
      <c r="E70" s="187"/>
      <c r="F70" s="187"/>
      <c r="G70" s="187"/>
      <c r="H70" s="187"/>
    </row>
    <row r="71" spans="4:8">
      <c r="D71" s="187"/>
      <c r="E71" s="187"/>
      <c r="F71" s="187"/>
      <c r="G71" s="187"/>
      <c r="H71" s="187"/>
    </row>
    <row r="72" spans="4:8">
      <c r="D72" s="187"/>
      <c r="E72" s="187"/>
      <c r="F72" s="187"/>
      <c r="G72" s="187"/>
      <c r="H72" s="187"/>
    </row>
    <row r="73" spans="4:8">
      <c r="D73" s="187"/>
      <c r="E73" s="187"/>
      <c r="F73" s="187"/>
      <c r="G73" s="187"/>
      <c r="H73" s="187"/>
    </row>
    <row r="74" spans="4:8">
      <c r="D74" s="187"/>
      <c r="E74" s="187"/>
      <c r="F74" s="187"/>
      <c r="G74" s="187"/>
      <c r="H74" s="187"/>
    </row>
    <row r="75" spans="4:8">
      <c r="D75" s="187"/>
      <c r="E75" s="187"/>
      <c r="F75" s="187"/>
      <c r="G75" s="187"/>
      <c r="H75" s="187"/>
    </row>
    <row r="76" spans="4:8">
      <c r="D76" s="187"/>
      <c r="E76" s="187"/>
      <c r="F76" s="187"/>
      <c r="G76" s="187"/>
      <c r="H76" s="187"/>
    </row>
    <row r="77" spans="4:8">
      <c r="D77" s="187"/>
      <c r="E77" s="187"/>
      <c r="F77" s="187"/>
      <c r="G77" s="187"/>
      <c r="H77" s="187"/>
    </row>
    <row r="78" spans="4:8">
      <c r="D78" s="187"/>
      <c r="E78" s="187"/>
      <c r="F78" s="187"/>
      <c r="G78" s="187"/>
      <c r="H78" s="187"/>
    </row>
    <row r="79" spans="4:8">
      <c r="D79" s="187"/>
      <c r="E79" s="187"/>
      <c r="F79" s="187"/>
      <c r="G79" s="187"/>
      <c r="H79" s="187"/>
    </row>
    <row r="80" spans="4:8">
      <c r="D80" s="187"/>
      <c r="E80" s="187"/>
      <c r="F80" s="187"/>
      <c r="G80" s="187"/>
      <c r="H80" s="187"/>
    </row>
    <row r="81" spans="4:8">
      <c r="D81" s="187"/>
      <c r="E81" s="187"/>
      <c r="F81" s="187"/>
      <c r="G81" s="187"/>
      <c r="H81" s="187"/>
    </row>
    <row r="82" spans="4:8">
      <c r="D82" s="187"/>
      <c r="E82" s="187"/>
      <c r="F82" s="187"/>
      <c r="G82" s="187"/>
      <c r="H82" s="187"/>
    </row>
    <row r="83" spans="4:8">
      <c r="D83" s="187"/>
      <c r="E83" s="187"/>
      <c r="F83" s="187"/>
      <c r="G83" s="187"/>
      <c r="H83" s="187"/>
    </row>
    <row r="84" spans="4:8">
      <c r="D84" s="187"/>
      <c r="E84" s="187"/>
      <c r="F84" s="187"/>
      <c r="G84" s="187"/>
      <c r="H84" s="187"/>
    </row>
    <row r="85" spans="4:8">
      <c r="D85" s="187"/>
      <c r="E85" s="187"/>
      <c r="F85" s="187"/>
      <c r="G85" s="187"/>
      <c r="H85" s="187"/>
    </row>
    <row r="86" spans="4:8">
      <c r="D86" s="187"/>
      <c r="E86" s="187"/>
      <c r="F86" s="187"/>
      <c r="G86" s="187"/>
      <c r="H86" s="187"/>
    </row>
    <row r="87" spans="4:8">
      <c r="D87" s="187"/>
      <c r="E87" s="187"/>
      <c r="F87" s="187"/>
      <c r="G87" s="187"/>
      <c r="H87" s="187"/>
    </row>
    <row r="88" spans="4:8">
      <c r="D88" s="187"/>
      <c r="E88" s="187"/>
      <c r="F88" s="187"/>
      <c r="G88" s="187"/>
      <c r="H88" s="187"/>
    </row>
    <row r="89" spans="4:8">
      <c r="D89" s="187"/>
      <c r="E89" s="187"/>
      <c r="F89" s="187"/>
      <c r="G89" s="187"/>
      <c r="H89" s="187"/>
    </row>
    <row r="90" spans="4:8">
      <c r="D90" s="187"/>
      <c r="E90" s="187"/>
      <c r="F90" s="187"/>
      <c r="G90" s="187"/>
      <c r="H90" s="187"/>
    </row>
    <row r="91" spans="4:8">
      <c r="D91" s="187"/>
      <c r="E91" s="187"/>
      <c r="F91" s="187"/>
      <c r="G91" s="187"/>
      <c r="H91" s="187"/>
    </row>
    <row r="92" spans="4:8">
      <c r="D92" s="187"/>
      <c r="E92" s="187"/>
      <c r="F92" s="187"/>
      <c r="G92" s="187"/>
      <c r="H92" s="187"/>
    </row>
    <row r="93" spans="4:8">
      <c r="D93" s="187"/>
      <c r="E93" s="187"/>
      <c r="F93" s="187"/>
      <c r="G93" s="187"/>
      <c r="H93" s="187"/>
    </row>
    <row r="94" spans="4:8">
      <c r="D94" s="187"/>
      <c r="E94" s="187"/>
      <c r="F94" s="187"/>
      <c r="G94" s="187"/>
      <c r="H94" s="187"/>
    </row>
    <row r="95" spans="4:8">
      <c r="D95" s="187"/>
      <c r="E95" s="187"/>
      <c r="F95" s="187"/>
      <c r="G95" s="187"/>
      <c r="H95" s="187"/>
    </row>
    <row r="96" spans="4:8">
      <c r="D96" s="187"/>
      <c r="E96" s="187"/>
      <c r="F96" s="187"/>
      <c r="G96" s="187"/>
      <c r="H96" s="187"/>
    </row>
    <row r="97" spans="4:8">
      <c r="D97" s="187"/>
      <c r="E97" s="187"/>
      <c r="F97" s="187"/>
      <c r="G97" s="187"/>
      <c r="H97" s="187"/>
    </row>
    <row r="98" spans="4:8">
      <c r="D98" s="187"/>
      <c r="E98" s="187"/>
      <c r="F98" s="187"/>
      <c r="G98" s="187"/>
      <c r="H98" s="187"/>
    </row>
    <row r="99" spans="4:8">
      <c r="D99" s="187"/>
      <c r="E99" s="187"/>
      <c r="F99" s="187"/>
      <c r="G99" s="187"/>
      <c r="H99" s="187"/>
    </row>
    <row r="100" spans="4:8">
      <c r="D100" s="187"/>
      <c r="E100" s="187"/>
      <c r="F100" s="187"/>
      <c r="G100" s="187"/>
      <c r="H100" s="187"/>
    </row>
    <row r="101" spans="4:8">
      <c r="D101" s="187"/>
      <c r="E101" s="187"/>
      <c r="F101" s="187"/>
      <c r="G101" s="187"/>
      <c r="H101" s="187"/>
    </row>
    <row r="102" spans="4:8">
      <c r="D102" s="187"/>
      <c r="E102" s="187"/>
      <c r="F102" s="187"/>
      <c r="G102" s="187"/>
      <c r="H102" s="187"/>
    </row>
    <row r="103" spans="4:8">
      <c r="D103" s="187"/>
      <c r="E103" s="187"/>
      <c r="F103" s="187"/>
      <c r="G103" s="187"/>
      <c r="H103" s="187"/>
    </row>
    <row r="104" spans="4:8">
      <c r="D104" s="187"/>
      <c r="E104" s="187"/>
      <c r="F104" s="187"/>
      <c r="G104" s="187"/>
      <c r="H104" s="187"/>
    </row>
    <row r="105" spans="4:8">
      <c r="D105" s="187"/>
      <c r="E105" s="187"/>
      <c r="F105" s="187"/>
      <c r="G105" s="187"/>
      <c r="H105" s="187"/>
    </row>
    <row r="106" spans="4:8">
      <c r="D106" s="187"/>
      <c r="E106" s="187"/>
      <c r="F106" s="187"/>
      <c r="G106" s="187"/>
      <c r="H106" s="187"/>
    </row>
    <row r="107" spans="4:8">
      <c r="D107" s="187"/>
      <c r="E107" s="187"/>
      <c r="F107" s="187"/>
      <c r="G107" s="187"/>
      <c r="H107" s="187"/>
    </row>
    <row r="108" spans="4:8">
      <c r="D108" s="187"/>
      <c r="E108" s="187"/>
      <c r="F108" s="187"/>
      <c r="G108" s="187"/>
      <c r="H108" s="187"/>
    </row>
    <row r="109" spans="4:8">
      <c r="D109" s="187"/>
      <c r="E109" s="187"/>
      <c r="F109" s="187"/>
      <c r="G109" s="187"/>
      <c r="H109" s="187"/>
    </row>
    <row r="110" spans="4:8">
      <c r="D110" s="187"/>
      <c r="E110" s="187"/>
      <c r="F110" s="187"/>
      <c r="G110" s="187"/>
      <c r="H110" s="187"/>
    </row>
    <row r="111" spans="4:8">
      <c r="D111" s="187"/>
      <c r="E111" s="187"/>
      <c r="F111" s="187"/>
      <c r="G111" s="187"/>
      <c r="H111" s="187"/>
    </row>
    <row r="112" spans="4:8">
      <c r="D112" s="187"/>
      <c r="E112" s="187"/>
      <c r="F112" s="187"/>
      <c r="G112" s="187"/>
      <c r="H112" s="187"/>
    </row>
    <row r="113" spans="4:8">
      <c r="D113" s="187"/>
      <c r="E113" s="187"/>
      <c r="F113" s="187"/>
      <c r="G113" s="187"/>
      <c r="H113" s="187"/>
    </row>
    <row r="114" spans="4:8">
      <c r="D114" s="187"/>
      <c r="E114" s="187"/>
      <c r="F114" s="187"/>
      <c r="G114" s="187"/>
      <c r="H114" s="187"/>
    </row>
    <row r="115" spans="4:8">
      <c r="D115" s="187"/>
      <c r="E115" s="187"/>
      <c r="F115" s="187"/>
      <c r="G115" s="187"/>
      <c r="H115" s="187"/>
    </row>
    <row r="116" spans="4:8">
      <c r="D116" s="187"/>
      <c r="E116" s="187"/>
      <c r="F116" s="187"/>
      <c r="G116" s="187"/>
      <c r="H116" s="187"/>
    </row>
    <row r="117" spans="4:8">
      <c r="D117" s="187"/>
      <c r="E117" s="187"/>
      <c r="F117" s="187"/>
      <c r="G117" s="187"/>
      <c r="H117" s="187"/>
    </row>
    <row r="118" spans="4:8">
      <c r="D118" s="187"/>
      <c r="E118" s="187"/>
      <c r="F118" s="187"/>
      <c r="G118" s="187"/>
      <c r="H118" s="187"/>
    </row>
    <row r="119" spans="4:8">
      <c r="D119" s="187"/>
      <c r="E119" s="187"/>
      <c r="F119" s="187"/>
      <c r="G119" s="187"/>
      <c r="H119" s="187"/>
    </row>
    <row r="120" spans="4:8">
      <c r="D120" s="187"/>
      <c r="E120" s="187"/>
      <c r="F120" s="187"/>
      <c r="G120" s="187"/>
      <c r="H120" s="187"/>
    </row>
    <row r="121" spans="4:8">
      <c r="D121" s="187"/>
      <c r="E121" s="187"/>
      <c r="F121" s="187"/>
      <c r="G121" s="187"/>
      <c r="H121" s="187"/>
    </row>
    <row r="122" spans="4:8">
      <c r="D122" s="187"/>
      <c r="E122" s="187"/>
      <c r="F122" s="187"/>
      <c r="G122" s="187"/>
      <c r="H122" s="187"/>
    </row>
    <row r="123" spans="4:8">
      <c r="D123" s="187"/>
      <c r="E123" s="187"/>
      <c r="F123" s="187"/>
      <c r="G123" s="187"/>
      <c r="H123" s="187"/>
    </row>
    <row r="124" spans="4:8">
      <c r="D124" s="187"/>
      <c r="E124" s="187"/>
      <c r="F124" s="187"/>
      <c r="G124" s="187"/>
      <c r="H124" s="187"/>
    </row>
    <row r="125" spans="4:8">
      <c r="D125" s="187"/>
      <c r="E125" s="187"/>
      <c r="F125" s="187"/>
      <c r="G125" s="187"/>
      <c r="H125" s="187"/>
    </row>
    <row r="126" spans="4:8">
      <c r="D126" s="187"/>
      <c r="E126" s="187"/>
      <c r="F126" s="187"/>
      <c r="G126" s="187"/>
      <c r="H126" s="187"/>
    </row>
    <row r="127" spans="4:8">
      <c r="D127" s="187"/>
      <c r="E127" s="187"/>
      <c r="F127" s="187"/>
      <c r="G127" s="187"/>
      <c r="H127" s="187"/>
    </row>
    <row r="128" spans="4:8">
      <c r="D128" s="187"/>
      <c r="E128" s="187"/>
      <c r="F128" s="187"/>
      <c r="G128" s="187"/>
      <c r="H128" s="187"/>
    </row>
    <row r="129" spans="4:8">
      <c r="D129" s="187"/>
      <c r="E129" s="187"/>
      <c r="F129" s="187"/>
      <c r="G129" s="187"/>
      <c r="H129" s="187"/>
    </row>
    <row r="130" spans="4:8">
      <c r="D130" s="187"/>
      <c r="E130" s="187"/>
      <c r="F130" s="187"/>
      <c r="G130" s="187"/>
      <c r="H130" s="187"/>
    </row>
    <row r="131" spans="4:8">
      <c r="D131" s="187"/>
      <c r="E131" s="187"/>
      <c r="F131" s="187"/>
      <c r="G131" s="187"/>
      <c r="H131" s="187"/>
    </row>
    <row r="132" spans="4:8">
      <c r="D132" s="187"/>
      <c r="E132" s="187"/>
      <c r="F132" s="187"/>
      <c r="G132" s="187"/>
      <c r="H132" s="187"/>
    </row>
    <row r="133" spans="4:8">
      <c r="D133" s="187"/>
      <c r="E133" s="187"/>
      <c r="F133" s="187"/>
      <c r="G133" s="187"/>
      <c r="H133" s="187"/>
    </row>
    <row r="134" spans="4:8">
      <c r="D134" s="187"/>
      <c r="E134" s="187"/>
      <c r="F134" s="187"/>
      <c r="G134" s="187"/>
      <c r="H134" s="187"/>
    </row>
    <row r="135" spans="4:8">
      <c r="D135" s="187"/>
      <c r="E135" s="187"/>
      <c r="F135" s="187"/>
      <c r="G135" s="187"/>
      <c r="H135" s="187"/>
    </row>
    <row r="136" spans="4:8">
      <c r="D136" s="187"/>
      <c r="E136" s="187"/>
      <c r="F136" s="187"/>
      <c r="G136" s="187"/>
      <c r="H136" s="187"/>
    </row>
    <row r="137" spans="4:8">
      <c r="D137" s="187"/>
      <c r="E137" s="187"/>
      <c r="F137" s="187"/>
      <c r="G137" s="187"/>
      <c r="H137" s="187"/>
    </row>
    <row r="138" spans="4:8">
      <c r="D138" s="187"/>
      <c r="E138" s="187"/>
      <c r="F138" s="187"/>
      <c r="G138" s="187"/>
      <c r="H138" s="187"/>
    </row>
    <row r="139" spans="4:8">
      <c r="D139" s="187"/>
      <c r="E139" s="187"/>
      <c r="F139" s="187"/>
      <c r="G139" s="187"/>
      <c r="H139" s="187"/>
    </row>
    <row r="140" spans="4:8">
      <c r="D140" s="187"/>
      <c r="E140" s="187"/>
      <c r="F140" s="187"/>
      <c r="G140" s="187"/>
      <c r="H140" s="187"/>
    </row>
    <row r="141" spans="4:8">
      <c r="D141" s="187"/>
      <c r="E141" s="187"/>
      <c r="F141" s="187"/>
      <c r="G141" s="187"/>
      <c r="H141" s="187"/>
    </row>
    <row r="142" spans="4:8">
      <c r="D142" s="187"/>
      <c r="E142" s="187"/>
      <c r="F142" s="187"/>
      <c r="G142" s="187"/>
      <c r="H142" s="187"/>
    </row>
    <row r="143" spans="4:8">
      <c r="D143" s="187"/>
      <c r="E143" s="187"/>
      <c r="F143" s="187"/>
      <c r="G143" s="187"/>
      <c r="H143" s="187"/>
    </row>
    <row r="144" spans="4:8">
      <c r="D144" s="187"/>
      <c r="E144" s="187"/>
      <c r="F144" s="187"/>
      <c r="G144" s="187"/>
      <c r="H144" s="187"/>
    </row>
    <row r="145" spans="4:8">
      <c r="D145" s="187"/>
      <c r="E145" s="187"/>
      <c r="F145" s="187"/>
      <c r="G145" s="187"/>
      <c r="H145" s="187"/>
    </row>
    <row r="146" spans="4:8">
      <c r="D146" s="187"/>
      <c r="E146" s="187"/>
      <c r="F146" s="187"/>
      <c r="G146" s="187"/>
      <c r="H146" s="187"/>
    </row>
    <row r="147" spans="4:8">
      <c r="D147" s="187"/>
      <c r="E147" s="187"/>
      <c r="F147" s="187"/>
      <c r="G147" s="187"/>
      <c r="H147" s="187"/>
    </row>
    <row r="148" spans="4:8">
      <c r="D148" s="187"/>
      <c r="E148" s="187"/>
      <c r="F148" s="187"/>
      <c r="G148" s="187"/>
      <c r="H148" s="187"/>
    </row>
    <row r="149" spans="4:8">
      <c r="D149" s="187"/>
      <c r="E149" s="187"/>
      <c r="F149" s="187"/>
      <c r="G149" s="187"/>
      <c r="H149" s="187"/>
    </row>
    <row r="150" spans="4:8">
      <c r="D150" s="187"/>
      <c r="E150" s="187"/>
      <c r="F150" s="187"/>
      <c r="G150" s="187"/>
      <c r="H150" s="187"/>
    </row>
    <row r="151" spans="4:8">
      <c r="D151" s="187"/>
      <c r="E151" s="187"/>
      <c r="F151" s="187"/>
      <c r="G151" s="187"/>
      <c r="H151" s="187"/>
    </row>
    <row r="152" spans="4:8">
      <c r="D152" s="187"/>
      <c r="E152" s="187"/>
      <c r="F152" s="187"/>
      <c r="G152" s="187"/>
      <c r="H152" s="187"/>
    </row>
    <row r="153" spans="4:8">
      <c r="D153" s="187"/>
      <c r="E153" s="187"/>
      <c r="F153" s="187"/>
      <c r="G153" s="187"/>
      <c r="H153" s="187"/>
    </row>
  </sheetData>
  <mergeCells count="8">
    <mergeCell ref="E9:H9"/>
    <mergeCell ref="A1:H1"/>
    <mergeCell ref="A2:H2"/>
    <mergeCell ref="A3:H3"/>
    <mergeCell ref="A4:H4"/>
    <mergeCell ref="A5:H5"/>
    <mergeCell ref="A6:H6"/>
    <mergeCell ref="A7:H7"/>
  </mergeCells>
  <pageMargins left="0.7" right="0.7" top="0.75" bottom="0.75" header="0.3" footer="0.3"/>
  <pageSetup scale="83" orientation="portrait" r:id="rId1"/>
  <headerFooter>
    <oddHeader>&amp;RGroen Direct Exhibit 1.1, Schedule 5, WP 
Page 6 of 6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5"/>
  <sheetViews>
    <sheetView view="pageLayout" zoomScaleNormal="100" workbookViewId="0">
      <selection activeCell="E21" sqref="E21"/>
    </sheetView>
  </sheetViews>
  <sheetFormatPr defaultColWidth="8" defaultRowHeight="15.75"/>
  <cols>
    <col min="1" max="1" width="4.5703125" style="90" customWidth="1"/>
    <col min="2" max="2" width="0.85546875" style="90" customWidth="1"/>
    <col min="3" max="3" width="27" style="90" customWidth="1"/>
    <col min="4" max="4" width="0.85546875" style="90" customWidth="1"/>
    <col min="5" max="5" width="15.7109375" style="90" customWidth="1"/>
    <col min="6" max="6" width="0.85546875" style="90" customWidth="1"/>
    <col min="7" max="7" width="52.140625" style="90" customWidth="1"/>
    <col min="8" max="16384" width="8" style="90"/>
  </cols>
  <sheetData>
    <row r="1" spans="1:7">
      <c r="A1" s="287" t="s">
        <v>787</v>
      </c>
      <c r="B1" s="287"/>
      <c r="C1" s="287"/>
      <c r="D1" s="287"/>
      <c r="E1" s="287"/>
      <c r="F1" s="287"/>
      <c r="G1" s="287"/>
    </row>
    <row r="2" spans="1:7">
      <c r="A2" s="287" t="s">
        <v>791</v>
      </c>
      <c r="B2" s="287"/>
      <c r="C2" s="287"/>
      <c r="D2" s="287"/>
      <c r="E2" s="287"/>
      <c r="F2" s="287"/>
      <c r="G2" s="287"/>
    </row>
    <row r="3" spans="1:7">
      <c r="A3" s="287" t="s">
        <v>792</v>
      </c>
      <c r="B3" s="287"/>
      <c r="C3" s="287"/>
      <c r="D3" s="287"/>
      <c r="E3" s="287"/>
      <c r="F3" s="287"/>
      <c r="G3" s="287"/>
    </row>
    <row r="4" spans="1:7">
      <c r="A4" s="287" t="s">
        <v>112</v>
      </c>
      <c r="B4" s="287"/>
      <c r="C4" s="287"/>
      <c r="D4" s="287"/>
      <c r="E4" s="287"/>
      <c r="F4" s="287"/>
      <c r="G4" s="287"/>
    </row>
    <row r="5" spans="1:7">
      <c r="A5" s="288" t="s">
        <v>190</v>
      </c>
      <c r="B5" s="288"/>
      <c r="C5" s="288"/>
      <c r="D5" s="288"/>
      <c r="E5" s="288"/>
      <c r="F5" s="288"/>
      <c r="G5" s="288"/>
    </row>
    <row r="6" spans="1:7">
      <c r="A6" s="289" t="str">
        <f>'Sch 1 - RevReq'!A5</f>
        <v>FOR THE YEAR ENDING DECEMBER 31, 2025</v>
      </c>
      <c r="B6" s="289"/>
      <c r="C6" s="289"/>
      <c r="D6" s="289"/>
      <c r="E6" s="289"/>
      <c r="F6" s="289"/>
      <c r="G6" s="289"/>
    </row>
    <row r="7" spans="1:7">
      <c r="A7" s="289" t="s">
        <v>793</v>
      </c>
      <c r="B7" s="289"/>
      <c r="C7" s="289"/>
      <c r="D7" s="289"/>
      <c r="E7" s="289"/>
      <c r="F7" s="289"/>
      <c r="G7" s="289"/>
    </row>
    <row r="9" spans="1:7" ht="47.25">
      <c r="A9" s="276" t="s">
        <v>876</v>
      </c>
      <c r="C9" s="92" t="s">
        <v>3</v>
      </c>
      <c r="E9" s="92" t="s">
        <v>287</v>
      </c>
      <c r="G9" s="92" t="s">
        <v>237</v>
      </c>
    </row>
    <row r="10" spans="1:7">
      <c r="A10" s="91"/>
      <c r="C10" s="91" t="s">
        <v>50</v>
      </c>
      <c r="E10" s="91" t="s">
        <v>51</v>
      </c>
      <c r="G10" s="91" t="s">
        <v>86</v>
      </c>
    </row>
    <row r="11" spans="1:7">
      <c r="A11" s="91"/>
      <c r="C11" s="91"/>
      <c r="E11" s="91"/>
    </row>
    <row r="12" spans="1:7">
      <c r="A12" s="93"/>
      <c r="C12" s="94"/>
    </row>
    <row r="13" spans="1:7">
      <c r="A13" s="93">
        <v>1</v>
      </c>
      <c r="C13" s="90" t="s">
        <v>191</v>
      </c>
      <c r="E13" s="95"/>
    </row>
    <row r="14" spans="1:7">
      <c r="A14" s="93">
        <f>+A13+1</f>
        <v>2</v>
      </c>
      <c r="C14" s="90" t="s">
        <v>370</v>
      </c>
    </row>
    <row r="15" spans="1:7">
      <c r="A15" s="93">
        <f>+A14+1</f>
        <v>3</v>
      </c>
      <c r="C15" s="90" t="s">
        <v>193</v>
      </c>
      <c r="E15" s="177">
        <v>741366</v>
      </c>
      <c r="G15" s="90" t="s">
        <v>371</v>
      </c>
    </row>
    <row r="16" spans="1:7">
      <c r="A16" s="93"/>
      <c r="E16" s="95"/>
    </row>
    <row r="17" spans="1:7">
      <c r="A17" s="93">
        <v>4</v>
      </c>
      <c r="C17" s="98" t="s">
        <v>372</v>
      </c>
      <c r="D17" s="98"/>
      <c r="E17" s="101"/>
    </row>
    <row r="18" spans="1:7">
      <c r="A18" s="93"/>
      <c r="C18" s="98"/>
      <c r="D18" s="98"/>
      <c r="E18" s="98"/>
    </row>
    <row r="19" spans="1:7">
      <c r="A19" s="93">
        <f>+A17+1</f>
        <v>5</v>
      </c>
      <c r="C19" s="102" t="s">
        <v>373</v>
      </c>
      <c r="D19" s="98"/>
      <c r="E19" s="178">
        <f>E15</f>
        <v>741366</v>
      </c>
    </row>
    <row r="20" spans="1:7">
      <c r="A20" s="93"/>
    </row>
    <row r="21" spans="1:7">
      <c r="A21" s="93"/>
      <c r="E21" s="90" t="s">
        <v>374</v>
      </c>
    </row>
    <row r="23" spans="1:7">
      <c r="A23" s="93"/>
      <c r="C23" s="98"/>
      <c r="D23" s="98"/>
      <c r="E23" s="98"/>
      <c r="F23" s="98"/>
    </row>
    <row r="24" spans="1:7">
      <c r="A24" s="93"/>
      <c r="C24" s="98"/>
      <c r="D24" s="98"/>
      <c r="E24" s="103"/>
      <c r="F24" s="98"/>
    </row>
    <row r="25" spans="1:7">
      <c r="A25" s="93"/>
      <c r="C25" s="98"/>
      <c r="D25" s="98"/>
      <c r="E25" s="104"/>
      <c r="F25" s="99"/>
    </row>
    <row r="26" spans="1:7">
      <c r="A26" s="93"/>
      <c r="C26" s="98"/>
      <c r="D26" s="98"/>
      <c r="E26" s="99"/>
      <c r="F26" s="99"/>
    </row>
    <row r="27" spans="1:7">
      <c r="A27" s="97"/>
      <c r="B27" s="97"/>
      <c r="C27" s="105"/>
      <c r="D27" s="105"/>
      <c r="E27" s="105"/>
      <c r="F27" s="105"/>
      <c r="G27" s="97"/>
    </row>
    <row r="28" spans="1:7">
      <c r="A28" s="93"/>
      <c r="B28" s="97"/>
      <c r="C28" s="105"/>
      <c r="D28" s="105"/>
      <c r="E28" s="105"/>
      <c r="F28" s="105"/>
      <c r="G28" s="97"/>
    </row>
    <row r="29" spans="1:7">
      <c r="A29" s="97"/>
      <c r="B29" s="97"/>
      <c r="C29" s="105"/>
      <c r="D29" s="105"/>
      <c r="E29" s="105"/>
      <c r="F29" s="105"/>
      <c r="G29" s="97"/>
    </row>
    <row r="30" spans="1:7">
      <c r="A30" s="93"/>
      <c r="B30" s="97"/>
      <c r="C30" s="105"/>
      <c r="D30" s="105"/>
      <c r="E30" s="105"/>
      <c r="F30" s="105"/>
      <c r="G30" s="97"/>
    </row>
    <row r="31" spans="1:7">
      <c r="A31" s="97"/>
      <c r="B31" s="97"/>
      <c r="C31" s="105"/>
      <c r="D31" s="105"/>
      <c r="E31" s="105"/>
      <c r="F31" s="105"/>
      <c r="G31" s="97"/>
    </row>
    <row r="32" spans="1:7">
      <c r="A32" s="93"/>
      <c r="B32" s="97"/>
      <c r="C32" s="105"/>
      <c r="D32" s="105"/>
      <c r="E32" s="105"/>
      <c r="F32" s="105"/>
      <c r="G32" s="97"/>
    </row>
    <row r="33" spans="1:7">
      <c r="A33" s="97"/>
      <c r="B33" s="97"/>
      <c r="C33" s="97"/>
      <c r="D33" s="97"/>
      <c r="E33" s="97"/>
      <c r="F33" s="97"/>
      <c r="G33" s="97"/>
    </row>
    <row r="34" spans="1:7">
      <c r="A34" s="97"/>
      <c r="B34" s="97"/>
      <c r="C34" s="97"/>
      <c r="D34" s="97"/>
      <c r="E34" s="97"/>
      <c r="F34" s="97"/>
      <c r="G34" s="97"/>
    </row>
    <row r="35" spans="1:7">
      <c r="A35" s="97"/>
      <c r="B35" s="97"/>
      <c r="C35" s="97"/>
      <c r="D35" s="97"/>
      <c r="E35" s="97"/>
      <c r="F35" s="97"/>
      <c r="G35" s="97"/>
    </row>
  </sheetData>
  <mergeCells count="7">
    <mergeCell ref="A7:G7"/>
    <mergeCell ref="A6:G6"/>
    <mergeCell ref="A1:G1"/>
    <mergeCell ref="A2:G2"/>
    <mergeCell ref="A3:G3"/>
    <mergeCell ref="A4:G4"/>
    <mergeCell ref="A5:G5"/>
  </mergeCells>
  <phoneticPr fontId="6" type="noConversion"/>
  <printOptions horizontalCentered="1"/>
  <pageMargins left="0.75" right="0.75" top="1" bottom="1" header="0.5" footer="0.5"/>
  <pageSetup scale="83" orientation="portrait" r:id="rId1"/>
  <headerFooter alignWithMargins="0">
    <oddHeader xml:space="preserve">&amp;RGroen Direct Exhibit 1.1, Schedule 6, WP
Page 1 of 1&amp;8
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9"/>
  <dimension ref="A1:H34"/>
  <sheetViews>
    <sheetView view="pageLayout" zoomScaleNormal="100" workbookViewId="0">
      <selection activeCell="H12" sqref="H12"/>
    </sheetView>
  </sheetViews>
  <sheetFormatPr defaultColWidth="8" defaultRowHeight="15.75"/>
  <cols>
    <col min="1" max="1" width="4.42578125" style="2" customWidth="1"/>
    <col min="2" max="2" width="0.85546875" style="2" customWidth="1"/>
    <col min="3" max="3" width="15.140625" style="2" customWidth="1"/>
    <col min="4" max="4" width="26.42578125" style="2" customWidth="1"/>
    <col min="5" max="5" width="0.85546875" style="2" customWidth="1"/>
    <col min="6" max="6" width="13.5703125" style="27" customWidth="1"/>
    <col min="7" max="7" width="0.85546875" style="2" customWidth="1"/>
    <col min="8" max="8" width="37.140625" style="2" customWidth="1"/>
    <col min="9" max="16384" width="8" style="2"/>
  </cols>
  <sheetData>
    <row r="1" spans="1:8">
      <c r="A1" s="287" t="s">
        <v>787</v>
      </c>
      <c r="B1" s="287"/>
      <c r="C1" s="287"/>
      <c r="D1" s="287"/>
      <c r="E1" s="287"/>
      <c r="F1" s="287"/>
      <c r="G1" s="287"/>
      <c r="H1" s="287"/>
    </row>
    <row r="2" spans="1:8">
      <c r="A2" s="287" t="s">
        <v>791</v>
      </c>
      <c r="B2" s="287"/>
      <c r="C2" s="287"/>
      <c r="D2" s="287"/>
      <c r="E2" s="287"/>
      <c r="F2" s="287"/>
      <c r="G2" s="287"/>
      <c r="H2" s="287"/>
    </row>
    <row r="3" spans="1:8">
      <c r="A3" s="287" t="s">
        <v>792</v>
      </c>
      <c r="B3" s="287"/>
      <c r="C3" s="287"/>
      <c r="D3" s="287"/>
      <c r="E3" s="287"/>
      <c r="F3" s="287"/>
      <c r="G3" s="287"/>
      <c r="H3" s="287"/>
    </row>
    <row r="4" spans="1:8">
      <c r="A4" s="289" t="s">
        <v>112</v>
      </c>
      <c r="B4" s="289"/>
      <c r="C4" s="289"/>
      <c r="D4" s="289"/>
      <c r="E4" s="289"/>
      <c r="F4" s="289"/>
      <c r="G4" s="289"/>
      <c r="H4" s="289"/>
    </row>
    <row r="5" spans="1:8">
      <c r="A5" s="289" t="s">
        <v>375</v>
      </c>
      <c r="B5" s="289"/>
      <c r="C5" s="289"/>
      <c r="D5" s="289"/>
      <c r="E5" s="289"/>
      <c r="F5" s="289"/>
      <c r="G5" s="289"/>
      <c r="H5" s="289"/>
    </row>
    <row r="6" spans="1:8">
      <c r="A6" s="289" t="str">
        <f>'Sch 1 - RevReq'!A5</f>
        <v>FOR THE YEAR ENDING DECEMBER 31, 2025</v>
      </c>
      <c r="B6" s="289"/>
      <c r="C6" s="289"/>
      <c r="D6" s="289"/>
      <c r="E6" s="289"/>
      <c r="F6" s="289"/>
      <c r="G6" s="289"/>
      <c r="H6" s="289"/>
    </row>
    <row r="7" spans="1:8">
      <c r="A7" s="289" t="s">
        <v>793</v>
      </c>
      <c r="B7" s="289"/>
      <c r="C7" s="289"/>
      <c r="D7" s="289"/>
      <c r="E7" s="289"/>
      <c r="F7" s="289"/>
      <c r="G7" s="289"/>
      <c r="H7" s="289"/>
    </row>
    <row r="9" spans="1:8" ht="48" thickBot="1">
      <c r="A9" s="281" t="s">
        <v>876</v>
      </c>
      <c r="C9" s="294" t="s">
        <v>3</v>
      </c>
      <c r="D9" s="295"/>
      <c r="F9" s="52" t="s">
        <v>287</v>
      </c>
      <c r="H9" s="53" t="s">
        <v>237</v>
      </c>
    </row>
    <row r="10" spans="1:8">
      <c r="C10" s="296" t="s">
        <v>50</v>
      </c>
      <c r="D10" s="297"/>
      <c r="F10" s="54" t="s">
        <v>51</v>
      </c>
      <c r="H10" s="3" t="s">
        <v>86</v>
      </c>
    </row>
    <row r="11" spans="1:8">
      <c r="C11" s="3"/>
      <c r="F11" s="54"/>
      <c r="H11" s="3"/>
    </row>
    <row r="12" spans="1:8">
      <c r="A12" s="5">
        <v>1</v>
      </c>
      <c r="C12" s="2" t="s">
        <v>376</v>
      </c>
      <c r="F12" s="27">
        <f>'Sch 7 WP pg. 2 - Pension Costs '!L27</f>
        <v>-236069.27692332168</v>
      </c>
      <c r="H12" s="2" t="s">
        <v>808</v>
      </c>
    </row>
    <row r="13" spans="1:8">
      <c r="A13" s="5">
        <f>A12+1</f>
        <v>2</v>
      </c>
      <c r="C13" s="2" t="s">
        <v>377</v>
      </c>
      <c r="F13" s="27">
        <f>'Sch 7 WP pg. 2 - Pension Costs '!L35</f>
        <v>72276.517316389276</v>
      </c>
      <c r="H13" s="2" t="s">
        <v>808</v>
      </c>
    </row>
    <row r="14" spans="1:8">
      <c r="A14" s="5">
        <f>A13+1</f>
        <v>3</v>
      </c>
      <c r="C14" s="2" t="s">
        <v>378</v>
      </c>
      <c r="F14" s="154">
        <f>'Sch 7 WP pg. 2 - Pension Costs '!L43</f>
        <v>-81376.803869691081</v>
      </c>
      <c r="H14" s="2" t="s">
        <v>808</v>
      </c>
    </row>
    <row r="15" spans="1:8">
      <c r="A15" s="5">
        <f t="shared" ref="A15:A27" si="0">A14+1</f>
        <v>4</v>
      </c>
      <c r="C15" s="2" t="s">
        <v>77</v>
      </c>
      <c r="F15" s="27">
        <f>SUM(F12:F14)</f>
        <v>-245169.5634766235</v>
      </c>
      <c r="H15" s="2" t="s">
        <v>379</v>
      </c>
    </row>
    <row r="16" spans="1:8">
      <c r="A16" s="5">
        <f t="shared" si="0"/>
        <v>5</v>
      </c>
    </row>
    <row r="17" spans="1:8">
      <c r="A17" s="5">
        <f t="shared" si="0"/>
        <v>6</v>
      </c>
      <c r="C17" s="2" t="s">
        <v>380</v>
      </c>
      <c r="F17" s="27">
        <f>'Sch 7 WP pg. 2 - Pension Costs '!L14</f>
        <v>-209004.11</v>
      </c>
      <c r="H17" s="2" t="s">
        <v>808</v>
      </c>
    </row>
    <row r="18" spans="1:8">
      <c r="A18" s="5">
        <f t="shared" si="0"/>
        <v>7</v>
      </c>
      <c r="C18" s="2" t="s">
        <v>381</v>
      </c>
      <c r="F18" s="27">
        <f>'Sch 7 WP pg. 2 - Pension Costs '!L16</f>
        <v>75643.58</v>
      </c>
      <c r="H18" s="2" t="s">
        <v>808</v>
      </c>
    </row>
    <row r="19" spans="1:8">
      <c r="A19" s="5">
        <f t="shared" si="0"/>
        <v>8</v>
      </c>
      <c r="C19" s="2" t="s">
        <v>382</v>
      </c>
      <c r="F19" s="154">
        <f>'Sch 7 WP pg. 2 - Pension Costs '!L18</f>
        <v>-121489.53</v>
      </c>
      <c r="H19" s="2" t="s">
        <v>808</v>
      </c>
    </row>
    <row r="20" spans="1:8">
      <c r="A20" s="5">
        <f t="shared" si="0"/>
        <v>9</v>
      </c>
      <c r="C20" s="2" t="s">
        <v>77</v>
      </c>
      <c r="F20" s="27">
        <f>SUM(F17:F19)</f>
        <v>-254850.05999999997</v>
      </c>
      <c r="H20" s="2" t="s">
        <v>383</v>
      </c>
    </row>
    <row r="21" spans="1:8">
      <c r="A21" s="5">
        <f t="shared" si="0"/>
        <v>10</v>
      </c>
    </row>
    <row r="22" spans="1:8">
      <c r="A22" s="5">
        <f t="shared" si="0"/>
        <v>11</v>
      </c>
      <c r="C22" s="2" t="s">
        <v>246</v>
      </c>
      <c r="F22" s="27">
        <f>F15-F20</f>
        <v>9680.4965233764669</v>
      </c>
      <c r="H22" s="2" t="s">
        <v>384</v>
      </c>
    </row>
    <row r="23" spans="1:8">
      <c r="A23" s="5">
        <f t="shared" si="0"/>
        <v>12</v>
      </c>
      <c r="C23" s="2" t="s">
        <v>385</v>
      </c>
      <c r="F23" s="152">
        <f>'Sch 5 WP pg. 5 - DirectPay2025'!O41</f>
        <v>0.6359265546374645</v>
      </c>
      <c r="H23" s="2" t="s">
        <v>809</v>
      </c>
    </row>
    <row r="24" spans="1:8">
      <c r="A24" s="5">
        <f t="shared" si="0"/>
        <v>13</v>
      </c>
      <c r="C24" s="2" t="s">
        <v>386</v>
      </c>
      <c r="F24" s="27">
        <f>F22*F23</f>
        <v>6156.08480129075</v>
      </c>
      <c r="H24" s="2" t="s">
        <v>387</v>
      </c>
    </row>
    <row r="25" spans="1:8">
      <c r="A25" s="5">
        <f t="shared" si="0"/>
        <v>14</v>
      </c>
    </row>
    <row r="26" spans="1:8" ht="16.5" thickBot="1">
      <c r="A26" s="5">
        <f t="shared" si="0"/>
        <v>15</v>
      </c>
      <c r="C26" s="13" t="s">
        <v>250</v>
      </c>
    </row>
    <row r="27" spans="1:8" s="13" customFormat="1" ht="16.5" thickBot="1">
      <c r="A27" s="5">
        <f t="shared" si="0"/>
        <v>16</v>
      </c>
      <c r="C27" s="13" t="s">
        <v>388</v>
      </c>
      <c r="F27" s="55">
        <f>F24</f>
        <v>6156.08480129075</v>
      </c>
    </row>
    <row r="28" spans="1:8">
      <c r="A28" s="5"/>
    </row>
    <row r="29" spans="1:8">
      <c r="A29" s="5"/>
      <c r="F29" s="2" t="s">
        <v>389</v>
      </c>
    </row>
    <row r="30" spans="1:8">
      <c r="A30" s="5"/>
    </row>
    <row r="31" spans="1:8">
      <c r="A31" s="5"/>
    </row>
    <row r="32" spans="1:8">
      <c r="A32" s="5"/>
    </row>
    <row r="33" spans="1:1">
      <c r="A33" s="5"/>
    </row>
    <row r="34" spans="1:1">
      <c r="A34" s="5"/>
    </row>
  </sheetData>
  <mergeCells count="9">
    <mergeCell ref="C9:D9"/>
    <mergeCell ref="C10:D10"/>
    <mergeCell ref="A1:H1"/>
    <mergeCell ref="A2:H2"/>
    <mergeCell ref="A3:H3"/>
    <mergeCell ref="A4:H4"/>
    <mergeCell ref="A5:H5"/>
    <mergeCell ref="A6:H6"/>
    <mergeCell ref="A7:H7"/>
  </mergeCells>
  <phoneticPr fontId="6" type="noConversion"/>
  <printOptions horizontalCentered="1"/>
  <pageMargins left="0.75" right="0.75" top="1" bottom="1" header="0.5" footer="0.5"/>
  <pageSetup scale="90" orientation="portrait" r:id="rId1"/>
  <headerFooter alignWithMargins="0">
    <oddHeader xml:space="preserve">&amp;RGroen Direct Exhibit 1.1, Schedule 7, WP
Page 1 of 17
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30">
    <pageSetUpPr fitToPage="1"/>
  </sheetPr>
  <dimension ref="A1:N43"/>
  <sheetViews>
    <sheetView view="pageLayout" zoomScaleNormal="100" workbookViewId="0">
      <selection activeCell="A5" sqref="A5:N5"/>
    </sheetView>
  </sheetViews>
  <sheetFormatPr defaultColWidth="8" defaultRowHeight="15.75"/>
  <cols>
    <col min="1" max="1" width="4.42578125" style="2" customWidth="1"/>
    <col min="2" max="2" width="1" style="2" customWidth="1"/>
    <col min="3" max="3" width="15.28515625" style="2" customWidth="1"/>
    <col min="4" max="4" width="15.7109375" style="2" customWidth="1"/>
    <col min="5" max="5" width="1" style="2" customWidth="1"/>
    <col min="6" max="6" width="19.5703125" style="2" customWidth="1"/>
    <col min="7" max="7" width="1" style="2" customWidth="1"/>
    <col min="8" max="8" width="15.140625" style="2" bestFit="1" customWidth="1"/>
    <col min="9" max="9" width="1" style="2" customWidth="1"/>
    <col min="10" max="10" width="14.42578125" style="2" bestFit="1" customWidth="1"/>
    <col min="11" max="11" width="1" style="2" customWidth="1"/>
    <col min="12" max="12" width="13.140625" style="27" customWidth="1"/>
    <col min="13" max="13" width="1" style="2" customWidth="1"/>
    <col min="14" max="14" width="47.42578125" style="2" customWidth="1"/>
    <col min="15" max="16384" width="8" style="2"/>
  </cols>
  <sheetData>
    <row r="1" spans="1:14">
      <c r="A1" s="287" t="s">
        <v>787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</row>
    <row r="2" spans="1:14">
      <c r="A2" s="287" t="s">
        <v>791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</row>
    <row r="3" spans="1:14">
      <c r="A3" s="287" t="s">
        <v>792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</row>
    <row r="4" spans="1:14">
      <c r="A4" s="289" t="s">
        <v>112</v>
      </c>
      <c r="B4" s="289"/>
      <c r="C4" s="289"/>
      <c r="D4" s="289"/>
      <c r="E4" s="289"/>
      <c r="F4" s="289"/>
      <c r="G4" s="289"/>
      <c r="H4" s="289"/>
      <c r="I4" s="289"/>
      <c r="J4" s="289"/>
      <c r="K4" s="289"/>
      <c r="L4" s="289"/>
      <c r="M4" s="289"/>
      <c r="N4" s="289"/>
    </row>
    <row r="5" spans="1:14">
      <c r="A5" s="289" t="s">
        <v>375</v>
      </c>
      <c r="B5" s="289"/>
      <c r="C5" s="289"/>
      <c r="D5" s="289"/>
      <c r="E5" s="289"/>
      <c r="F5" s="289"/>
      <c r="G5" s="289"/>
      <c r="H5" s="289"/>
      <c r="I5" s="289"/>
      <c r="J5" s="289"/>
      <c r="K5" s="289"/>
      <c r="L5" s="289"/>
      <c r="M5" s="289"/>
      <c r="N5" s="289"/>
    </row>
    <row r="6" spans="1:14">
      <c r="A6" s="289" t="str">
        <f>'Sch 1 - RevReq'!A5</f>
        <v>FOR THE YEAR ENDING DECEMBER 31, 2025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</row>
    <row r="7" spans="1:14">
      <c r="A7" s="289" t="s">
        <v>793</v>
      </c>
      <c r="B7" s="289"/>
      <c r="C7" s="289"/>
      <c r="D7" s="289"/>
      <c r="E7" s="289"/>
      <c r="F7" s="289"/>
      <c r="G7" s="289"/>
      <c r="H7" s="289"/>
      <c r="I7" s="289"/>
      <c r="J7" s="289"/>
      <c r="K7" s="289"/>
      <c r="L7" s="289"/>
      <c r="M7" s="289"/>
      <c r="N7" s="289"/>
    </row>
    <row r="8" spans="1:14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>
      <c r="H9" s="3"/>
      <c r="J9" s="3"/>
      <c r="L9" s="84" t="s">
        <v>47</v>
      </c>
    </row>
    <row r="10" spans="1:14">
      <c r="A10" s="85"/>
      <c r="C10" s="299"/>
      <c r="D10" s="300"/>
      <c r="F10" s="4"/>
      <c r="H10" s="4" t="s">
        <v>77</v>
      </c>
      <c r="J10" s="4" t="s">
        <v>77</v>
      </c>
      <c r="L10" s="86" t="s">
        <v>48</v>
      </c>
      <c r="N10" s="4"/>
    </row>
    <row r="11" spans="1:14" ht="47.25">
      <c r="A11" s="280" t="s">
        <v>876</v>
      </c>
      <c r="C11" s="289" t="s">
        <v>3</v>
      </c>
      <c r="D11" s="298"/>
      <c r="F11" s="54" t="s">
        <v>364</v>
      </c>
      <c r="H11" s="3" t="s">
        <v>327</v>
      </c>
      <c r="J11" s="3" t="s">
        <v>49</v>
      </c>
      <c r="L11" s="54" t="s">
        <v>49</v>
      </c>
      <c r="N11" s="3" t="s">
        <v>237</v>
      </c>
    </row>
    <row r="12" spans="1:14">
      <c r="A12" s="13"/>
      <c r="C12" s="3" t="s">
        <v>50</v>
      </c>
      <c r="F12" s="3" t="s">
        <v>51</v>
      </c>
      <c r="G12" s="3"/>
      <c r="H12" s="3" t="s">
        <v>86</v>
      </c>
      <c r="I12" s="3"/>
      <c r="J12" s="3" t="s">
        <v>87</v>
      </c>
      <c r="K12" s="3"/>
      <c r="L12" s="54" t="s">
        <v>88</v>
      </c>
      <c r="M12" s="3"/>
      <c r="N12" s="3" t="s">
        <v>89</v>
      </c>
    </row>
    <row r="13" spans="1:14">
      <c r="A13" s="5"/>
      <c r="H13" s="78"/>
      <c r="I13" s="78"/>
      <c r="J13" s="78"/>
      <c r="K13" s="78"/>
      <c r="L13" s="78"/>
      <c r="N13" s="2" t="s">
        <v>813</v>
      </c>
    </row>
    <row r="14" spans="1:14">
      <c r="A14" s="5">
        <v>1</v>
      </c>
      <c r="C14" s="2" t="s">
        <v>390</v>
      </c>
      <c r="F14" s="2" t="s">
        <v>391</v>
      </c>
      <c r="H14" s="88">
        <f>H23</f>
        <v>-5674063</v>
      </c>
      <c r="I14" s="78"/>
      <c r="J14" s="78">
        <v>-1620223.02</v>
      </c>
      <c r="K14" s="78"/>
      <c r="L14" s="78">
        <v>-209004.11</v>
      </c>
      <c r="N14" s="2" t="s">
        <v>813</v>
      </c>
    </row>
    <row r="15" spans="1:14">
      <c r="A15" s="5">
        <f>A14+1</f>
        <v>2</v>
      </c>
      <c r="C15" s="2" t="s">
        <v>392</v>
      </c>
      <c r="H15" s="88"/>
      <c r="I15" s="78"/>
      <c r="J15" s="48">
        <f>J14/H14</f>
        <v>0.28554900077774958</v>
      </c>
      <c r="K15" s="48"/>
      <c r="L15" s="48">
        <f>L14/J14</f>
        <v>0.12899712411196329</v>
      </c>
    </row>
    <row r="16" spans="1:14">
      <c r="A16" s="5">
        <f t="shared" ref="A16:A43" si="0">A15+1</f>
        <v>3</v>
      </c>
      <c r="C16" s="2" t="s">
        <v>393</v>
      </c>
      <c r="F16" s="2">
        <v>926.22500000000002</v>
      </c>
      <c r="H16" s="88">
        <f>H31</f>
        <v>2053579</v>
      </c>
      <c r="I16" s="78"/>
      <c r="J16" s="78">
        <v>586397.43000000005</v>
      </c>
      <c r="K16" s="78"/>
      <c r="L16" s="78">
        <v>75643.58</v>
      </c>
      <c r="N16" s="2" t="s">
        <v>814</v>
      </c>
    </row>
    <row r="17" spans="1:14">
      <c r="A17" s="5">
        <f t="shared" si="0"/>
        <v>4</v>
      </c>
      <c r="C17" s="2" t="s">
        <v>392</v>
      </c>
      <c r="H17" s="88"/>
      <c r="I17" s="78"/>
      <c r="J17" s="48">
        <f>J16/H16</f>
        <v>0.28554900006281719</v>
      </c>
      <c r="K17" s="48"/>
      <c r="L17" s="48">
        <f>L16/J16</f>
        <v>0.12899712060470661</v>
      </c>
    </row>
    <row r="18" spans="1:14">
      <c r="A18" s="5">
        <f t="shared" si="0"/>
        <v>5</v>
      </c>
      <c r="C18" s="2" t="s">
        <v>394</v>
      </c>
      <c r="F18" s="2" t="s">
        <v>395</v>
      </c>
      <c r="H18" s="88">
        <f>H39</f>
        <v>-3298209</v>
      </c>
      <c r="I18" s="78"/>
      <c r="J18" s="78">
        <v>-941800.28</v>
      </c>
      <c r="K18" s="78"/>
      <c r="L18" s="78">
        <v>-121489.53</v>
      </c>
      <c r="N18" s="2" t="s">
        <v>815</v>
      </c>
    </row>
    <row r="19" spans="1:14">
      <c r="A19" s="5">
        <f t="shared" si="0"/>
        <v>6</v>
      </c>
      <c r="C19" s="2" t="s">
        <v>392</v>
      </c>
      <c r="H19" s="78"/>
      <c r="I19" s="78"/>
      <c r="J19" s="48">
        <f>J18/H18</f>
        <v>0.28554899947213774</v>
      </c>
      <c r="K19" s="48"/>
      <c r="L19" s="48">
        <f>L18/J18</f>
        <v>0.1289971266519479</v>
      </c>
    </row>
    <row r="20" spans="1:14">
      <c r="A20" s="5">
        <f t="shared" si="0"/>
        <v>7</v>
      </c>
      <c r="H20" s="87"/>
      <c r="J20" s="78"/>
      <c r="K20" s="78"/>
      <c r="L20" s="78"/>
    </row>
    <row r="21" spans="1:14">
      <c r="A21" s="5">
        <f t="shared" si="0"/>
        <v>8</v>
      </c>
      <c r="H21" s="89"/>
      <c r="J21" s="78"/>
      <c r="K21" s="78"/>
      <c r="L21" s="78"/>
    </row>
    <row r="22" spans="1:14">
      <c r="A22" s="5">
        <f t="shared" si="0"/>
        <v>9</v>
      </c>
      <c r="C22" s="2" t="s">
        <v>396</v>
      </c>
      <c r="H22" s="158">
        <v>-6998783</v>
      </c>
      <c r="J22" s="78"/>
      <c r="K22" s="78"/>
      <c r="L22" s="78"/>
      <c r="N22" s="2" t="s">
        <v>816</v>
      </c>
    </row>
    <row r="23" spans="1:14">
      <c r="A23" s="5">
        <f t="shared" si="0"/>
        <v>10</v>
      </c>
      <c r="C23" s="2" t="s">
        <v>397</v>
      </c>
      <c r="H23" s="158">
        <v>-5674063</v>
      </c>
      <c r="J23" s="78"/>
      <c r="K23" s="78"/>
      <c r="L23" s="78"/>
      <c r="N23" s="2" t="s">
        <v>817</v>
      </c>
    </row>
    <row r="24" spans="1:14">
      <c r="A24" s="5">
        <f t="shared" si="0"/>
        <v>11</v>
      </c>
      <c r="C24" s="2" t="s">
        <v>398</v>
      </c>
      <c r="H24" s="254">
        <v>-6553646</v>
      </c>
      <c r="J24" s="78"/>
      <c r="K24" s="78"/>
      <c r="L24" s="78"/>
      <c r="N24" s="2" t="s">
        <v>818</v>
      </c>
    </row>
    <row r="25" spans="1:14">
      <c r="A25" s="5">
        <f t="shared" si="0"/>
        <v>12</v>
      </c>
      <c r="C25" s="2" t="s">
        <v>399</v>
      </c>
      <c r="H25" s="158">
        <f>AVERAGE(H22:H24)</f>
        <v>-6408830.666666667</v>
      </c>
      <c r="J25" s="78"/>
      <c r="K25" s="78"/>
      <c r="L25" s="78"/>
      <c r="N25" s="2" t="s">
        <v>400</v>
      </c>
    </row>
    <row r="26" spans="1:14">
      <c r="A26" s="5">
        <f t="shared" si="0"/>
        <v>13</v>
      </c>
      <c r="C26" s="2" t="s">
        <v>401</v>
      </c>
      <c r="J26" s="78">
        <f>H25*J15</f>
        <v>-1830035.1930204656</v>
      </c>
      <c r="K26" s="78"/>
      <c r="L26" s="78"/>
      <c r="N26" s="2" t="s">
        <v>402</v>
      </c>
    </row>
    <row r="27" spans="1:14">
      <c r="A27" s="5">
        <f t="shared" si="0"/>
        <v>14</v>
      </c>
      <c r="C27" s="2" t="s">
        <v>403</v>
      </c>
      <c r="H27" s="159"/>
      <c r="J27" s="78"/>
      <c r="K27" s="78"/>
      <c r="L27" s="78">
        <f>J26*L15</f>
        <v>-236069.27692332168</v>
      </c>
      <c r="N27" s="2" t="s">
        <v>404</v>
      </c>
    </row>
    <row r="28" spans="1:14">
      <c r="A28" s="5">
        <f t="shared" si="0"/>
        <v>15</v>
      </c>
      <c r="H28" s="159"/>
      <c r="J28" s="78"/>
      <c r="K28" s="78"/>
      <c r="L28" s="78"/>
    </row>
    <row r="29" spans="1:14">
      <c r="A29" s="5">
        <f t="shared" si="0"/>
        <v>16</v>
      </c>
      <c r="H29" s="89"/>
      <c r="J29" s="78"/>
      <c r="K29" s="78"/>
      <c r="L29" s="78"/>
    </row>
    <row r="30" spans="1:14">
      <c r="A30" s="5">
        <f t="shared" si="0"/>
        <v>17</v>
      </c>
      <c r="C30" s="2" t="s">
        <v>405</v>
      </c>
      <c r="H30" s="158">
        <v>1764035</v>
      </c>
      <c r="J30" s="78"/>
      <c r="K30" s="78"/>
      <c r="L30" s="78"/>
      <c r="N30" s="2" t="s">
        <v>819</v>
      </c>
    </row>
    <row r="31" spans="1:14">
      <c r="A31" s="5">
        <f t="shared" si="0"/>
        <v>18</v>
      </c>
      <c r="C31" s="2" t="s">
        <v>406</v>
      </c>
      <c r="H31" s="158">
        <v>2053579</v>
      </c>
      <c r="J31" s="78"/>
      <c r="K31" s="78"/>
      <c r="L31" s="78"/>
      <c r="N31" s="2" t="s">
        <v>820</v>
      </c>
    </row>
    <row r="32" spans="1:14">
      <c r="A32" s="5">
        <f t="shared" si="0"/>
        <v>19</v>
      </c>
      <c r="C32" s="2" t="s">
        <v>407</v>
      </c>
      <c r="H32" s="254">
        <v>2068895</v>
      </c>
      <c r="J32" s="78"/>
      <c r="K32" s="78"/>
      <c r="L32" s="78"/>
      <c r="N32" s="2" t="s">
        <v>821</v>
      </c>
    </row>
    <row r="33" spans="1:14">
      <c r="A33" s="5">
        <f t="shared" si="0"/>
        <v>20</v>
      </c>
      <c r="C33" s="2" t="s">
        <v>399</v>
      </c>
      <c r="H33" s="158">
        <f>AVERAGE(H30:H32)</f>
        <v>1962169.6666666667</v>
      </c>
      <c r="J33" s="78"/>
      <c r="K33" s="78"/>
      <c r="L33" s="78"/>
      <c r="N33" s="2" t="s">
        <v>408</v>
      </c>
    </row>
    <row r="34" spans="1:14">
      <c r="A34" s="5">
        <f t="shared" si="0"/>
        <v>21</v>
      </c>
      <c r="C34" s="2" t="s">
        <v>409</v>
      </c>
      <c r="J34" s="78">
        <f>H33*J17</f>
        <v>560295.58627025806</v>
      </c>
      <c r="K34" s="78"/>
      <c r="L34" s="78"/>
      <c r="N34" s="2" t="s">
        <v>410</v>
      </c>
    </row>
    <row r="35" spans="1:14">
      <c r="A35" s="5">
        <f t="shared" si="0"/>
        <v>22</v>
      </c>
      <c r="C35" s="2" t="s">
        <v>411</v>
      </c>
      <c r="H35" s="159"/>
      <c r="J35" s="78"/>
      <c r="K35" s="78"/>
      <c r="L35" s="78">
        <f>J34*L17</f>
        <v>72276.517316389276</v>
      </c>
      <c r="N35" s="2" t="s">
        <v>412</v>
      </c>
    </row>
    <row r="36" spans="1:14">
      <c r="A36" s="5">
        <f t="shared" si="0"/>
        <v>23</v>
      </c>
    </row>
    <row r="37" spans="1:14">
      <c r="A37" s="5">
        <f t="shared" si="0"/>
        <v>24</v>
      </c>
      <c r="H37" s="89"/>
      <c r="J37" s="27"/>
      <c r="L37" s="89"/>
    </row>
    <row r="38" spans="1:14">
      <c r="A38" s="5">
        <f t="shared" si="0"/>
        <v>25</v>
      </c>
      <c r="C38" s="2" t="s">
        <v>413</v>
      </c>
      <c r="H38" s="158">
        <f>118-4043275</f>
        <v>-4043157</v>
      </c>
      <c r="J38" s="27"/>
      <c r="L38" s="87"/>
      <c r="N38" s="2" t="s">
        <v>823</v>
      </c>
    </row>
    <row r="39" spans="1:14">
      <c r="A39" s="5">
        <f t="shared" si="0"/>
        <v>26</v>
      </c>
      <c r="C39" s="2" t="s">
        <v>414</v>
      </c>
      <c r="H39" s="158">
        <f>28917-3327126</f>
        <v>-3298209</v>
      </c>
      <c r="J39" s="27"/>
      <c r="N39" s="2" t="s">
        <v>822</v>
      </c>
    </row>
    <row r="40" spans="1:14">
      <c r="A40" s="5">
        <f t="shared" si="0"/>
        <v>27</v>
      </c>
      <c r="C40" s="2" t="s">
        <v>415</v>
      </c>
      <c r="H40" s="255">
        <f>1965381-1251690</f>
        <v>713691</v>
      </c>
      <c r="N40" s="2" t="s">
        <v>824</v>
      </c>
    </row>
    <row r="41" spans="1:14">
      <c r="A41" s="5">
        <f t="shared" si="0"/>
        <v>28</v>
      </c>
      <c r="C41" s="2" t="s">
        <v>399</v>
      </c>
      <c r="H41" s="88">
        <f>AVERAGE(H38:H40)</f>
        <v>-2209225</v>
      </c>
      <c r="N41" s="2" t="s">
        <v>416</v>
      </c>
    </row>
    <row r="42" spans="1:14">
      <c r="A42" s="5">
        <f t="shared" si="0"/>
        <v>29</v>
      </c>
      <c r="C42" s="2" t="s">
        <v>417</v>
      </c>
      <c r="J42" s="78">
        <f>H41*J19</f>
        <v>-630841.98835883348</v>
      </c>
      <c r="K42" s="78"/>
      <c r="L42" s="78"/>
      <c r="N42" s="2" t="s">
        <v>418</v>
      </c>
    </row>
    <row r="43" spans="1:14">
      <c r="A43" s="5">
        <f t="shared" si="0"/>
        <v>30</v>
      </c>
      <c r="C43" s="2" t="s">
        <v>411</v>
      </c>
      <c r="J43" s="78"/>
      <c r="K43" s="78"/>
      <c r="L43" s="78">
        <f>J42*L19</f>
        <v>-81376.803869691081</v>
      </c>
      <c r="N43" s="2" t="s">
        <v>419</v>
      </c>
    </row>
  </sheetData>
  <mergeCells count="9">
    <mergeCell ref="C11:D11"/>
    <mergeCell ref="C10:D10"/>
    <mergeCell ref="A1:N1"/>
    <mergeCell ref="A2:N2"/>
    <mergeCell ref="A3:N3"/>
    <mergeCell ref="A4:N4"/>
    <mergeCell ref="A5:N5"/>
    <mergeCell ref="A6:N6"/>
    <mergeCell ref="A7:N7"/>
  </mergeCells>
  <phoneticPr fontId="6" type="noConversion"/>
  <printOptions horizontalCentered="1"/>
  <pageMargins left="0.75" right="0.63" top="1" bottom="1" header="0.5" footer="0.5"/>
  <pageSetup scale="61" fitToHeight="0" orientation="portrait" r:id="rId1"/>
  <headerFooter alignWithMargins="0">
    <oddHeader xml:space="preserve">&amp;RGroen Direct Exhibit 1.1, Schedule 7, WP
Page 2 of 17
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G25"/>
  <sheetViews>
    <sheetView view="pageLayout" zoomScaleNormal="100" workbookViewId="0">
      <selection activeCell="G9" sqref="G9"/>
    </sheetView>
  </sheetViews>
  <sheetFormatPr defaultColWidth="8" defaultRowHeight="15.75"/>
  <cols>
    <col min="1" max="1" width="4.5703125" style="90" customWidth="1"/>
    <col min="2" max="2" width="0.85546875" style="90" customWidth="1"/>
    <col min="3" max="3" width="41.28515625" style="90" customWidth="1"/>
    <col min="4" max="4" width="0.85546875" style="90" customWidth="1"/>
    <col min="5" max="5" width="12.42578125" style="90" customWidth="1"/>
    <col min="6" max="6" width="0.85546875" style="90" customWidth="1"/>
    <col min="7" max="7" width="30.28515625" style="90" bestFit="1" customWidth="1"/>
    <col min="8" max="13" width="8" style="90"/>
    <col min="14" max="14" width="8.42578125" style="90" bestFit="1" customWidth="1"/>
    <col min="15" max="16384" width="8" style="90"/>
  </cols>
  <sheetData>
    <row r="1" spans="1:7">
      <c r="A1" s="287" t="s">
        <v>787</v>
      </c>
      <c r="B1" s="287"/>
      <c r="C1" s="287"/>
      <c r="D1" s="287"/>
      <c r="E1" s="287"/>
      <c r="F1" s="287"/>
      <c r="G1" s="287"/>
    </row>
    <row r="2" spans="1:7" s="2" customFormat="1">
      <c r="A2" s="287" t="s">
        <v>791</v>
      </c>
      <c r="B2" s="287"/>
      <c r="C2" s="287"/>
      <c r="D2" s="287"/>
      <c r="E2" s="287"/>
      <c r="F2" s="287"/>
      <c r="G2" s="287"/>
    </row>
    <row r="3" spans="1:7" s="2" customFormat="1">
      <c r="A3" s="287" t="s">
        <v>792</v>
      </c>
      <c r="B3" s="287"/>
      <c r="C3" s="287"/>
      <c r="D3" s="287"/>
      <c r="E3" s="287"/>
      <c r="F3" s="287"/>
      <c r="G3" s="287"/>
    </row>
    <row r="4" spans="1:7">
      <c r="A4" s="287" t="s">
        <v>112</v>
      </c>
      <c r="B4" s="287"/>
      <c r="C4" s="287"/>
      <c r="D4" s="287"/>
      <c r="E4" s="287"/>
      <c r="F4" s="287"/>
      <c r="G4" s="287"/>
    </row>
    <row r="5" spans="1:7">
      <c r="A5" s="288" t="s">
        <v>420</v>
      </c>
      <c r="B5" s="288"/>
      <c r="C5" s="288"/>
      <c r="D5" s="288"/>
      <c r="E5" s="288"/>
      <c r="F5" s="288"/>
      <c r="G5" s="288"/>
    </row>
    <row r="6" spans="1:7">
      <c r="A6" s="289" t="str">
        <f>'Sch 1 - RevReq'!A5</f>
        <v>FOR THE YEAR ENDING DECEMBER 31, 2025</v>
      </c>
      <c r="B6" s="289"/>
      <c r="C6" s="289"/>
      <c r="D6" s="289"/>
      <c r="E6" s="289"/>
      <c r="F6" s="289"/>
      <c r="G6" s="289"/>
    </row>
    <row r="7" spans="1:7">
      <c r="A7" s="289" t="s">
        <v>793</v>
      </c>
      <c r="B7" s="289"/>
      <c r="C7" s="289"/>
      <c r="D7" s="289"/>
      <c r="E7" s="289"/>
      <c r="F7" s="289"/>
      <c r="G7" s="289"/>
    </row>
    <row r="9" spans="1:7" ht="47.25">
      <c r="A9" s="276" t="s">
        <v>876</v>
      </c>
      <c r="C9" s="92" t="s">
        <v>3</v>
      </c>
      <c r="E9" s="92" t="s">
        <v>287</v>
      </c>
      <c r="G9" s="92" t="s">
        <v>237</v>
      </c>
    </row>
    <row r="10" spans="1:7">
      <c r="A10" s="91"/>
      <c r="C10" s="91" t="s">
        <v>50</v>
      </c>
      <c r="E10" s="91" t="s">
        <v>51</v>
      </c>
      <c r="G10" s="91" t="s">
        <v>86</v>
      </c>
    </row>
    <row r="11" spans="1:7">
      <c r="A11" s="91"/>
      <c r="C11" s="91"/>
      <c r="E11" s="91"/>
    </row>
    <row r="12" spans="1:7">
      <c r="A12" s="93">
        <v>1</v>
      </c>
      <c r="C12" s="90" t="s">
        <v>421</v>
      </c>
      <c r="E12" s="91"/>
    </row>
    <row r="13" spans="1:7">
      <c r="A13" s="93"/>
      <c r="C13" s="94"/>
    </row>
    <row r="14" spans="1:7">
      <c r="A14" s="93">
        <v>2</v>
      </c>
      <c r="C14" s="90" t="s">
        <v>422</v>
      </c>
    </row>
    <row r="15" spans="1:7">
      <c r="A15" s="93">
        <f>A14+1</f>
        <v>3</v>
      </c>
      <c r="C15" s="90" t="s">
        <v>423</v>
      </c>
      <c r="E15" s="95">
        <v>96552</v>
      </c>
      <c r="G15" s="90" t="s">
        <v>424</v>
      </c>
    </row>
    <row r="16" spans="1:7">
      <c r="A16" s="93">
        <f t="shared" ref="A16:A24" si="0">A15+1</f>
        <v>4</v>
      </c>
      <c r="C16" s="90" t="s">
        <v>425</v>
      </c>
      <c r="E16" s="95">
        <v>124664</v>
      </c>
      <c r="G16" s="90" t="s">
        <v>426</v>
      </c>
    </row>
    <row r="17" spans="1:7">
      <c r="A17" s="93">
        <f t="shared" si="0"/>
        <v>5</v>
      </c>
      <c r="C17" s="90" t="s">
        <v>427</v>
      </c>
      <c r="E17" s="95">
        <v>60387</v>
      </c>
      <c r="G17" s="90" t="s">
        <v>428</v>
      </c>
    </row>
    <row r="18" spans="1:7">
      <c r="A18" s="93">
        <f t="shared" si="0"/>
        <v>6</v>
      </c>
      <c r="C18" s="90" t="s">
        <v>429</v>
      </c>
      <c r="E18" s="95">
        <v>16441</v>
      </c>
      <c r="G18" s="90" t="s">
        <v>430</v>
      </c>
    </row>
    <row r="19" spans="1:7">
      <c r="A19" s="93">
        <f t="shared" si="0"/>
        <v>7</v>
      </c>
      <c r="C19" s="90" t="s">
        <v>431</v>
      </c>
      <c r="E19" s="95">
        <v>965857</v>
      </c>
      <c r="G19" s="90" t="s">
        <v>432</v>
      </c>
    </row>
    <row r="20" spans="1:7" ht="16.5" thickBot="1">
      <c r="A20" s="93">
        <f t="shared" si="0"/>
        <v>8</v>
      </c>
      <c r="C20" s="90" t="s">
        <v>77</v>
      </c>
      <c r="E20" s="96">
        <f>SUM(E15:E19)</f>
        <v>1263901</v>
      </c>
    </row>
    <row r="21" spans="1:7" ht="16.5" thickTop="1">
      <c r="A21" s="93">
        <f t="shared" si="0"/>
        <v>9</v>
      </c>
      <c r="E21" s="95"/>
    </row>
    <row r="22" spans="1:7">
      <c r="A22" s="93">
        <f t="shared" si="0"/>
        <v>10</v>
      </c>
      <c r="B22" s="97"/>
      <c r="C22" s="98" t="s">
        <v>433</v>
      </c>
      <c r="D22" s="97"/>
      <c r="E22" s="99"/>
      <c r="F22" s="97"/>
    </row>
    <row r="23" spans="1:7">
      <c r="A23" s="93">
        <f t="shared" si="0"/>
        <v>11</v>
      </c>
    </row>
    <row r="24" spans="1:7">
      <c r="A24" s="93">
        <f t="shared" si="0"/>
        <v>12</v>
      </c>
      <c r="C24" s="98" t="s">
        <v>434</v>
      </c>
      <c r="E24" s="100">
        <f>E20</f>
        <v>1263901</v>
      </c>
      <c r="G24" s="8" t="s">
        <v>435</v>
      </c>
    </row>
    <row r="25" spans="1:7">
      <c r="A25" s="93"/>
      <c r="C25" s="98"/>
      <c r="E25" s="99"/>
    </row>
  </sheetData>
  <mergeCells count="7">
    <mergeCell ref="A7:G7"/>
    <mergeCell ref="A6:G6"/>
    <mergeCell ref="A1:G1"/>
    <mergeCell ref="A2:G2"/>
    <mergeCell ref="A3:G3"/>
    <mergeCell ref="A4:G4"/>
    <mergeCell ref="A5:G5"/>
  </mergeCells>
  <phoneticPr fontId="6" type="noConversion"/>
  <printOptions horizontalCentered="1"/>
  <pageMargins left="0.75" right="0.75" top="1" bottom="1" header="0.5" footer="0.5"/>
  <pageSetup orientation="portrait" r:id="rId1"/>
  <headerFooter alignWithMargins="0">
    <oddHeader xml:space="preserve">&amp;RGroen Direct Exhibit 1.1, Schedule 8, WP
Page 1 of 1&amp;8
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98"/>
  <sheetViews>
    <sheetView view="pageLayout" zoomScaleNormal="100" workbookViewId="0">
      <selection activeCell="A3" sqref="A3:I3"/>
    </sheetView>
  </sheetViews>
  <sheetFormatPr defaultColWidth="8.85546875" defaultRowHeight="15.75"/>
  <cols>
    <col min="1" max="1" width="4.85546875" style="106" customWidth="1"/>
    <col min="2" max="2" width="3.28515625" style="106" customWidth="1"/>
    <col min="3" max="3" width="31.5703125" style="106" customWidth="1"/>
    <col min="4" max="4" width="1.7109375" style="106" customWidth="1"/>
    <col min="5" max="5" width="14.140625" style="106" bestFit="1" customWidth="1"/>
    <col min="6" max="6" width="1.28515625" style="106" customWidth="1"/>
    <col min="7" max="7" width="14.140625" style="106" bestFit="1" customWidth="1"/>
    <col min="8" max="8" width="1.140625" style="106" customWidth="1"/>
    <col min="9" max="9" width="43.5703125" style="106" customWidth="1"/>
    <col min="10" max="11" width="8.7109375" style="106" bestFit="1" customWidth="1"/>
    <col min="12" max="16384" width="8.85546875" style="106"/>
  </cols>
  <sheetData>
    <row r="1" spans="1:13">
      <c r="A1" s="287" t="s">
        <v>787</v>
      </c>
      <c r="B1" s="287"/>
      <c r="C1" s="287"/>
      <c r="D1" s="287"/>
      <c r="E1" s="287"/>
      <c r="F1" s="287"/>
      <c r="G1" s="287"/>
      <c r="H1" s="287"/>
      <c r="I1" s="287"/>
      <c r="K1" s="107"/>
      <c r="M1" s="107"/>
    </row>
    <row r="2" spans="1:13">
      <c r="A2" s="287" t="s">
        <v>791</v>
      </c>
      <c r="B2" s="287"/>
      <c r="C2" s="287"/>
      <c r="D2" s="287"/>
      <c r="E2" s="287"/>
      <c r="F2" s="287"/>
      <c r="G2" s="287"/>
      <c r="H2" s="287"/>
      <c r="I2" s="287"/>
      <c r="K2" s="107"/>
      <c r="M2" s="107"/>
    </row>
    <row r="3" spans="1:13">
      <c r="A3" s="287" t="s">
        <v>792</v>
      </c>
      <c r="B3" s="287"/>
      <c r="C3" s="287"/>
      <c r="D3" s="287"/>
      <c r="E3" s="287"/>
      <c r="F3" s="287"/>
      <c r="G3" s="287"/>
      <c r="H3" s="287"/>
      <c r="I3" s="287"/>
      <c r="K3" s="107"/>
      <c r="M3" s="107"/>
    </row>
    <row r="4" spans="1:13">
      <c r="A4" s="287" t="s">
        <v>112</v>
      </c>
      <c r="B4" s="287"/>
      <c r="C4" s="287"/>
      <c r="D4" s="287"/>
      <c r="E4" s="287"/>
      <c r="F4" s="287"/>
      <c r="G4" s="287"/>
      <c r="H4" s="287"/>
      <c r="I4" s="287"/>
      <c r="K4" s="107"/>
    </row>
    <row r="5" spans="1:13">
      <c r="A5" s="288" t="s">
        <v>201</v>
      </c>
      <c r="B5" s="288"/>
      <c r="C5" s="288"/>
      <c r="D5" s="288"/>
      <c r="E5" s="288"/>
      <c r="F5" s="288"/>
      <c r="G5" s="288"/>
      <c r="H5" s="288"/>
      <c r="I5" s="288"/>
      <c r="K5" s="107"/>
    </row>
    <row r="6" spans="1:13">
      <c r="A6" s="289" t="str">
        <f>'Sch 1 - RevReq'!A5</f>
        <v>FOR THE YEAR ENDING DECEMBER 31, 2025</v>
      </c>
      <c r="B6" s="289"/>
      <c r="C6" s="289"/>
      <c r="D6" s="289"/>
      <c r="E6" s="289"/>
      <c r="F6" s="289"/>
      <c r="G6" s="289"/>
      <c r="H6" s="289"/>
      <c r="I6" s="289"/>
    </row>
    <row r="7" spans="1:13">
      <c r="A7" s="289" t="s">
        <v>793</v>
      </c>
      <c r="B7" s="289"/>
      <c r="C7" s="289"/>
      <c r="D7" s="289"/>
      <c r="E7" s="289"/>
      <c r="F7" s="289"/>
      <c r="G7" s="289"/>
      <c r="H7" s="289"/>
      <c r="I7" s="289"/>
    </row>
    <row r="8" spans="1:13">
      <c r="A8" s="106" t="s">
        <v>2</v>
      </c>
    </row>
    <row r="9" spans="1:13">
      <c r="A9" s="108" t="s">
        <v>234</v>
      </c>
      <c r="C9" s="108" t="s">
        <v>3</v>
      </c>
      <c r="E9" s="108" t="s">
        <v>436</v>
      </c>
      <c r="G9" s="108" t="s">
        <v>437</v>
      </c>
      <c r="I9" s="108" t="s">
        <v>237</v>
      </c>
    </row>
    <row r="10" spans="1:13">
      <c r="C10" s="109" t="s">
        <v>50</v>
      </c>
      <c r="D10" s="109"/>
      <c r="E10" s="109" t="s">
        <v>51</v>
      </c>
      <c r="F10" s="109"/>
      <c r="G10" s="109" t="s">
        <v>86</v>
      </c>
      <c r="H10" s="109"/>
      <c r="I10" s="109" t="s">
        <v>87</v>
      </c>
    </row>
    <row r="11" spans="1:13">
      <c r="I11" s="2"/>
    </row>
    <row r="12" spans="1:13">
      <c r="A12" s="110">
        <v>1</v>
      </c>
      <c r="C12" s="106" t="s">
        <v>438</v>
      </c>
      <c r="E12" s="260">
        <f>E68</f>
        <v>102172</v>
      </c>
      <c r="F12" s="111"/>
      <c r="G12" s="260">
        <f>G68</f>
        <v>11281</v>
      </c>
      <c r="H12" s="111"/>
      <c r="I12" s="2" t="s">
        <v>810</v>
      </c>
    </row>
    <row r="13" spans="1:13">
      <c r="A13" s="110">
        <f>+A12+1</f>
        <v>2</v>
      </c>
      <c r="C13" s="106" t="s">
        <v>439</v>
      </c>
      <c r="E13" s="260">
        <f>E66</f>
        <v>103337</v>
      </c>
      <c r="F13" s="111"/>
      <c r="G13" s="260">
        <f>G66</f>
        <v>11497</v>
      </c>
      <c r="H13" s="111"/>
      <c r="I13" s="2" t="s">
        <v>810</v>
      </c>
    </row>
    <row r="14" spans="1:13">
      <c r="A14" s="110">
        <f>+A13+1</f>
        <v>3</v>
      </c>
      <c r="C14" s="106" t="s">
        <v>440</v>
      </c>
      <c r="E14" s="261">
        <f>+E13-E12</f>
        <v>1165</v>
      </c>
      <c r="F14" s="111"/>
      <c r="G14" s="261">
        <f>+G13-G12</f>
        <v>216</v>
      </c>
      <c r="H14" s="111"/>
      <c r="I14" s="106" t="s">
        <v>441</v>
      </c>
    </row>
    <row r="15" spans="1:13">
      <c r="E15" s="111"/>
      <c r="F15" s="111"/>
      <c r="G15" s="111"/>
      <c r="H15" s="111"/>
    </row>
    <row r="16" spans="1:13">
      <c r="A16" s="110">
        <f>+A14+1</f>
        <v>4</v>
      </c>
      <c r="C16" s="106" t="s">
        <v>442</v>
      </c>
      <c r="E16" s="260">
        <f>E96</f>
        <v>-63192072</v>
      </c>
      <c r="F16" s="111"/>
      <c r="G16" s="260">
        <f>G96</f>
        <v>-43176344</v>
      </c>
      <c r="H16" s="111"/>
      <c r="I16" s="2" t="s">
        <v>811</v>
      </c>
    </row>
    <row r="18" spans="1:9">
      <c r="A18" s="110">
        <f>+A16+1</f>
        <v>5</v>
      </c>
      <c r="C18" s="106" t="s">
        <v>443</v>
      </c>
    </row>
    <row r="19" spans="1:9">
      <c r="A19" s="110">
        <f>+A18+1</f>
        <v>6</v>
      </c>
      <c r="C19" s="106" t="s">
        <v>444</v>
      </c>
      <c r="E19" s="106">
        <v>480011</v>
      </c>
      <c r="G19" s="106">
        <v>481011</v>
      </c>
    </row>
    <row r="20" spans="1:9">
      <c r="A20" s="110">
        <f>+A19+1</f>
        <v>7</v>
      </c>
      <c r="C20" s="106" t="s">
        <v>445</v>
      </c>
      <c r="E20" s="72">
        <v>57462721.609999999</v>
      </c>
      <c r="F20" s="114"/>
      <c r="G20" s="72">
        <v>30378090</v>
      </c>
      <c r="H20" s="112"/>
      <c r="I20" s="2" t="s">
        <v>812</v>
      </c>
    </row>
    <row r="21" spans="1:9">
      <c r="A21" s="110">
        <f>A20+1</f>
        <v>8</v>
      </c>
      <c r="C21" s="106" t="s">
        <v>446</v>
      </c>
      <c r="E21" s="72">
        <v>32264264.760000002</v>
      </c>
      <c r="F21" s="114"/>
      <c r="G21" s="72">
        <v>22158210.949999999</v>
      </c>
      <c r="H21" s="112"/>
      <c r="I21" s="2" t="s">
        <v>830</v>
      </c>
    </row>
    <row r="22" spans="1:9">
      <c r="A22" s="110">
        <f t="shared" ref="A22" si="0">A21+1</f>
        <v>9</v>
      </c>
      <c r="C22" s="106" t="s">
        <v>447</v>
      </c>
      <c r="E22" s="256">
        <v>0</v>
      </c>
      <c r="F22" s="114"/>
      <c r="G22" s="256">
        <v>0</v>
      </c>
      <c r="H22" s="112"/>
    </row>
    <row r="23" spans="1:9">
      <c r="A23" s="110">
        <f>A22+1</f>
        <v>10</v>
      </c>
      <c r="E23" s="256"/>
      <c r="F23" s="114"/>
      <c r="G23" s="256"/>
      <c r="H23" s="112"/>
    </row>
    <row r="24" spans="1:9">
      <c r="A24" s="110">
        <f>A23+1</f>
        <v>11</v>
      </c>
      <c r="C24" s="106" t="s">
        <v>448</v>
      </c>
      <c r="E24" s="113">
        <f>E20-E21-E22</f>
        <v>25198456.849999998</v>
      </c>
      <c r="F24" s="114"/>
      <c r="G24" s="113">
        <f>G20-G21-G22</f>
        <v>8219879.0500000007</v>
      </c>
      <c r="H24" s="112"/>
      <c r="I24" s="106" t="s">
        <v>449</v>
      </c>
    </row>
    <row r="25" spans="1:9">
      <c r="A25" s="110"/>
      <c r="E25" s="112"/>
      <c r="F25" s="112"/>
      <c r="G25" s="112"/>
      <c r="H25" s="112"/>
    </row>
    <row r="26" spans="1:9">
      <c r="A26" s="110">
        <f>+A24+1</f>
        <v>12</v>
      </c>
      <c r="C26" s="106" t="s">
        <v>450</v>
      </c>
    </row>
    <row r="27" spans="1:9">
      <c r="A27" s="110">
        <f>+A26+1</f>
        <v>13</v>
      </c>
      <c r="C27" s="106" t="s">
        <v>451</v>
      </c>
      <c r="E27" s="262">
        <f>+E24/E16*100</f>
        <v>-39.875978192327665</v>
      </c>
      <c r="G27" s="262">
        <f>+G24/G16*100</f>
        <v>-19.037922826444039</v>
      </c>
      <c r="I27" s="106" t="s">
        <v>452</v>
      </c>
    </row>
    <row r="29" spans="1:9">
      <c r="A29" s="110">
        <f>+A27+1</f>
        <v>14</v>
      </c>
      <c r="C29" s="106" t="s">
        <v>453</v>
      </c>
    </row>
    <row r="30" spans="1:9">
      <c r="A30" s="110">
        <f>+A29+1</f>
        <v>15</v>
      </c>
      <c r="C30" s="106" t="s">
        <v>454</v>
      </c>
      <c r="E30" s="260">
        <f>+E16/E12</f>
        <v>-618.48717848334184</v>
      </c>
      <c r="G30" s="260">
        <f>+G16/G12</f>
        <v>-3827.350766775995</v>
      </c>
      <c r="I30" s="106" t="s">
        <v>455</v>
      </c>
    </row>
    <row r="32" spans="1:9">
      <c r="A32" s="110">
        <f>+A30+1</f>
        <v>16</v>
      </c>
      <c r="C32" s="106" t="s">
        <v>456</v>
      </c>
    </row>
    <row r="33" spans="1:11">
      <c r="A33" s="110">
        <f>+A32+1</f>
        <v>17</v>
      </c>
      <c r="C33" s="106" t="s">
        <v>346</v>
      </c>
      <c r="E33" s="260">
        <f>+E13*E30</f>
        <v>-63912609.562933095</v>
      </c>
      <c r="F33" s="111"/>
      <c r="G33" s="260">
        <f>+G13*G30</f>
        <v>-44003051.765623614</v>
      </c>
      <c r="H33" s="111"/>
      <c r="I33" s="106" t="s">
        <v>457</v>
      </c>
    </row>
    <row r="34" spans="1:11">
      <c r="A34" s="110">
        <f>+A33+1</f>
        <v>18</v>
      </c>
      <c r="C34" s="106" t="s">
        <v>458</v>
      </c>
      <c r="E34" s="256">
        <f>+E33*E27/100</f>
        <v>25485778.251462728</v>
      </c>
      <c r="F34" s="114"/>
      <c r="G34" s="256">
        <f>+G33*G27/100</f>
        <v>8377267.036419644</v>
      </c>
      <c r="I34" s="106" t="s">
        <v>459</v>
      </c>
    </row>
    <row r="36" spans="1:11">
      <c r="A36" s="110">
        <f>+A34+1</f>
        <v>19</v>
      </c>
      <c r="C36" s="106" t="s">
        <v>460</v>
      </c>
    </row>
    <row r="37" spans="1:11">
      <c r="A37" s="110">
        <f>+A36+1</f>
        <v>20</v>
      </c>
      <c r="C37" s="106" t="s">
        <v>346</v>
      </c>
      <c r="E37" s="260">
        <f>+E33-E16</f>
        <v>-720537.5629330948</v>
      </c>
      <c r="G37" s="260">
        <f>+G33-G16</f>
        <v>-826707.76562361419</v>
      </c>
      <c r="I37" s="106" t="s">
        <v>461</v>
      </c>
    </row>
    <row r="38" spans="1:11">
      <c r="A38" s="110">
        <f>+A37+1</f>
        <v>21</v>
      </c>
      <c r="C38" s="106" t="s">
        <v>462</v>
      </c>
      <c r="E38" s="256">
        <f>+E34-E24</f>
        <v>287321.40146273002</v>
      </c>
      <c r="F38" s="114"/>
      <c r="G38" s="256">
        <f>+G34-G24</f>
        <v>157387.98641964328</v>
      </c>
      <c r="I38" s="106" t="s">
        <v>463</v>
      </c>
    </row>
    <row r="40" spans="1:11" ht="16.5" thickBot="1">
      <c r="C40" s="115" t="s">
        <v>464</v>
      </c>
      <c r="D40" s="115"/>
    </row>
    <row r="41" spans="1:11" ht="16.5" thickBot="1">
      <c r="A41" s="110">
        <f>A38+1</f>
        <v>22</v>
      </c>
      <c r="C41" s="115" t="s">
        <v>465</v>
      </c>
      <c r="D41" s="115"/>
      <c r="E41" s="116">
        <f>E38+G38</f>
        <v>444709.3878823733</v>
      </c>
      <c r="G41" s="114"/>
      <c r="I41" s="106" t="s">
        <v>466</v>
      </c>
    </row>
    <row r="42" spans="1:11">
      <c r="I42" s="106" t="s">
        <v>467</v>
      </c>
    </row>
    <row r="43" spans="1:11">
      <c r="A43" s="117"/>
      <c r="K43" s="107"/>
    </row>
    <row r="44" spans="1:11">
      <c r="A44" s="117"/>
      <c r="K44" s="107"/>
    </row>
    <row r="45" spans="1:11">
      <c r="A45" s="287" t="s">
        <v>787</v>
      </c>
      <c r="B45" s="287"/>
      <c r="C45" s="287"/>
      <c r="D45" s="287"/>
      <c r="E45" s="287"/>
      <c r="F45" s="287"/>
      <c r="G45" s="287"/>
      <c r="H45" s="287"/>
      <c r="I45" s="287"/>
      <c r="K45" s="107"/>
    </row>
    <row r="46" spans="1:11">
      <c r="A46" s="287" t="s">
        <v>788</v>
      </c>
      <c r="B46" s="287"/>
      <c r="C46" s="287"/>
      <c r="D46" s="287"/>
      <c r="E46" s="287"/>
      <c r="F46" s="287"/>
      <c r="G46" s="287"/>
      <c r="H46" s="287"/>
      <c r="I46" s="287"/>
    </row>
    <row r="47" spans="1:11">
      <c r="A47" s="287" t="s">
        <v>790</v>
      </c>
      <c r="B47" s="287"/>
      <c r="C47" s="287"/>
      <c r="D47" s="287"/>
      <c r="E47" s="287"/>
      <c r="F47" s="287"/>
      <c r="G47" s="287"/>
      <c r="H47" s="287"/>
      <c r="I47" s="287"/>
    </row>
    <row r="48" spans="1:11">
      <c r="A48" s="302" t="s">
        <v>468</v>
      </c>
      <c r="B48" s="302"/>
      <c r="C48" s="302"/>
      <c r="D48" s="302"/>
      <c r="E48" s="302"/>
      <c r="F48" s="302"/>
      <c r="G48" s="302"/>
      <c r="H48" s="302"/>
      <c r="I48" s="302"/>
    </row>
    <row r="49" spans="1:9">
      <c r="A49" s="302" t="str">
        <f>A6</f>
        <v>FOR THE YEAR ENDING DECEMBER 31, 2025</v>
      </c>
      <c r="B49" s="302"/>
      <c r="C49" s="302"/>
      <c r="D49" s="302"/>
      <c r="E49" s="302"/>
      <c r="F49" s="302"/>
      <c r="G49" s="302"/>
      <c r="H49" s="302"/>
      <c r="I49" s="302"/>
    </row>
    <row r="50" spans="1:9">
      <c r="A50" s="109"/>
      <c r="B50" s="109"/>
      <c r="C50" s="109"/>
      <c r="D50" s="109"/>
      <c r="E50" s="109"/>
      <c r="F50" s="109"/>
      <c r="G50" s="109"/>
      <c r="H50" s="109"/>
      <c r="I50" s="109"/>
    </row>
    <row r="51" spans="1:9">
      <c r="E51" s="106" t="s">
        <v>469</v>
      </c>
      <c r="G51" s="106" t="s">
        <v>470</v>
      </c>
    </row>
    <row r="52" spans="1:9">
      <c r="A52" s="108" t="s">
        <v>2</v>
      </c>
      <c r="B52" s="118"/>
      <c r="C52" s="108" t="s">
        <v>471</v>
      </c>
      <c r="D52" s="118"/>
      <c r="E52" s="108" t="s">
        <v>436</v>
      </c>
      <c r="G52" s="108" t="s">
        <v>437</v>
      </c>
    </row>
    <row r="53" spans="1:9">
      <c r="A53" s="118"/>
      <c r="B53" s="118"/>
      <c r="C53" s="119" t="s">
        <v>50</v>
      </c>
      <c r="D53" s="118"/>
      <c r="E53" s="119" t="s">
        <v>51</v>
      </c>
      <c r="G53" s="119" t="s">
        <v>86</v>
      </c>
    </row>
    <row r="54" spans="1:9">
      <c r="A54" s="115"/>
      <c r="B54" s="118"/>
      <c r="C54" s="118"/>
      <c r="D54" s="118"/>
    </row>
    <row r="55" spans="1:9">
      <c r="A55" s="120" t="s">
        <v>472</v>
      </c>
      <c r="C55" s="121" t="s">
        <v>473</v>
      </c>
      <c r="D55" s="72"/>
      <c r="E55" s="72">
        <v>101903</v>
      </c>
      <c r="G55" s="72">
        <v>11288</v>
      </c>
    </row>
    <row r="56" spans="1:9">
      <c r="A56" s="120" t="s">
        <v>474</v>
      </c>
      <c r="B56" s="72"/>
      <c r="C56" s="121" t="s">
        <v>475</v>
      </c>
      <c r="D56" s="72"/>
      <c r="E56" s="72">
        <v>102027</v>
      </c>
      <c r="G56" s="72">
        <v>11308</v>
      </c>
    </row>
    <row r="57" spans="1:9">
      <c r="A57" s="120" t="s">
        <v>476</v>
      </c>
      <c r="B57" s="72"/>
      <c r="C57" s="121" t="s">
        <v>477</v>
      </c>
      <c r="D57" s="72"/>
      <c r="E57" s="72">
        <v>102054</v>
      </c>
      <c r="G57" s="72">
        <v>11310</v>
      </c>
    </row>
    <row r="58" spans="1:9">
      <c r="A58" s="120" t="s">
        <v>478</v>
      </c>
      <c r="B58" s="72"/>
      <c r="C58" s="121" t="s">
        <v>479</v>
      </c>
      <c r="D58" s="72"/>
      <c r="E58" s="72">
        <v>101981</v>
      </c>
      <c r="G58" s="72">
        <v>11254</v>
      </c>
    </row>
    <row r="59" spans="1:9">
      <c r="A59" s="120" t="s">
        <v>480</v>
      </c>
      <c r="B59" s="72"/>
      <c r="C59" s="121" t="s">
        <v>481</v>
      </c>
      <c r="E59" s="72">
        <v>101799</v>
      </c>
      <c r="G59" s="72">
        <v>11216</v>
      </c>
    </row>
    <row r="60" spans="1:9">
      <c r="A60" s="120" t="s">
        <v>482</v>
      </c>
      <c r="B60" s="72"/>
      <c r="C60" s="121" t="s">
        <v>483</v>
      </c>
      <c r="D60" s="72"/>
      <c r="E60" s="72">
        <v>101769</v>
      </c>
      <c r="G60" s="72">
        <v>11198</v>
      </c>
    </row>
    <row r="61" spans="1:9">
      <c r="A61" s="120" t="s">
        <v>484</v>
      </c>
      <c r="B61" s="72"/>
      <c r="C61" s="121" t="s">
        <v>485</v>
      </c>
      <c r="D61" s="72"/>
      <c r="E61" s="263">
        <v>101743</v>
      </c>
      <c r="G61" s="263">
        <v>11178</v>
      </c>
    </row>
    <row r="62" spans="1:9">
      <c r="A62" s="120" t="s">
        <v>486</v>
      </c>
      <c r="B62" s="72"/>
      <c r="C62" s="121" t="s">
        <v>487</v>
      </c>
      <c r="D62" s="72"/>
      <c r="E62" s="263">
        <v>101829</v>
      </c>
      <c r="G62" s="263">
        <v>11185</v>
      </c>
    </row>
    <row r="63" spans="1:9">
      <c r="A63" s="120" t="s">
        <v>488</v>
      </c>
      <c r="B63" s="72"/>
      <c r="C63" s="121" t="s">
        <v>489</v>
      </c>
      <c r="D63" s="72"/>
      <c r="E63" s="263">
        <v>101979</v>
      </c>
      <c r="G63" s="263">
        <v>11196</v>
      </c>
    </row>
    <row r="64" spans="1:9">
      <c r="A64" s="120" t="s">
        <v>490</v>
      </c>
      <c r="B64" s="72"/>
      <c r="C64" s="121" t="s">
        <v>491</v>
      </c>
      <c r="D64" s="72"/>
      <c r="E64" s="263">
        <v>102589</v>
      </c>
      <c r="G64" s="263">
        <v>11321</v>
      </c>
    </row>
    <row r="65" spans="1:11">
      <c r="A65" s="120" t="s">
        <v>492</v>
      </c>
      <c r="B65" s="72"/>
      <c r="C65" s="121" t="s">
        <v>493</v>
      </c>
      <c r="E65" s="263">
        <v>103053</v>
      </c>
      <c r="G65" s="263">
        <v>11422</v>
      </c>
    </row>
    <row r="66" spans="1:11">
      <c r="A66" s="120" t="s">
        <v>494</v>
      </c>
      <c r="B66" s="72"/>
      <c r="C66" s="121" t="s">
        <v>495</v>
      </c>
      <c r="D66" s="72"/>
      <c r="E66" s="263">
        <v>103337</v>
      </c>
      <c r="G66" s="263">
        <v>11497</v>
      </c>
    </row>
    <row r="67" spans="1:11">
      <c r="A67" s="120" t="s">
        <v>496</v>
      </c>
      <c r="B67" s="72"/>
      <c r="C67" s="106" t="s">
        <v>77</v>
      </c>
      <c r="E67" s="122">
        <f>SUM(E55:E66)</f>
        <v>1226063</v>
      </c>
      <c r="G67" s="122">
        <f>SUM(G55:G66)</f>
        <v>135373</v>
      </c>
      <c r="I67" s="106" t="s">
        <v>497</v>
      </c>
    </row>
    <row r="68" spans="1:11">
      <c r="A68" s="120" t="s">
        <v>498</v>
      </c>
      <c r="B68" s="72"/>
      <c r="C68" s="106" t="s">
        <v>499</v>
      </c>
      <c r="E68" s="72">
        <f>ROUND(+E67/12,0)</f>
        <v>102172</v>
      </c>
      <c r="G68" s="72">
        <f>ROUND(+G67/12,0)</f>
        <v>11281</v>
      </c>
      <c r="I68" s="106" t="s">
        <v>500</v>
      </c>
    </row>
    <row r="69" spans="1:11">
      <c r="A69" s="120" t="s">
        <v>501</v>
      </c>
      <c r="B69" s="72"/>
      <c r="C69" s="106" t="s">
        <v>502</v>
      </c>
      <c r="E69" s="123">
        <f>+E66-E68</f>
        <v>1165</v>
      </c>
      <c r="G69" s="123">
        <f>+G66-G68</f>
        <v>216</v>
      </c>
      <c r="I69" s="106" t="s">
        <v>503</v>
      </c>
    </row>
    <row r="70" spans="1:11">
      <c r="A70" s="120"/>
      <c r="B70" s="72"/>
    </row>
    <row r="71" spans="1:11">
      <c r="A71" s="117"/>
      <c r="C71" s="106" t="s">
        <v>504</v>
      </c>
      <c r="K71" s="107"/>
    </row>
    <row r="72" spans="1:11">
      <c r="A72" s="117"/>
      <c r="K72" s="107"/>
    </row>
    <row r="73" spans="1:11">
      <c r="A73" s="117"/>
      <c r="K73" s="107"/>
    </row>
    <row r="74" spans="1:11">
      <c r="A74" s="287" t="s">
        <v>787</v>
      </c>
      <c r="B74" s="287"/>
      <c r="C74" s="287"/>
      <c r="D74" s="287"/>
      <c r="E74" s="287"/>
      <c r="F74" s="287"/>
      <c r="G74" s="287"/>
      <c r="H74" s="287"/>
      <c r="I74" s="287"/>
    </row>
    <row r="75" spans="1:11">
      <c r="A75" s="287" t="s">
        <v>788</v>
      </c>
      <c r="B75" s="287"/>
      <c r="C75" s="287"/>
      <c r="D75" s="287"/>
      <c r="E75" s="287"/>
      <c r="F75" s="287"/>
      <c r="G75" s="287"/>
      <c r="H75" s="287"/>
      <c r="I75" s="287"/>
    </row>
    <row r="76" spans="1:11">
      <c r="A76" s="287" t="s">
        <v>790</v>
      </c>
      <c r="B76" s="287"/>
      <c r="C76" s="287"/>
      <c r="D76" s="287"/>
      <c r="E76" s="287"/>
      <c r="F76" s="287"/>
      <c r="G76" s="287"/>
      <c r="H76" s="287"/>
      <c r="I76" s="287"/>
    </row>
    <row r="77" spans="1:11">
      <c r="A77" s="301" t="s">
        <v>505</v>
      </c>
      <c r="B77" s="301"/>
      <c r="C77" s="301"/>
      <c r="D77" s="301"/>
      <c r="E77" s="301"/>
      <c r="F77" s="301"/>
      <c r="G77" s="301"/>
      <c r="H77" s="301"/>
      <c r="I77" s="301"/>
    </row>
    <row r="78" spans="1:11">
      <c r="A78" s="301" t="str">
        <f>A6</f>
        <v>FOR THE YEAR ENDING DECEMBER 31, 2025</v>
      </c>
      <c r="B78" s="301"/>
      <c r="C78" s="301"/>
      <c r="D78" s="301"/>
      <c r="E78" s="301"/>
      <c r="F78" s="301"/>
      <c r="G78" s="301"/>
      <c r="H78" s="301"/>
      <c r="I78" s="301"/>
    </row>
    <row r="79" spans="1:11">
      <c r="A79" s="117"/>
      <c r="B79" s="117"/>
      <c r="C79" s="117"/>
      <c r="D79" s="117"/>
      <c r="E79" s="117"/>
      <c r="F79" s="117"/>
      <c r="G79" s="117"/>
    </row>
    <row r="80" spans="1:11">
      <c r="A80" s="117"/>
      <c r="B80" s="117"/>
      <c r="C80" s="117"/>
      <c r="D80" s="117"/>
      <c r="E80" s="124" t="s">
        <v>506</v>
      </c>
      <c r="F80" s="117"/>
      <c r="G80" s="124" t="s">
        <v>507</v>
      </c>
    </row>
    <row r="81" spans="1:16">
      <c r="A81" s="108" t="s">
        <v>2</v>
      </c>
      <c r="B81" s="118"/>
      <c r="C81" s="108" t="s">
        <v>471</v>
      </c>
      <c r="E81" s="108" t="s">
        <v>436</v>
      </c>
      <c r="G81" s="108" t="s">
        <v>437</v>
      </c>
    </row>
    <row r="82" spans="1:16">
      <c r="A82" s="118"/>
      <c r="B82" s="118"/>
      <c r="C82" s="119" t="s">
        <v>50</v>
      </c>
      <c r="E82" s="119" t="s">
        <v>51</v>
      </c>
      <c r="G82" s="119" t="s">
        <v>86</v>
      </c>
    </row>
    <row r="83" spans="1:16">
      <c r="A83" s="115"/>
      <c r="B83" s="118"/>
      <c r="C83" s="118"/>
    </row>
    <row r="84" spans="1:16">
      <c r="A84" s="120" t="s">
        <v>472</v>
      </c>
      <c r="C84" s="121" t="s">
        <v>473</v>
      </c>
      <c r="E84" s="72">
        <v>-13183799</v>
      </c>
      <c r="F84" s="72">
        <v>484740391</v>
      </c>
      <c r="G84" s="72">
        <v>-8696473</v>
      </c>
      <c r="L84" s="121"/>
      <c r="N84" s="72"/>
      <c r="O84" s="72"/>
      <c r="P84" s="72"/>
    </row>
    <row r="85" spans="1:16">
      <c r="A85" s="120" t="s">
        <v>474</v>
      </c>
      <c r="B85" s="72"/>
      <c r="C85" s="121" t="s">
        <v>475</v>
      </c>
      <c r="E85" s="72">
        <v>-12614346</v>
      </c>
      <c r="F85" s="72"/>
      <c r="G85" s="72">
        <v>-8168684</v>
      </c>
      <c r="L85" s="121"/>
      <c r="N85" s="72"/>
      <c r="O85" s="72"/>
      <c r="P85" s="72"/>
    </row>
    <row r="86" spans="1:16">
      <c r="A86" s="120" t="s">
        <v>476</v>
      </c>
      <c r="B86" s="72"/>
      <c r="C86" s="121" t="s">
        <v>477</v>
      </c>
      <c r="E86" s="72">
        <v>-9626734</v>
      </c>
      <c r="F86" s="72"/>
      <c r="G86" s="72">
        <v>-5978954</v>
      </c>
      <c r="L86" s="121"/>
      <c r="N86" s="72"/>
      <c r="O86" s="72"/>
      <c r="P86" s="72"/>
    </row>
    <row r="87" spans="1:16">
      <c r="A87" s="120" t="s">
        <v>478</v>
      </c>
      <c r="B87" s="72"/>
      <c r="C87" s="121" t="s">
        <v>479</v>
      </c>
      <c r="E87" s="72">
        <v>-5728977</v>
      </c>
      <c r="F87" s="72"/>
      <c r="G87" s="72">
        <v>-3745098</v>
      </c>
      <c r="L87" s="121"/>
      <c r="N87" s="72"/>
      <c r="O87" s="72"/>
      <c r="P87" s="72"/>
    </row>
    <row r="88" spans="1:16">
      <c r="A88" s="120" t="s">
        <v>480</v>
      </c>
      <c r="B88" s="72"/>
      <c r="C88" s="121" t="s">
        <v>481</v>
      </c>
      <c r="E88" s="72">
        <v>-2618023</v>
      </c>
      <c r="F88" s="72"/>
      <c r="G88" s="72">
        <v>-1851208</v>
      </c>
      <c r="L88" s="121"/>
      <c r="N88" s="72"/>
      <c r="O88" s="72"/>
      <c r="P88" s="72"/>
    </row>
    <row r="89" spans="1:16">
      <c r="A89" s="120" t="s">
        <v>482</v>
      </c>
      <c r="B89" s="72"/>
      <c r="C89" s="121" t="s">
        <v>483</v>
      </c>
      <c r="E89" s="72">
        <v>-1732361</v>
      </c>
      <c r="F89" s="72"/>
      <c r="G89" s="72">
        <v>-1310909</v>
      </c>
      <c r="L89" s="121"/>
      <c r="N89" s="72"/>
      <c r="O89" s="72"/>
      <c r="P89" s="72"/>
    </row>
    <row r="90" spans="1:16">
      <c r="A90" s="120" t="s">
        <v>484</v>
      </c>
      <c r="B90" s="72"/>
      <c r="C90" s="121" t="s">
        <v>485</v>
      </c>
      <c r="E90" s="72">
        <v>-1146822</v>
      </c>
      <c r="F90" s="72"/>
      <c r="G90" s="72">
        <v>-967462</v>
      </c>
    </row>
    <row r="91" spans="1:16">
      <c r="A91" s="120" t="s">
        <v>486</v>
      </c>
      <c r="B91" s="72"/>
      <c r="C91" s="121" t="s">
        <v>487</v>
      </c>
      <c r="E91" s="72">
        <v>-989160</v>
      </c>
      <c r="F91" s="72"/>
      <c r="G91" s="72">
        <v>-912574</v>
      </c>
    </row>
    <row r="92" spans="1:16">
      <c r="A92" s="120" t="s">
        <v>488</v>
      </c>
      <c r="B92" s="72"/>
      <c r="C92" s="121" t="s">
        <v>489</v>
      </c>
      <c r="E92" s="72">
        <v>-1088809</v>
      </c>
      <c r="F92" s="72"/>
      <c r="G92" s="72">
        <v>-1013087</v>
      </c>
    </row>
    <row r="93" spans="1:16">
      <c r="A93" s="120" t="s">
        <v>490</v>
      </c>
      <c r="B93" s="72"/>
      <c r="C93" s="121" t="s">
        <v>491</v>
      </c>
      <c r="E93" s="72">
        <v>-1594899</v>
      </c>
      <c r="F93" s="72"/>
      <c r="G93" s="72">
        <v>-1292382</v>
      </c>
    </row>
    <row r="94" spans="1:16">
      <c r="A94" s="120" t="s">
        <v>492</v>
      </c>
      <c r="B94" s="72"/>
      <c r="C94" s="121" t="s">
        <v>493</v>
      </c>
      <c r="E94" s="72">
        <v>-3117143</v>
      </c>
      <c r="F94" s="72"/>
      <c r="G94" s="72">
        <v>-2527803</v>
      </c>
    </row>
    <row r="95" spans="1:16">
      <c r="A95" s="120" t="s">
        <v>494</v>
      </c>
      <c r="B95" s="72"/>
      <c r="C95" s="121" t="s">
        <v>495</v>
      </c>
      <c r="E95" s="72">
        <v>-9750999</v>
      </c>
      <c r="F95" s="72"/>
      <c r="G95" s="72">
        <v>-6711710</v>
      </c>
    </row>
    <row r="96" spans="1:16">
      <c r="A96" s="120" t="s">
        <v>496</v>
      </c>
      <c r="B96" s="72"/>
      <c r="C96" s="106" t="s">
        <v>77</v>
      </c>
      <c r="E96" s="122">
        <f>SUM(E84:E95)</f>
        <v>-63192072</v>
      </c>
      <c r="G96" s="122">
        <f>SUM(G84:G95)</f>
        <v>-43176344</v>
      </c>
    </row>
    <row r="98" spans="3:3">
      <c r="C98" s="106" t="s">
        <v>504</v>
      </c>
    </row>
  </sheetData>
  <mergeCells count="17">
    <mergeCell ref="A7:I7"/>
    <mergeCell ref="A75:I75"/>
    <mergeCell ref="A76:I76"/>
    <mergeCell ref="A77:I77"/>
    <mergeCell ref="A78:I78"/>
    <mergeCell ref="A45:I45"/>
    <mergeCell ref="A46:I46"/>
    <mergeCell ref="A47:I47"/>
    <mergeCell ref="A48:I48"/>
    <mergeCell ref="A49:I49"/>
    <mergeCell ref="A74:I74"/>
    <mergeCell ref="A6:I6"/>
    <mergeCell ref="A1:I1"/>
    <mergeCell ref="A2:I2"/>
    <mergeCell ref="A3:I3"/>
    <mergeCell ref="A4:I4"/>
    <mergeCell ref="A5:I5"/>
  </mergeCells>
  <pageMargins left="0.75" right="0.75" top="1" bottom="1" header="0.5" footer="0.5"/>
  <pageSetup scale="78" fitToHeight="0" orientation="portrait" r:id="rId1"/>
  <headerFooter alignWithMargins="0">
    <oddHeader>&amp;RGroen Direct Exhibit 1.1, Schedule 9, WP
Page &amp;P of 6</oddHeader>
  </headerFooter>
  <rowBreaks count="2" manualBreakCount="2">
    <brk id="42" max="16383" man="1"/>
    <brk id="71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00"/>
    <pageSetUpPr fitToPage="1"/>
  </sheetPr>
  <dimension ref="A1:F21"/>
  <sheetViews>
    <sheetView workbookViewId="0">
      <selection activeCell="G21" sqref="G21"/>
    </sheetView>
  </sheetViews>
  <sheetFormatPr defaultColWidth="8.85546875" defaultRowHeight="15.75"/>
  <cols>
    <col min="1" max="1" width="5.140625" style="16" customWidth="1"/>
    <col min="2" max="2" width="1" style="16" customWidth="1"/>
    <col min="3" max="3" width="53.42578125" style="16" bestFit="1" customWidth="1"/>
    <col min="4" max="4" width="0.85546875" style="16" customWidth="1"/>
    <col min="5" max="5" width="11.140625" style="16" customWidth="1"/>
    <col min="6" max="6" width="30.28515625" style="16" customWidth="1"/>
    <col min="7" max="7" width="8.85546875" style="16"/>
    <col min="8" max="8" width="7.5703125" style="16" customWidth="1"/>
    <col min="9" max="16384" width="8.85546875" style="16"/>
  </cols>
  <sheetData>
    <row r="1" spans="1:6">
      <c r="A1" s="16" t="s">
        <v>0</v>
      </c>
    </row>
    <row r="2" spans="1:6">
      <c r="A2" s="2" t="str">
        <f>'Sch 1 - RevReq'!A3</f>
        <v>Docket No. NG26-___</v>
      </c>
    </row>
    <row r="3" spans="1:6">
      <c r="A3" s="16" t="s">
        <v>112</v>
      </c>
    </row>
    <row r="4" spans="1:6">
      <c r="A4" s="16" t="s">
        <v>508</v>
      </c>
    </row>
    <row r="5" spans="1:6">
      <c r="A5" s="2" t="str">
        <f>'Sch 1 - RevReq'!A5</f>
        <v>FOR THE YEAR ENDING DECEMBER 31, 2025</v>
      </c>
    </row>
    <row r="8" spans="1:6">
      <c r="A8" s="20" t="s">
        <v>2</v>
      </c>
      <c r="C8" s="21" t="s">
        <v>3</v>
      </c>
      <c r="E8" s="20" t="s">
        <v>77</v>
      </c>
      <c r="F8" s="21" t="s">
        <v>237</v>
      </c>
    </row>
    <row r="9" spans="1:6">
      <c r="C9" s="18" t="s">
        <v>50</v>
      </c>
      <c r="E9" s="18" t="s">
        <v>51</v>
      </c>
      <c r="F9" s="18" t="s">
        <v>86</v>
      </c>
    </row>
    <row r="12" spans="1:6">
      <c r="A12" s="26">
        <v>1</v>
      </c>
      <c r="C12" s="16" t="s">
        <v>509</v>
      </c>
    </row>
    <row r="13" spans="1:6">
      <c r="A13" s="26"/>
    </row>
    <row r="14" spans="1:6">
      <c r="A14" s="26">
        <v>2</v>
      </c>
      <c r="C14" s="16" t="s">
        <v>510</v>
      </c>
      <c r="E14" s="39"/>
      <c r="F14" s="16" t="s">
        <v>511</v>
      </c>
    </row>
    <row r="15" spans="1:6">
      <c r="A15" s="26">
        <f>+A14+1</f>
        <v>3</v>
      </c>
      <c r="C15" s="16" t="s">
        <v>512</v>
      </c>
      <c r="E15" s="40"/>
      <c r="F15" s="16" t="s">
        <v>511</v>
      </c>
    </row>
    <row r="16" spans="1:6" ht="16.5" thickBot="1">
      <c r="A16" s="26">
        <f t="shared" ref="A16" si="0">+A15+1</f>
        <v>4</v>
      </c>
      <c r="C16" s="125" t="s">
        <v>513</v>
      </c>
      <c r="E16" s="165">
        <f>E14-E15</f>
        <v>0</v>
      </c>
    </row>
    <row r="17" spans="1:6" ht="16.5" thickTop="1">
      <c r="A17" s="26"/>
      <c r="E17" s="39"/>
    </row>
    <row r="18" spans="1:6">
      <c r="A18" s="26"/>
      <c r="E18" s="39"/>
    </row>
    <row r="19" spans="1:6">
      <c r="A19" s="26">
        <v>5</v>
      </c>
      <c r="C19" s="43" t="s">
        <v>250</v>
      </c>
      <c r="E19" s="126">
        <f>E16</f>
        <v>0</v>
      </c>
      <c r="F19" s="2" t="s">
        <v>514</v>
      </c>
    </row>
    <row r="20" spans="1:6">
      <c r="E20" s="39"/>
    </row>
    <row r="21" spans="1:6">
      <c r="C21" s="44"/>
      <c r="E21" s="44"/>
    </row>
  </sheetData>
  <printOptions horizontalCentered="1"/>
  <pageMargins left="0.75" right="0.64" top="1" bottom="1" header="0.5" footer="0.5"/>
  <pageSetup scale="90" orientation="portrait" r:id="rId1"/>
  <headerFooter alignWithMargins="0">
    <oddHeader>&amp;RMidAmerican Exhibit BJW 1.1
Workpaper BJW 10
Page &amp;P of 2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85E46-1125-4F99-BBCF-D2A8F6B1A561}">
  <dimension ref="A1:G23"/>
  <sheetViews>
    <sheetView view="pageLayout" zoomScaleNormal="100" workbookViewId="0">
      <selection activeCell="G17" sqref="G17"/>
    </sheetView>
  </sheetViews>
  <sheetFormatPr defaultRowHeight="12.75"/>
  <cols>
    <col min="2" max="2" width="3" customWidth="1"/>
    <col min="3" max="3" width="49.7109375" bestFit="1" customWidth="1"/>
    <col min="4" max="4" width="1.5703125" customWidth="1"/>
    <col min="5" max="5" width="23.42578125" bestFit="1" customWidth="1"/>
    <col min="6" max="6" width="2" customWidth="1"/>
    <col min="7" max="7" width="38.140625" bestFit="1" customWidth="1"/>
  </cols>
  <sheetData>
    <row r="1" spans="1:7" ht="15.75">
      <c r="A1" s="287" t="s">
        <v>787</v>
      </c>
      <c r="B1" s="287"/>
      <c r="C1" s="287"/>
      <c r="D1" s="287"/>
      <c r="E1" s="287"/>
      <c r="F1" s="287"/>
      <c r="G1" s="287"/>
    </row>
    <row r="2" spans="1:7" ht="15.75">
      <c r="A2" s="287" t="s">
        <v>791</v>
      </c>
      <c r="B2" s="287"/>
      <c r="C2" s="287"/>
      <c r="D2" s="287"/>
      <c r="E2" s="287"/>
      <c r="F2" s="287"/>
      <c r="G2" s="287"/>
    </row>
    <row r="3" spans="1:7" ht="15.75">
      <c r="A3" s="287" t="s">
        <v>792</v>
      </c>
      <c r="B3" s="287"/>
      <c r="C3" s="287"/>
      <c r="D3" s="287"/>
      <c r="E3" s="287"/>
      <c r="F3" s="287"/>
      <c r="G3" s="287"/>
    </row>
    <row r="4" spans="1:7" ht="15.75">
      <c r="A4" s="287" t="s">
        <v>112</v>
      </c>
      <c r="B4" s="287"/>
      <c r="C4" s="287"/>
      <c r="D4" s="287"/>
      <c r="E4" s="287"/>
      <c r="F4" s="287"/>
      <c r="G4" s="287"/>
    </row>
    <row r="5" spans="1:7" ht="15.75">
      <c r="A5" s="288" t="s">
        <v>203</v>
      </c>
      <c r="B5" s="288"/>
      <c r="C5" s="288"/>
      <c r="D5" s="288"/>
      <c r="E5" s="288"/>
      <c r="F5" s="288"/>
      <c r="G5" s="288"/>
    </row>
    <row r="6" spans="1:7" ht="15.75">
      <c r="A6" s="289" t="str">
        <f>'Sch 1 - RevReq'!A5</f>
        <v>FOR THE YEAR ENDING DECEMBER 31, 2025</v>
      </c>
      <c r="B6" s="289"/>
      <c r="C6" s="289"/>
      <c r="D6" s="289"/>
      <c r="E6" s="289"/>
      <c r="F6" s="289"/>
      <c r="G6" s="289"/>
    </row>
    <row r="7" spans="1:7" ht="15.75">
      <c r="A7" s="289" t="s">
        <v>793</v>
      </c>
      <c r="B7" s="289"/>
      <c r="C7" s="289"/>
      <c r="D7" s="289"/>
      <c r="E7" s="289"/>
      <c r="F7" s="289"/>
      <c r="G7" s="289"/>
    </row>
    <row r="9" spans="1:7" ht="15.75">
      <c r="A9" s="92" t="s">
        <v>875</v>
      </c>
      <c r="B9" s="90"/>
      <c r="C9" s="92" t="s">
        <v>3</v>
      </c>
      <c r="D9" s="90"/>
      <c r="E9" s="92" t="s">
        <v>287</v>
      </c>
      <c r="F9" s="90"/>
      <c r="G9" s="92" t="s">
        <v>237</v>
      </c>
    </row>
    <row r="10" spans="1:7" ht="15.75">
      <c r="A10" s="91"/>
      <c r="B10" s="90"/>
      <c r="C10" s="91" t="s">
        <v>50</v>
      </c>
      <c r="D10" s="90"/>
      <c r="E10" s="91" t="s">
        <v>51</v>
      </c>
      <c r="F10" s="90"/>
      <c r="G10" s="91" t="s">
        <v>86</v>
      </c>
    </row>
    <row r="13" spans="1:7" ht="15.75">
      <c r="A13" s="26">
        <v>1</v>
      </c>
      <c r="B13" s="16"/>
      <c r="C13" s="16" t="s">
        <v>515</v>
      </c>
      <c r="D13" s="16"/>
      <c r="E13" s="39">
        <v>520212</v>
      </c>
      <c r="F13" s="90"/>
      <c r="G13" s="90" t="s">
        <v>516</v>
      </c>
    </row>
    <row r="14" spans="1:7" ht="15.75">
      <c r="A14" s="26">
        <f>A13+1</f>
        <v>2</v>
      </c>
      <c r="B14" s="16"/>
      <c r="C14" s="259" t="s">
        <v>517</v>
      </c>
      <c r="D14" s="16"/>
      <c r="E14" s="39">
        <f>E13/3</f>
        <v>173404</v>
      </c>
      <c r="F14" s="90"/>
      <c r="G14" s="90" t="s">
        <v>518</v>
      </c>
    </row>
    <row r="15" spans="1:7" ht="15.75">
      <c r="A15" s="26"/>
      <c r="B15" s="16"/>
      <c r="C15" s="16"/>
      <c r="D15" s="16"/>
      <c r="E15" s="39"/>
      <c r="F15" s="90"/>
      <c r="G15" s="90"/>
    </row>
    <row r="16" spans="1:7" ht="15.75">
      <c r="A16" s="26">
        <f>A14+1</f>
        <v>3</v>
      </c>
      <c r="B16" s="16"/>
      <c r="C16" s="16" t="s">
        <v>519</v>
      </c>
      <c r="D16" s="16"/>
      <c r="E16" s="39">
        <f>ROUND('Sch 10 WP pg.2 - EECR'!O15,0)</f>
        <v>49263</v>
      </c>
      <c r="F16" s="90"/>
      <c r="G16" s="2" t="s">
        <v>825</v>
      </c>
    </row>
    <row r="17" spans="1:7" ht="15.75">
      <c r="A17" s="26">
        <f>A16+1</f>
        <v>4</v>
      </c>
      <c r="B17" s="16"/>
      <c r="C17" s="259" t="s">
        <v>517</v>
      </c>
      <c r="D17" s="16"/>
      <c r="E17" s="40">
        <f>E16/3</f>
        <v>16421</v>
      </c>
      <c r="F17" s="90"/>
      <c r="G17" s="90" t="s">
        <v>520</v>
      </c>
    </row>
    <row r="18" spans="1:7" ht="15.75">
      <c r="A18" s="26"/>
      <c r="B18" s="16"/>
      <c r="C18" s="16"/>
      <c r="D18" s="16"/>
      <c r="E18" s="39"/>
      <c r="F18" s="90"/>
      <c r="G18" s="90"/>
    </row>
    <row r="19" spans="1:7" ht="15.75">
      <c r="A19" s="26">
        <f>A17+1</f>
        <v>5</v>
      </c>
      <c r="B19" s="16"/>
      <c r="C19" s="16" t="s">
        <v>206</v>
      </c>
      <c r="D19" s="16"/>
      <c r="E19" s="39">
        <f>E14+E17</f>
        <v>189825</v>
      </c>
      <c r="F19" s="90"/>
      <c r="G19" s="90" t="s">
        <v>521</v>
      </c>
    </row>
    <row r="20" spans="1:7" ht="15.75">
      <c r="A20" s="93"/>
      <c r="B20" s="90"/>
      <c r="C20" s="90"/>
      <c r="D20" s="90"/>
      <c r="F20" s="90"/>
      <c r="G20" s="90"/>
    </row>
    <row r="23" spans="1:7" ht="15.75">
      <c r="G23" s="2"/>
    </row>
  </sheetData>
  <mergeCells count="7">
    <mergeCell ref="A7:G7"/>
    <mergeCell ref="A6:G6"/>
    <mergeCell ref="A1:G1"/>
    <mergeCell ref="A2:G2"/>
    <mergeCell ref="A3:G3"/>
    <mergeCell ref="A4:G4"/>
    <mergeCell ref="A5:G5"/>
  </mergeCells>
  <pageMargins left="0.7" right="0.7" top="0.75" bottom="0.75" header="0.3" footer="0.3"/>
  <pageSetup scale="71" orientation="portrait" horizontalDpi="1200" verticalDpi="1200" r:id="rId1"/>
  <headerFooter>
    <oddHeader>&amp;RGroen Direct Exhibit 1.1, Schedule 10, WP
Page 1 of 2</oddHeader>
  </headerFooter>
  <colBreaks count="1" manualBreakCount="1">
    <brk id="7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214D8-1FE0-44DC-BE39-DC864BCBBFDD}">
  <sheetPr>
    <pageSetUpPr fitToPage="1"/>
  </sheetPr>
  <dimension ref="A1:O19"/>
  <sheetViews>
    <sheetView view="pageLayout" zoomScaleNormal="100" workbookViewId="0">
      <selection activeCell="I20" sqref="I20"/>
    </sheetView>
  </sheetViews>
  <sheetFormatPr defaultRowHeight="12.75"/>
  <cols>
    <col min="1" max="1" width="5.7109375" customWidth="1"/>
    <col min="2" max="2" width="11.140625" bestFit="1" customWidth="1"/>
    <col min="3" max="3" width="22" bestFit="1" customWidth="1"/>
    <col min="4" max="4" width="12.42578125" bestFit="1" customWidth="1"/>
    <col min="5" max="5" width="12" bestFit="1" customWidth="1"/>
    <col min="6" max="6" width="11.7109375" bestFit="1" customWidth="1"/>
    <col min="7" max="7" width="11.85546875" bestFit="1" customWidth="1"/>
    <col min="8" max="8" width="16.42578125" customWidth="1"/>
    <col min="9" max="9" width="10.5703125" bestFit="1" customWidth="1"/>
    <col min="10" max="10" width="14.140625" customWidth="1"/>
    <col min="11" max="12" width="10.7109375" bestFit="1" customWidth="1"/>
    <col min="13" max="13" width="10" bestFit="1" customWidth="1"/>
    <col min="14" max="14" width="8.140625" bestFit="1" customWidth="1"/>
    <col min="15" max="15" width="23" customWidth="1"/>
  </cols>
  <sheetData>
    <row r="1" spans="1:15" ht="15.75">
      <c r="A1" s="287" t="s">
        <v>787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</row>
    <row r="2" spans="1:15" ht="15.75">
      <c r="A2" s="287" t="s">
        <v>791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</row>
    <row r="3" spans="1:15" ht="15.75">
      <c r="A3" s="287" t="s">
        <v>792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</row>
    <row r="4" spans="1:15" ht="15.75">
      <c r="A4" s="287" t="s">
        <v>112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</row>
    <row r="5" spans="1:15" ht="15.75">
      <c r="A5" s="288" t="s">
        <v>203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</row>
    <row r="6" spans="1:15" ht="15.75">
      <c r="A6" s="289" t="str">
        <f>'Sch 1 - RevReq'!A5</f>
        <v>FOR THE YEAR ENDING DECEMBER 31, 2025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</row>
    <row r="7" spans="1:15" ht="15.75">
      <c r="A7" s="289" t="s">
        <v>793</v>
      </c>
      <c r="B7" s="289"/>
      <c r="C7" s="289"/>
      <c r="D7" s="289"/>
      <c r="E7" s="289"/>
      <c r="F7" s="289"/>
      <c r="G7" s="289"/>
      <c r="H7" s="289"/>
      <c r="I7" s="289"/>
      <c r="J7" s="289"/>
      <c r="K7" s="289"/>
      <c r="L7" s="289"/>
      <c r="M7" s="289"/>
      <c r="N7" s="289"/>
      <c r="O7" s="289"/>
    </row>
    <row r="9" spans="1:15" s="266" customFormat="1" ht="47.25">
      <c r="A9" s="276" t="s">
        <v>876</v>
      </c>
      <c r="B9" s="267" t="s">
        <v>522</v>
      </c>
      <c r="C9" s="267" t="s">
        <v>523</v>
      </c>
      <c r="D9" s="267" t="s">
        <v>524</v>
      </c>
      <c r="E9" s="267" t="s">
        <v>525</v>
      </c>
      <c r="F9" s="267" t="s">
        <v>526</v>
      </c>
      <c r="G9" s="267" t="s">
        <v>527</v>
      </c>
      <c r="H9" s="267" t="s">
        <v>528</v>
      </c>
      <c r="I9" s="267" t="s">
        <v>529</v>
      </c>
      <c r="J9" s="267" t="s">
        <v>530</v>
      </c>
      <c r="K9" s="267" t="s">
        <v>531</v>
      </c>
      <c r="L9" s="267" t="s">
        <v>532</v>
      </c>
      <c r="M9" s="267" t="s">
        <v>533</v>
      </c>
      <c r="N9" s="267" t="s">
        <v>534</v>
      </c>
      <c r="O9" s="267" t="s">
        <v>535</v>
      </c>
    </row>
    <row r="10" spans="1:15" s="268" customFormat="1" ht="15.75">
      <c r="B10" s="91" t="s">
        <v>50</v>
      </c>
      <c r="C10" s="18" t="s">
        <v>51</v>
      </c>
      <c r="D10" s="18" t="s">
        <v>86</v>
      </c>
      <c r="E10" s="91" t="s">
        <v>87</v>
      </c>
      <c r="F10" s="91" t="s">
        <v>88</v>
      </c>
      <c r="G10" s="91" t="s">
        <v>89</v>
      </c>
      <c r="H10" s="18" t="s">
        <v>140</v>
      </c>
      <c r="I10" s="18" t="s">
        <v>141</v>
      </c>
      <c r="J10" s="18" t="s">
        <v>142</v>
      </c>
      <c r="K10" s="18" t="s">
        <v>143</v>
      </c>
      <c r="L10" s="18" t="s">
        <v>144</v>
      </c>
      <c r="M10" s="18" t="s">
        <v>145</v>
      </c>
      <c r="N10" s="18" t="s">
        <v>146</v>
      </c>
      <c r="O10" s="18" t="s">
        <v>147</v>
      </c>
    </row>
    <row r="11" spans="1:15" s="266" customFormat="1" ht="15.75">
      <c r="B11" s="91"/>
      <c r="C11" s="153"/>
      <c r="D11" s="153"/>
      <c r="E11" s="91"/>
      <c r="F11" s="90"/>
      <c r="G11" s="91"/>
      <c r="H11" s="153"/>
      <c r="I11" s="153"/>
      <c r="J11" s="153"/>
      <c r="K11" s="153"/>
      <c r="L11" s="153"/>
      <c r="M11" s="153"/>
      <c r="N11" s="153"/>
      <c r="O11" s="153"/>
    </row>
    <row r="12" spans="1:15">
      <c r="A12" s="156">
        <v>1</v>
      </c>
      <c r="B12" s="264" t="s">
        <v>536</v>
      </c>
      <c r="C12" s="265" t="s">
        <v>537</v>
      </c>
      <c r="D12" s="264" t="s">
        <v>538</v>
      </c>
      <c r="E12" s="264" t="s">
        <v>539</v>
      </c>
      <c r="F12" s="264" t="s">
        <v>540</v>
      </c>
      <c r="G12" s="264" t="s">
        <v>541</v>
      </c>
      <c r="H12" s="264" t="s">
        <v>542</v>
      </c>
      <c r="I12" s="264" t="s">
        <v>541</v>
      </c>
      <c r="J12" s="264" t="s">
        <v>543</v>
      </c>
      <c r="K12" s="264" t="s">
        <v>544</v>
      </c>
      <c r="L12" s="264" t="s">
        <v>544</v>
      </c>
      <c r="M12" s="269">
        <v>14565.64</v>
      </c>
      <c r="N12" s="269">
        <v>0</v>
      </c>
      <c r="O12" s="269">
        <v>14565.64</v>
      </c>
    </row>
    <row r="13" spans="1:15">
      <c r="A13" s="156">
        <v>2</v>
      </c>
      <c r="B13" s="264" t="s">
        <v>536</v>
      </c>
      <c r="C13" s="265" t="s">
        <v>537</v>
      </c>
      <c r="D13" s="264" t="s">
        <v>538</v>
      </c>
      <c r="E13" s="264" t="s">
        <v>545</v>
      </c>
      <c r="F13" s="264" t="s">
        <v>540</v>
      </c>
      <c r="G13" s="264" t="s">
        <v>541</v>
      </c>
      <c r="H13" s="264" t="s">
        <v>542</v>
      </c>
      <c r="I13" s="264" t="s">
        <v>546</v>
      </c>
      <c r="J13" s="264" t="s">
        <v>543</v>
      </c>
      <c r="K13" s="264" t="s">
        <v>544</v>
      </c>
      <c r="L13" s="264" t="s">
        <v>544</v>
      </c>
      <c r="M13" s="269">
        <v>34697.820000000298</v>
      </c>
      <c r="N13" s="269">
        <v>0</v>
      </c>
      <c r="O13" s="269">
        <v>34697.820000000298</v>
      </c>
    </row>
    <row r="14" spans="1:15">
      <c r="A14" s="156"/>
      <c r="M14" s="270"/>
      <c r="N14" s="270"/>
      <c r="O14" s="270"/>
    </row>
    <row r="15" spans="1:15">
      <c r="A15" s="156">
        <v>3</v>
      </c>
      <c r="E15" s="157" t="s">
        <v>547</v>
      </c>
      <c r="F15" s="157"/>
      <c r="G15" s="157"/>
      <c r="H15" s="157"/>
      <c r="I15" s="157"/>
      <c r="J15" s="157"/>
      <c r="K15" s="157"/>
      <c r="L15" s="157"/>
      <c r="M15" s="271"/>
      <c r="N15" s="271"/>
      <c r="O15" s="271">
        <f>O12+O13</f>
        <v>49263.460000000297</v>
      </c>
    </row>
    <row r="16" spans="1:15" ht="15.75">
      <c r="O16" s="2" t="s">
        <v>826</v>
      </c>
    </row>
    <row r="18" spans="15:15" ht="15.75">
      <c r="O18" s="2"/>
    </row>
    <row r="19" spans="15:15" ht="15.75">
      <c r="O19" s="2"/>
    </row>
  </sheetData>
  <mergeCells count="7">
    <mergeCell ref="A7:O7"/>
    <mergeCell ref="A6:O6"/>
    <mergeCell ref="A1:O1"/>
    <mergeCell ref="A2:O2"/>
    <mergeCell ref="A3:O3"/>
    <mergeCell ref="A4:O4"/>
    <mergeCell ref="A5:O5"/>
  </mergeCells>
  <pageMargins left="0.7" right="0.7" top="0.75" bottom="0.75" header="0.3" footer="0.3"/>
  <pageSetup scale="59" fitToHeight="0" orientation="landscape" r:id="rId1"/>
  <headerFooter>
    <oddHeader>&amp;RGroen Direct Exhibit 1.1, Schedule 10, WP
Page 2 of 2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24"/>
  <sheetViews>
    <sheetView view="pageLayout" zoomScaleNormal="100" workbookViewId="0">
      <selection activeCell="A6" sqref="A6:H6"/>
    </sheetView>
  </sheetViews>
  <sheetFormatPr defaultColWidth="8" defaultRowHeight="15.75"/>
  <cols>
    <col min="1" max="1" width="4.42578125" style="117" customWidth="1"/>
    <col min="2" max="2" width="0.85546875" style="117" customWidth="1"/>
    <col min="3" max="3" width="15.140625" style="117" customWidth="1"/>
    <col min="4" max="4" width="17.85546875" style="117" customWidth="1"/>
    <col min="5" max="5" width="0.85546875" style="117" customWidth="1"/>
    <col min="6" max="6" width="13.5703125" style="117" customWidth="1"/>
    <col min="7" max="7" width="0.85546875" style="117" customWidth="1"/>
    <col min="8" max="8" width="30.42578125" style="117" customWidth="1"/>
    <col min="9" max="13" width="8" style="117" customWidth="1"/>
    <col min="14" max="14" width="11.85546875" style="117" customWidth="1"/>
    <col min="15" max="15" width="8" style="117" customWidth="1"/>
    <col min="16" max="16" width="11.42578125" style="117" customWidth="1"/>
    <col min="17" max="16384" width="8" style="117"/>
  </cols>
  <sheetData>
    <row r="1" spans="1:8">
      <c r="A1" s="287" t="s">
        <v>787</v>
      </c>
      <c r="B1" s="287"/>
      <c r="C1" s="287"/>
      <c r="D1" s="287"/>
      <c r="E1" s="287"/>
      <c r="F1" s="287"/>
      <c r="G1" s="287"/>
      <c r="H1" s="287"/>
    </row>
    <row r="2" spans="1:8">
      <c r="A2" s="287" t="s">
        <v>791</v>
      </c>
      <c r="B2" s="287"/>
      <c r="C2" s="287"/>
      <c r="D2" s="287"/>
      <c r="E2" s="287"/>
      <c r="F2" s="287"/>
      <c r="G2" s="287"/>
      <c r="H2" s="287"/>
    </row>
    <row r="3" spans="1:8">
      <c r="A3" s="287" t="s">
        <v>792</v>
      </c>
      <c r="B3" s="287"/>
      <c r="C3" s="287"/>
      <c r="D3" s="287"/>
      <c r="E3" s="287"/>
      <c r="F3" s="287"/>
      <c r="G3" s="287"/>
      <c r="H3" s="287"/>
    </row>
    <row r="4" spans="1:8">
      <c r="A4" s="288" t="s">
        <v>112</v>
      </c>
      <c r="B4" s="288"/>
      <c r="C4" s="288"/>
      <c r="D4" s="288"/>
      <c r="E4" s="288"/>
      <c r="F4" s="288"/>
      <c r="G4" s="288"/>
      <c r="H4" s="288"/>
    </row>
    <row r="5" spans="1:8">
      <c r="A5" s="289" t="s">
        <v>548</v>
      </c>
      <c r="B5" s="289"/>
      <c r="C5" s="289"/>
      <c r="D5" s="289"/>
      <c r="E5" s="289"/>
      <c r="F5" s="289"/>
      <c r="G5" s="289"/>
      <c r="H5" s="289"/>
    </row>
    <row r="6" spans="1:8">
      <c r="A6" s="289" t="str">
        <f>'Sch 1 - RevReq'!A5</f>
        <v>FOR THE YEAR ENDING DECEMBER 31, 2025</v>
      </c>
      <c r="B6" s="289"/>
      <c r="C6" s="289"/>
      <c r="D6" s="289"/>
      <c r="E6" s="289"/>
      <c r="F6" s="289"/>
      <c r="G6" s="289"/>
      <c r="H6" s="289"/>
    </row>
    <row r="7" spans="1:8">
      <c r="A7" s="289" t="s">
        <v>793</v>
      </c>
      <c r="B7" s="289"/>
      <c r="C7" s="289"/>
      <c r="D7" s="289"/>
      <c r="E7" s="289"/>
      <c r="F7" s="289"/>
      <c r="G7" s="289"/>
      <c r="H7" s="289"/>
    </row>
    <row r="9" spans="1:8" ht="47.25">
      <c r="A9" s="277" t="s">
        <v>876</v>
      </c>
      <c r="B9" s="127"/>
      <c r="C9" s="283" t="s">
        <v>3</v>
      </c>
      <c r="D9" s="284"/>
      <c r="E9" s="127"/>
      <c r="F9" s="86" t="s">
        <v>287</v>
      </c>
      <c r="G9" s="127"/>
      <c r="H9" s="130" t="s">
        <v>237</v>
      </c>
    </row>
    <row r="10" spans="1:8">
      <c r="A10" s="131"/>
      <c r="B10" s="127"/>
      <c r="C10" s="285" t="s">
        <v>50</v>
      </c>
      <c r="D10" s="286"/>
      <c r="E10" s="127"/>
      <c r="F10" s="54" t="s">
        <v>51</v>
      </c>
      <c r="G10" s="127"/>
      <c r="H10" s="133" t="s">
        <v>86</v>
      </c>
    </row>
    <row r="11" spans="1:8">
      <c r="A11" s="198"/>
      <c r="C11" s="199"/>
      <c r="F11" s="199"/>
      <c r="H11" s="199"/>
    </row>
    <row r="12" spans="1:8">
      <c r="A12" s="200">
        <v>1</v>
      </c>
      <c r="C12" s="117" t="s">
        <v>549</v>
      </c>
      <c r="F12" s="201">
        <v>684000</v>
      </c>
      <c r="H12" s="274" t="s">
        <v>550</v>
      </c>
    </row>
    <row r="13" spans="1:8">
      <c r="A13" s="200">
        <v>2</v>
      </c>
      <c r="C13" s="117" t="s">
        <v>551</v>
      </c>
      <c r="F13" s="154">
        <v>3</v>
      </c>
    </row>
    <row r="14" spans="1:8">
      <c r="A14" s="200">
        <v>3</v>
      </c>
      <c r="C14" s="117" t="s">
        <v>552</v>
      </c>
      <c r="F14" s="202">
        <f>F12/F13</f>
        <v>228000</v>
      </c>
      <c r="H14" s="117" t="s">
        <v>553</v>
      </c>
    </row>
    <row r="15" spans="1:8">
      <c r="A15" s="200"/>
      <c r="F15" s="202"/>
    </row>
    <row r="16" spans="1:8">
      <c r="A16" s="200">
        <v>4</v>
      </c>
      <c r="C16" s="117" t="s">
        <v>554</v>
      </c>
      <c r="F16" s="202">
        <v>0</v>
      </c>
    </row>
    <row r="17" spans="1:8">
      <c r="A17" s="200"/>
      <c r="F17" s="202"/>
    </row>
    <row r="18" spans="1:8">
      <c r="A18" s="200">
        <v>5</v>
      </c>
      <c r="C18" s="117" t="s">
        <v>246</v>
      </c>
      <c r="F18" s="203">
        <f>F14-F16</f>
        <v>228000</v>
      </c>
      <c r="H18" s="117" t="s">
        <v>555</v>
      </c>
    </row>
    <row r="19" spans="1:8">
      <c r="A19" s="200"/>
    </row>
    <row r="20" spans="1:8">
      <c r="A20" s="200">
        <v>6</v>
      </c>
      <c r="C20" s="198" t="s">
        <v>250</v>
      </c>
    </row>
    <row r="21" spans="1:8">
      <c r="A21" s="200">
        <v>7</v>
      </c>
      <c r="C21" s="198" t="s">
        <v>388</v>
      </c>
      <c r="F21" s="204">
        <f>F18</f>
        <v>228000</v>
      </c>
      <c r="H21" s="2" t="s">
        <v>556</v>
      </c>
    </row>
    <row r="24" spans="1:8">
      <c r="F24" s="199"/>
    </row>
  </sheetData>
  <mergeCells count="9">
    <mergeCell ref="C9:D9"/>
    <mergeCell ref="C10:D10"/>
    <mergeCell ref="A1:H1"/>
    <mergeCell ref="A2:H2"/>
    <mergeCell ref="A3:H3"/>
    <mergeCell ref="A4:H4"/>
    <mergeCell ref="A5:H5"/>
    <mergeCell ref="A6:H6"/>
    <mergeCell ref="A7:H7"/>
  </mergeCells>
  <printOptions horizontalCentered="1"/>
  <pageMargins left="0.75" right="0.75" top="1" bottom="1" header="0.5" footer="0.5"/>
  <pageSetup orientation="portrait" r:id="rId1"/>
  <headerFooter alignWithMargins="0">
    <oddHeader>&amp;RGroen Direct Exhibit 1.1, Schedule 11, WP
Page 1 of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8"/>
  <sheetViews>
    <sheetView view="pageLayout" zoomScaleNormal="100" workbookViewId="0">
      <selection activeCell="E23" sqref="E23"/>
    </sheetView>
  </sheetViews>
  <sheetFormatPr defaultColWidth="8.85546875" defaultRowHeight="15.75"/>
  <cols>
    <col min="1" max="1" width="5" style="16" customWidth="1"/>
    <col min="2" max="2" width="0.85546875" style="16" customWidth="1"/>
    <col min="3" max="3" width="32.5703125" style="16" customWidth="1"/>
    <col min="4" max="4" width="0.85546875" style="16" customWidth="1"/>
    <col min="5" max="5" width="14" style="16" bestFit="1" customWidth="1"/>
    <col min="6" max="7" width="8.85546875" style="16"/>
    <col min="8" max="8" width="14" style="16" bestFit="1" customWidth="1"/>
    <col min="9" max="9" width="10.28515625" style="16" bestFit="1" customWidth="1"/>
    <col min="10" max="10" width="9.140625" style="16" bestFit="1" customWidth="1"/>
    <col min="11" max="11" width="7.85546875" style="16" bestFit="1" customWidth="1"/>
    <col min="12" max="16" width="8.85546875" style="16"/>
    <col min="17" max="17" width="15.42578125" style="16" customWidth="1"/>
    <col min="18" max="18" width="13.7109375" style="16" bestFit="1" customWidth="1"/>
    <col min="19" max="19" width="9.5703125" style="16" bestFit="1" customWidth="1"/>
    <col min="20" max="20" width="13.7109375" style="16" bestFit="1" customWidth="1"/>
    <col min="21" max="16384" width="8.85546875" style="16"/>
  </cols>
  <sheetData>
    <row r="1" spans="1:19">
      <c r="A1" s="287" t="s">
        <v>787</v>
      </c>
      <c r="B1" s="287"/>
      <c r="C1" s="287"/>
      <c r="D1" s="287"/>
      <c r="E1" s="287"/>
      <c r="F1" s="287"/>
    </row>
    <row r="2" spans="1:19">
      <c r="A2" s="287" t="s">
        <v>791</v>
      </c>
      <c r="B2" s="287"/>
      <c r="C2" s="287"/>
      <c r="D2" s="287"/>
      <c r="E2" s="287"/>
      <c r="F2" s="287"/>
    </row>
    <row r="3" spans="1:19">
      <c r="A3" s="287" t="s">
        <v>792</v>
      </c>
      <c r="B3" s="287"/>
      <c r="C3" s="287"/>
      <c r="D3" s="287"/>
      <c r="E3" s="287"/>
      <c r="F3" s="287"/>
    </row>
    <row r="4" spans="1:19">
      <c r="A4" s="287" t="s">
        <v>5</v>
      </c>
      <c r="B4" s="287"/>
      <c r="C4" s="287"/>
      <c r="D4" s="287"/>
      <c r="E4" s="287"/>
      <c r="F4" s="287"/>
    </row>
    <row r="5" spans="1:19">
      <c r="A5" s="287" t="s">
        <v>789</v>
      </c>
      <c r="B5" s="287"/>
      <c r="C5" s="287"/>
      <c r="D5" s="287"/>
      <c r="E5" s="287"/>
      <c r="F5" s="287"/>
    </row>
    <row r="6" spans="1:19">
      <c r="A6" s="290" t="s">
        <v>46</v>
      </c>
      <c r="B6" s="290"/>
      <c r="C6" s="290"/>
      <c r="D6" s="290"/>
      <c r="E6" s="290"/>
      <c r="F6" s="290"/>
      <c r="G6" s="17"/>
      <c r="H6" s="17"/>
    </row>
    <row r="7" spans="1:19">
      <c r="A7" s="287" t="s">
        <v>793</v>
      </c>
      <c r="B7" s="290"/>
      <c r="C7" s="290"/>
      <c r="D7" s="290"/>
      <c r="E7" s="290"/>
      <c r="F7" s="290"/>
      <c r="G7" s="17"/>
      <c r="H7" s="17"/>
    </row>
    <row r="8" spans="1:19">
      <c r="A8" s="38"/>
      <c r="B8" s="38"/>
      <c r="C8" s="38"/>
      <c r="D8" s="38"/>
      <c r="E8" s="38"/>
      <c r="F8" s="38"/>
      <c r="G8" s="17"/>
      <c r="H8" s="17"/>
    </row>
    <row r="9" spans="1:19">
      <c r="E9" s="18" t="s">
        <v>47</v>
      </c>
    </row>
    <row r="10" spans="1:19">
      <c r="A10" s="16" t="s">
        <v>2</v>
      </c>
      <c r="E10" s="18" t="s">
        <v>48</v>
      </c>
      <c r="H10" s="19"/>
      <c r="I10" s="19"/>
      <c r="J10" s="19"/>
    </row>
    <row r="11" spans="1:19">
      <c r="A11" s="20" t="s">
        <v>234</v>
      </c>
      <c r="C11" s="21" t="s">
        <v>3</v>
      </c>
      <c r="E11" s="20" t="s">
        <v>49</v>
      </c>
      <c r="H11" s="22"/>
    </row>
    <row r="12" spans="1:19">
      <c r="C12" s="18" t="s">
        <v>50</v>
      </c>
      <c r="D12" s="18"/>
      <c r="E12" s="18" t="s">
        <v>51</v>
      </c>
      <c r="G12" s="23"/>
      <c r="H12" s="24"/>
      <c r="I12" s="22"/>
      <c r="J12" s="25"/>
      <c r="S12" s="173"/>
    </row>
    <row r="13" spans="1:19">
      <c r="G13" s="23"/>
      <c r="H13" s="24"/>
      <c r="I13" s="22"/>
      <c r="J13" s="25"/>
    </row>
    <row r="14" spans="1:19">
      <c r="A14" s="26">
        <v>1</v>
      </c>
      <c r="C14" s="16" t="s">
        <v>52</v>
      </c>
      <c r="E14" s="27">
        <v>198457</v>
      </c>
      <c r="G14" s="23"/>
      <c r="H14" s="28"/>
      <c r="I14" s="22"/>
      <c r="J14" s="29"/>
      <c r="K14" s="22"/>
    </row>
    <row r="15" spans="1:19">
      <c r="A15" s="26"/>
      <c r="E15" s="180"/>
      <c r="G15" s="23"/>
      <c r="H15" s="30"/>
      <c r="I15" s="23"/>
      <c r="J15" s="23"/>
      <c r="K15" s="22"/>
    </row>
    <row r="16" spans="1:19">
      <c r="A16" s="26">
        <f>+A14+1</f>
        <v>2</v>
      </c>
      <c r="C16" s="16" t="s">
        <v>53</v>
      </c>
      <c r="E16" s="257">
        <f>'Sch 25 - WACC'!H17</f>
        <v>7.7824511513630873E-2</v>
      </c>
      <c r="K16" s="22"/>
    </row>
    <row r="17" spans="1:5">
      <c r="E17" s="180"/>
    </row>
    <row r="18" spans="1:5">
      <c r="A18" s="26">
        <f>+A16+1</f>
        <v>3</v>
      </c>
      <c r="C18" s="16" t="s">
        <v>54</v>
      </c>
      <c r="E18" s="181">
        <f>(+E14*E16)</f>
        <v>15444.819081460642</v>
      </c>
    </row>
    <row r="19" spans="1:5">
      <c r="E19" s="180"/>
    </row>
    <row r="20" spans="1:5">
      <c r="A20" s="26">
        <f>+A18+1</f>
        <v>4</v>
      </c>
      <c r="C20" s="16" t="s">
        <v>55</v>
      </c>
      <c r="E20" s="182">
        <f>+'Sch 2 - Op Income Summary'!I29</f>
        <v>8460.7871559939849</v>
      </c>
    </row>
    <row r="21" spans="1:5">
      <c r="E21" s="180"/>
    </row>
    <row r="22" spans="1:5">
      <c r="A22" s="26">
        <f>+A20+1</f>
        <v>5</v>
      </c>
      <c r="C22" s="16" t="s">
        <v>56</v>
      </c>
      <c r="E22" s="181">
        <f>+E18-E20</f>
        <v>6984.0319254666574</v>
      </c>
    </row>
    <row r="23" spans="1:5">
      <c r="E23" s="180"/>
    </row>
    <row r="24" spans="1:5">
      <c r="A24" s="26">
        <f>+A22+1</f>
        <v>6</v>
      </c>
      <c r="C24" s="16" t="s">
        <v>57</v>
      </c>
      <c r="E24" s="180"/>
    </row>
    <row r="25" spans="1:5">
      <c r="A25" s="26">
        <f>+A24+1</f>
        <v>7</v>
      </c>
      <c r="C25" s="16" t="s">
        <v>58</v>
      </c>
      <c r="E25" s="181">
        <f>(+E22/0.79)*0.21</f>
        <v>1856.5148156303771</v>
      </c>
    </row>
    <row r="26" spans="1:5">
      <c r="A26" s="26"/>
      <c r="E26" s="180"/>
    </row>
    <row r="27" spans="1:5">
      <c r="A27" s="26">
        <f>+A25+1</f>
        <v>8</v>
      </c>
      <c r="C27" s="16" t="s">
        <v>59</v>
      </c>
      <c r="E27" s="181">
        <f>(E22+E25)*0.0039</f>
        <v>34.478132290278431</v>
      </c>
    </row>
    <row r="28" spans="1:5">
      <c r="E28" s="180"/>
    </row>
    <row r="29" spans="1:5">
      <c r="A29" s="26">
        <f>+A27+1</f>
        <v>9</v>
      </c>
      <c r="C29" s="16" t="s">
        <v>60</v>
      </c>
      <c r="E29" s="181">
        <f>+E22+E25+E27</f>
        <v>8875.0248733873123</v>
      </c>
    </row>
    <row r="30" spans="1:5">
      <c r="A30" s="26"/>
      <c r="E30" s="180"/>
    </row>
    <row r="31" spans="1:5">
      <c r="A31" s="26">
        <f>+A29+1</f>
        <v>10</v>
      </c>
      <c r="C31" s="16" t="s">
        <v>61</v>
      </c>
      <c r="E31" s="181">
        <f>+E29*0.0038</f>
        <v>33.725094518871785</v>
      </c>
    </row>
    <row r="32" spans="1:5">
      <c r="A32" s="26"/>
      <c r="E32" s="180"/>
    </row>
    <row r="33" spans="1:6" ht="16.5" thickBot="1">
      <c r="A33" s="26">
        <f>+A31+1</f>
        <v>11</v>
      </c>
      <c r="C33" s="16" t="s">
        <v>62</v>
      </c>
      <c r="E33" s="183">
        <f>+E29+E31</f>
        <v>8908.7499679061839</v>
      </c>
    </row>
    <row r="34" spans="1:6" ht="16.5" thickTop="1">
      <c r="E34" s="180"/>
    </row>
    <row r="35" spans="1:6">
      <c r="A35" s="26">
        <f>+A33+1</f>
        <v>12</v>
      </c>
      <c r="C35" s="16" t="s">
        <v>63</v>
      </c>
      <c r="E35" s="182">
        <f>+'Sch 2 - Op Income Summary'!I18</f>
        <v>39480.683517882368</v>
      </c>
    </row>
    <row r="36" spans="1:6">
      <c r="E36" s="180"/>
    </row>
    <row r="37" spans="1:6" ht="16.5" thickBot="1">
      <c r="A37" s="26">
        <f>+A35+1</f>
        <v>13</v>
      </c>
      <c r="C37" s="16" t="s">
        <v>64</v>
      </c>
      <c r="E37" s="184">
        <f>+E33+E35</f>
        <v>48389.433485788555</v>
      </c>
      <c r="F37" s="245"/>
    </row>
    <row r="38" spans="1:6" ht="16.5" thickTop="1"/>
    <row r="40" spans="1:6">
      <c r="C40" s="16" t="s">
        <v>65</v>
      </c>
    </row>
    <row r="41" spans="1:6">
      <c r="C41" s="16" t="s">
        <v>66</v>
      </c>
    </row>
    <row r="42" spans="1:6">
      <c r="C42" s="16" t="s">
        <v>67</v>
      </c>
    </row>
    <row r="43" spans="1:6">
      <c r="C43" s="16" t="s">
        <v>68</v>
      </c>
    </row>
    <row r="44" spans="1:6">
      <c r="C44" s="16" t="s">
        <v>69</v>
      </c>
    </row>
    <row r="45" spans="1:6">
      <c r="C45" s="16" t="s">
        <v>70</v>
      </c>
    </row>
    <row r="46" spans="1:6" s="153" customFormat="1">
      <c r="C46" s="16" t="s">
        <v>71</v>
      </c>
    </row>
    <row r="47" spans="1:6">
      <c r="C47" s="16" t="s">
        <v>72</v>
      </c>
    </row>
    <row r="48" spans="1:6">
      <c r="C48" s="16" t="s">
        <v>73</v>
      </c>
    </row>
  </sheetData>
  <mergeCells count="7">
    <mergeCell ref="A7:F7"/>
    <mergeCell ref="A6:F6"/>
    <mergeCell ref="A1:F1"/>
    <mergeCell ref="A2:F2"/>
    <mergeCell ref="A3:F3"/>
    <mergeCell ref="A4:F4"/>
    <mergeCell ref="A5:F5"/>
  </mergeCells>
  <phoneticPr fontId="8" type="noConversion"/>
  <printOptions horizontalCentered="1"/>
  <pageMargins left="0.75" right="0.68" top="1" bottom="1" header="0.5" footer="0.5"/>
  <pageSetup scale="84" orientation="portrait" r:id="rId1"/>
  <headerFooter alignWithMargins="0">
    <oddHeader xml:space="preserve">&amp;RGroen Direct Exhibit 1.1, Schedule 1
&amp;"Arial,Bold"&amp;12
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G21"/>
  <sheetViews>
    <sheetView view="pageLayout" zoomScaleNormal="100" workbookViewId="0">
      <selection activeCell="C17" sqref="C17"/>
    </sheetView>
  </sheetViews>
  <sheetFormatPr defaultColWidth="8.85546875" defaultRowHeight="15.75"/>
  <cols>
    <col min="1" max="1" width="5.140625" style="16" customWidth="1"/>
    <col min="2" max="2" width="1" style="16" customWidth="1"/>
    <col min="3" max="3" width="32.85546875" style="16" customWidth="1"/>
    <col min="4" max="4" width="0.85546875" style="16" customWidth="1"/>
    <col min="5" max="5" width="11.140625" style="16" customWidth="1"/>
    <col min="6" max="6" width="42.42578125" style="16" customWidth="1"/>
    <col min="7" max="7" width="8.85546875" style="16"/>
    <col min="8" max="8" width="7.5703125" style="16" customWidth="1"/>
    <col min="9" max="16384" width="8.85546875" style="16"/>
  </cols>
  <sheetData>
    <row r="1" spans="1:7">
      <c r="A1" s="287" t="s">
        <v>787</v>
      </c>
      <c r="B1" s="287"/>
      <c r="C1" s="287"/>
      <c r="D1" s="287"/>
      <c r="E1" s="287"/>
      <c r="F1" s="287"/>
    </row>
    <row r="2" spans="1:7">
      <c r="A2" s="287" t="s">
        <v>791</v>
      </c>
      <c r="B2" s="287"/>
      <c r="C2" s="287"/>
      <c r="D2" s="287"/>
      <c r="E2" s="287"/>
      <c r="F2" s="287"/>
    </row>
    <row r="3" spans="1:7">
      <c r="A3" s="287" t="s">
        <v>792</v>
      </c>
      <c r="B3" s="287"/>
      <c r="C3" s="287"/>
      <c r="D3" s="287"/>
      <c r="E3" s="287"/>
      <c r="F3" s="287"/>
    </row>
    <row r="4" spans="1:7">
      <c r="A4" s="287" t="s">
        <v>112</v>
      </c>
      <c r="B4" s="287"/>
      <c r="C4" s="287"/>
      <c r="D4" s="287"/>
      <c r="E4" s="287"/>
      <c r="F4" s="287"/>
    </row>
    <row r="5" spans="1:7">
      <c r="A5" s="287" t="s">
        <v>209</v>
      </c>
      <c r="B5" s="287"/>
      <c r="C5" s="287"/>
      <c r="D5" s="287"/>
      <c r="E5" s="287"/>
      <c r="F5" s="287"/>
    </row>
    <row r="6" spans="1:7">
      <c r="A6" s="289" t="str">
        <f>'Sch 1 - RevReq'!A5</f>
        <v>FOR THE YEAR ENDING DECEMBER 31, 2025</v>
      </c>
      <c r="B6" s="289"/>
      <c r="C6" s="289"/>
      <c r="D6" s="289"/>
      <c r="E6" s="289"/>
      <c r="F6" s="289"/>
      <c r="G6" s="2"/>
    </row>
    <row r="7" spans="1:7">
      <c r="A7" s="289" t="s">
        <v>793</v>
      </c>
      <c r="B7" s="289"/>
      <c r="C7" s="289"/>
      <c r="D7" s="289"/>
      <c r="E7" s="289"/>
      <c r="F7" s="289"/>
    </row>
    <row r="9" spans="1:7" ht="31.5">
      <c r="A9" s="279" t="s">
        <v>876</v>
      </c>
      <c r="C9" s="21" t="s">
        <v>3</v>
      </c>
      <c r="E9" s="20" t="s">
        <v>77</v>
      </c>
      <c r="F9" s="21" t="s">
        <v>237</v>
      </c>
    </row>
    <row r="10" spans="1:7">
      <c r="C10" s="18" t="s">
        <v>50</v>
      </c>
      <c r="E10" s="18" t="s">
        <v>51</v>
      </c>
      <c r="F10" s="18" t="s">
        <v>86</v>
      </c>
    </row>
    <row r="13" spans="1:7">
      <c r="A13" s="26">
        <v>1</v>
      </c>
      <c r="C13" s="16" t="s">
        <v>509</v>
      </c>
    </row>
    <row r="14" spans="1:7">
      <c r="A14" s="26"/>
    </row>
    <row r="15" spans="1:7">
      <c r="A15" s="26">
        <f>+A13+1</f>
        <v>2</v>
      </c>
      <c r="C15" s="16" t="s">
        <v>557</v>
      </c>
    </row>
    <row r="16" spans="1:7">
      <c r="A16" s="26">
        <f>+A15+1</f>
        <v>3</v>
      </c>
      <c r="C16" s="16" t="s">
        <v>558</v>
      </c>
    </row>
    <row r="17" spans="1:6">
      <c r="A17" s="26">
        <f>+A16+1</f>
        <v>4</v>
      </c>
      <c r="C17" s="16" t="s">
        <v>559</v>
      </c>
      <c r="E17" s="39">
        <v>144093</v>
      </c>
      <c r="F17" s="2" t="s">
        <v>827</v>
      </c>
    </row>
    <row r="18" spans="1:6">
      <c r="A18" s="26"/>
      <c r="E18" s="39"/>
    </row>
    <row r="19" spans="1:6">
      <c r="A19" s="26">
        <f>+A17+1</f>
        <v>5</v>
      </c>
      <c r="C19" s="43" t="s">
        <v>250</v>
      </c>
      <c r="E19" s="126">
        <f>-E17</f>
        <v>-144093</v>
      </c>
      <c r="F19" s="2" t="s">
        <v>560</v>
      </c>
    </row>
    <row r="20" spans="1:6">
      <c r="E20" s="39"/>
    </row>
    <row r="21" spans="1:6">
      <c r="C21" s="44"/>
      <c r="E21" s="44"/>
    </row>
  </sheetData>
  <mergeCells count="7">
    <mergeCell ref="A7:F7"/>
    <mergeCell ref="A5:F5"/>
    <mergeCell ref="A6:F6"/>
    <mergeCell ref="A1:F1"/>
    <mergeCell ref="A2:F2"/>
    <mergeCell ref="A3:F3"/>
    <mergeCell ref="A4:F4"/>
  </mergeCells>
  <phoneticPr fontId="0" type="noConversion"/>
  <printOptions horizontalCentered="1"/>
  <pageMargins left="0.75" right="0.64" top="1" bottom="1" header="0.5" footer="0.5"/>
  <pageSetup scale="99" orientation="portrait" r:id="rId1"/>
  <headerFooter alignWithMargins="0">
    <oddHeader>&amp;RGroen Direct Exhibit 1.1, Schedule 12, WP
Page 1 of 2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21"/>
  <sheetViews>
    <sheetView view="pageLayout" zoomScaleNormal="100" workbookViewId="0">
      <selection activeCell="H16" sqref="H16"/>
    </sheetView>
  </sheetViews>
  <sheetFormatPr defaultColWidth="8" defaultRowHeight="15.75"/>
  <cols>
    <col min="1" max="1" width="4.42578125" style="127" customWidth="1"/>
    <col min="2" max="2" width="0.85546875" style="127" customWidth="1"/>
    <col min="3" max="3" width="21.140625" style="127" customWidth="1"/>
    <col min="4" max="4" width="15" style="127" customWidth="1"/>
    <col min="5" max="5" width="0.85546875" style="127" customWidth="1"/>
    <col min="6" max="6" width="13.5703125" style="127" customWidth="1"/>
    <col min="7" max="7" width="0.85546875" style="127" customWidth="1"/>
    <col min="8" max="8" width="43" style="127" customWidth="1"/>
    <col min="9" max="16384" width="8" style="127"/>
  </cols>
  <sheetData>
    <row r="1" spans="1:8">
      <c r="A1" s="287" t="s">
        <v>787</v>
      </c>
      <c r="B1" s="287"/>
      <c r="C1" s="287"/>
      <c r="D1" s="287"/>
      <c r="E1" s="287"/>
      <c r="F1" s="287"/>
      <c r="G1" s="287"/>
      <c r="H1" s="287"/>
    </row>
    <row r="2" spans="1:8" s="16" customFormat="1">
      <c r="A2" s="287" t="s">
        <v>791</v>
      </c>
      <c r="B2" s="287"/>
      <c r="C2" s="287"/>
      <c r="D2" s="287"/>
      <c r="E2" s="287"/>
      <c r="F2" s="287"/>
      <c r="G2" s="287"/>
      <c r="H2" s="287"/>
    </row>
    <row r="3" spans="1:8" s="16" customFormat="1">
      <c r="A3" s="287" t="s">
        <v>792</v>
      </c>
      <c r="B3" s="287"/>
      <c r="C3" s="287"/>
      <c r="D3" s="287"/>
      <c r="E3" s="287"/>
      <c r="F3" s="287"/>
      <c r="G3" s="287"/>
      <c r="H3" s="287"/>
    </row>
    <row r="4" spans="1:8">
      <c r="A4" s="287" t="s">
        <v>112</v>
      </c>
      <c r="B4" s="287"/>
      <c r="C4" s="287"/>
      <c r="D4" s="287"/>
      <c r="E4" s="287"/>
      <c r="F4" s="287"/>
      <c r="G4" s="287"/>
      <c r="H4" s="287"/>
    </row>
    <row r="5" spans="1:8">
      <c r="A5" s="288" t="s">
        <v>561</v>
      </c>
      <c r="B5" s="288"/>
      <c r="C5" s="288"/>
      <c r="D5" s="288"/>
      <c r="E5" s="288"/>
      <c r="F5" s="288"/>
      <c r="G5" s="288"/>
      <c r="H5" s="288"/>
    </row>
    <row r="6" spans="1:8">
      <c r="A6" s="289" t="str">
        <f>'Sch 1 - RevReq'!A5</f>
        <v>FOR THE YEAR ENDING DECEMBER 31, 2025</v>
      </c>
      <c r="B6" s="289"/>
      <c r="C6" s="289"/>
      <c r="D6" s="289"/>
      <c r="E6" s="289"/>
      <c r="F6" s="289"/>
      <c r="G6" s="289"/>
      <c r="H6" s="289"/>
    </row>
    <row r="7" spans="1:8">
      <c r="A7" s="289" t="s">
        <v>793</v>
      </c>
      <c r="B7" s="289"/>
      <c r="C7" s="289"/>
      <c r="D7" s="289"/>
      <c r="E7" s="289"/>
      <c r="F7" s="289"/>
      <c r="G7" s="289"/>
      <c r="H7" s="289"/>
    </row>
    <row r="9" spans="1:8" ht="47.25">
      <c r="A9" s="277" t="s">
        <v>876</v>
      </c>
      <c r="C9" s="129" t="s">
        <v>3</v>
      </c>
      <c r="D9" s="128"/>
      <c r="F9" s="130" t="s">
        <v>287</v>
      </c>
      <c r="H9" s="130" t="s">
        <v>237</v>
      </c>
    </row>
    <row r="10" spans="1:8">
      <c r="A10" s="131"/>
      <c r="C10" s="132" t="s">
        <v>50</v>
      </c>
      <c r="F10" s="133" t="s">
        <v>51</v>
      </c>
      <c r="H10" s="133" t="s">
        <v>86</v>
      </c>
    </row>
    <row r="11" spans="1:8">
      <c r="A11" s="131"/>
      <c r="C11" s="134"/>
      <c r="F11" s="134"/>
      <c r="H11" s="134"/>
    </row>
    <row r="12" spans="1:8">
      <c r="A12" s="135">
        <v>1</v>
      </c>
      <c r="F12" s="78"/>
      <c r="H12" s="138"/>
    </row>
    <row r="13" spans="1:8">
      <c r="A13" s="135">
        <f>A12+1</f>
        <v>2</v>
      </c>
      <c r="C13" s="127" t="s">
        <v>562</v>
      </c>
      <c r="D13" s="136"/>
      <c r="F13" s="137">
        <v>75180.34</v>
      </c>
      <c r="H13" s="2" t="s">
        <v>828</v>
      </c>
    </row>
    <row r="14" spans="1:8">
      <c r="A14" s="135">
        <f t="shared" ref="A14:A16" si="0">A13+1</f>
        <v>3</v>
      </c>
      <c r="C14" s="131"/>
      <c r="D14" s="136"/>
      <c r="F14" s="139"/>
    </row>
    <row r="15" spans="1:8">
      <c r="A15" s="135">
        <f t="shared" si="0"/>
        <v>4</v>
      </c>
      <c r="C15" s="131" t="s">
        <v>563</v>
      </c>
      <c r="D15" s="136"/>
      <c r="F15" s="139"/>
    </row>
    <row r="16" spans="1:8">
      <c r="A16" s="135">
        <f t="shared" si="0"/>
        <v>5</v>
      </c>
      <c r="C16" s="140" t="s">
        <v>564</v>
      </c>
      <c r="D16" s="136"/>
      <c r="F16" s="141">
        <f>-F13</f>
        <v>-75180.34</v>
      </c>
      <c r="H16" s="2" t="s">
        <v>565</v>
      </c>
    </row>
    <row r="17" spans="1:6">
      <c r="A17" s="135"/>
      <c r="C17" s="131"/>
      <c r="D17" s="136"/>
      <c r="F17" s="139"/>
    </row>
    <row r="18" spans="1:6">
      <c r="A18" s="135"/>
      <c r="F18" s="142"/>
    </row>
    <row r="19" spans="1:6">
      <c r="A19" s="135"/>
    </row>
    <row r="20" spans="1:6">
      <c r="A20" s="135"/>
      <c r="C20" s="131"/>
    </row>
    <row r="21" spans="1:6">
      <c r="A21" s="135"/>
    </row>
  </sheetData>
  <mergeCells count="7">
    <mergeCell ref="A7:H7"/>
    <mergeCell ref="A6:H6"/>
    <mergeCell ref="A1:H1"/>
    <mergeCell ref="A2:H2"/>
    <mergeCell ref="A3:H3"/>
    <mergeCell ref="A4:H4"/>
    <mergeCell ref="A5:H5"/>
  </mergeCells>
  <pageMargins left="0.7" right="0.7" top="0.75" bottom="0.75" header="0.3" footer="0.3"/>
  <pageSetup scale="92" orientation="portrait" r:id="rId1"/>
  <headerFooter>
    <oddHeader>&amp;RGroen Direct Exhibit 1.1, Schedule 13, WP
Page 1 of 4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H20"/>
  <sheetViews>
    <sheetView view="pageLayout" zoomScaleNormal="100" workbookViewId="0">
      <selection activeCell="H13" sqref="H13"/>
    </sheetView>
  </sheetViews>
  <sheetFormatPr defaultColWidth="8" defaultRowHeight="15.75"/>
  <cols>
    <col min="1" max="1" width="4.42578125" style="127" customWidth="1"/>
    <col min="2" max="2" width="0.85546875" style="127" customWidth="1"/>
    <col min="3" max="3" width="21.140625" style="127" customWidth="1"/>
    <col min="4" max="4" width="23.28515625" style="127" customWidth="1"/>
    <col min="5" max="5" width="0.85546875" style="127" customWidth="1"/>
    <col min="6" max="6" width="13.5703125" style="127" customWidth="1"/>
    <col min="7" max="7" width="0.85546875" style="127" customWidth="1"/>
    <col min="8" max="8" width="32.7109375" style="127" customWidth="1"/>
    <col min="9" max="15" width="8" style="127"/>
    <col min="16" max="16" width="11.28515625" style="127" bestFit="1" customWidth="1"/>
    <col min="17" max="16384" width="8" style="127"/>
  </cols>
  <sheetData>
    <row r="1" spans="1:8">
      <c r="A1" s="287" t="s">
        <v>787</v>
      </c>
      <c r="B1" s="287"/>
      <c r="C1" s="287"/>
      <c r="D1" s="287"/>
      <c r="E1" s="287"/>
      <c r="F1" s="287"/>
      <c r="G1" s="287"/>
      <c r="H1" s="287"/>
    </row>
    <row r="2" spans="1:8" s="16" customFormat="1">
      <c r="A2" s="287" t="s">
        <v>791</v>
      </c>
      <c r="B2" s="287"/>
      <c r="C2" s="287"/>
      <c r="D2" s="287"/>
      <c r="E2" s="287"/>
      <c r="F2" s="287"/>
      <c r="G2" s="287"/>
      <c r="H2" s="287"/>
    </row>
    <row r="3" spans="1:8" s="16" customFormat="1">
      <c r="A3" s="287" t="s">
        <v>792</v>
      </c>
      <c r="B3" s="287"/>
      <c r="C3" s="287"/>
      <c r="D3" s="287"/>
      <c r="E3" s="287"/>
      <c r="F3" s="287"/>
      <c r="G3" s="287"/>
      <c r="H3" s="287"/>
    </row>
    <row r="4" spans="1:8">
      <c r="A4" s="303" t="s">
        <v>112</v>
      </c>
      <c r="B4" s="303"/>
      <c r="C4" s="303"/>
      <c r="D4" s="303"/>
      <c r="E4" s="303"/>
      <c r="F4" s="303"/>
      <c r="G4" s="303"/>
      <c r="H4" s="303"/>
    </row>
    <row r="5" spans="1:8">
      <c r="A5" s="288" t="s">
        <v>566</v>
      </c>
      <c r="B5" s="288"/>
      <c r="C5" s="288"/>
      <c r="D5" s="288"/>
      <c r="E5" s="288"/>
      <c r="F5" s="288"/>
      <c r="G5" s="288"/>
      <c r="H5" s="288"/>
    </row>
    <row r="6" spans="1:8">
      <c r="A6" s="289" t="str">
        <f>'Sch 1 - RevReq'!A5</f>
        <v>FOR THE YEAR ENDING DECEMBER 31, 2025</v>
      </c>
      <c r="B6" s="289"/>
      <c r="C6" s="289"/>
      <c r="D6" s="289"/>
      <c r="E6" s="289"/>
      <c r="F6" s="289"/>
      <c r="G6" s="289"/>
      <c r="H6" s="289"/>
    </row>
    <row r="7" spans="1:8">
      <c r="A7" s="289" t="s">
        <v>793</v>
      </c>
      <c r="B7" s="289"/>
      <c r="C7" s="289"/>
      <c r="D7" s="289"/>
      <c r="E7" s="289"/>
      <c r="F7" s="289"/>
      <c r="G7" s="289"/>
      <c r="H7" s="289"/>
    </row>
    <row r="9" spans="1:8" ht="47.25">
      <c r="A9" s="277" t="s">
        <v>876</v>
      </c>
      <c r="C9" s="129" t="s">
        <v>3</v>
      </c>
      <c r="D9" s="128"/>
      <c r="F9" s="130" t="s">
        <v>287</v>
      </c>
      <c r="H9" s="130" t="s">
        <v>237</v>
      </c>
    </row>
    <row r="10" spans="1:8">
      <c r="A10" s="131"/>
      <c r="C10" s="132" t="s">
        <v>50</v>
      </c>
      <c r="F10" s="133" t="s">
        <v>51</v>
      </c>
      <c r="H10" s="133" t="s">
        <v>86</v>
      </c>
    </row>
    <row r="11" spans="1:8">
      <c r="A11" s="131"/>
      <c r="C11" s="134"/>
      <c r="F11" s="134"/>
      <c r="H11" s="134"/>
    </row>
    <row r="12" spans="1:8">
      <c r="A12" s="135">
        <v>1</v>
      </c>
      <c r="C12" s="127" t="s">
        <v>567</v>
      </c>
      <c r="F12" s="167"/>
    </row>
    <row r="13" spans="1:8">
      <c r="A13" s="135">
        <f>A12+1</f>
        <v>2</v>
      </c>
      <c r="C13" s="90" t="s">
        <v>568</v>
      </c>
      <c r="D13" s="168"/>
      <c r="F13" s="169">
        <v>83264.52</v>
      </c>
      <c r="H13" s="2" t="s">
        <v>829</v>
      </c>
    </row>
    <row r="14" spans="1:8">
      <c r="A14" s="135">
        <f>A13+1</f>
        <v>3</v>
      </c>
      <c r="C14" s="90"/>
      <c r="D14" s="168"/>
      <c r="F14" s="166"/>
    </row>
    <row r="15" spans="1:8">
      <c r="A15" s="135">
        <f t="shared" ref="A15:A17" si="0">A14+1</f>
        <v>4</v>
      </c>
      <c r="C15" s="98" t="s">
        <v>433</v>
      </c>
    </row>
    <row r="16" spans="1:8">
      <c r="A16" s="135">
        <f t="shared" si="0"/>
        <v>5</v>
      </c>
      <c r="C16" s="90"/>
      <c r="D16" s="168"/>
      <c r="F16" s="90"/>
    </row>
    <row r="17" spans="1:8">
      <c r="A17" s="135">
        <f t="shared" si="0"/>
        <v>6</v>
      </c>
      <c r="C17" s="170" t="s">
        <v>569</v>
      </c>
      <c r="D17" s="168"/>
      <c r="F17" s="171">
        <f>-F13</f>
        <v>-83264.52</v>
      </c>
      <c r="H17" s="2" t="s">
        <v>570</v>
      </c>
    </row>
    <row r="18" spans="1:8">
      <c r="A18" s="135"/>
    </row>
    <row r="19" spans="1:8">
      <c r="A19" s="135"/>
      <c r="C19" s="131"/>
    </row>
    <row r="20" spans="1:8">
      <c r="A20" s="135"/>
    </row>
  </sheetData>
  <mergeCells count="7">
    <mergeCell ref="A7:H7"/>
    <mergeCell ref="A6:H6"/>
    <mergeCell ref="A1:H1"/>
    <mergeCell ref="A2:H2"/>
    <mergeCell ref="A3:H3"/>
    <mergeCell ref="A4:H4"/>
    <mergeCell ref="A5:H5"/>
  </mergeCells>
  <pageMargins left="0.7" right="0.7" top="0.75" bottom="0.75" header="0.3" footer="0.3"/>
  <pageSetup scale="87" orientation="portrait" horizontalDpi="300" verticalDpi="300" r:id="rId1"/>
  <headerFooter>
    <oddHeader>&amp;RGroen Direct Exhibit 1.1, Schedule 14, WP
Page 1 of 3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H41"/>
  <sheetViews>
    <sheetView view="pageLayout" zoomScaleNormal="100" workbookViewId="0">
      <selection activeCell="H17" sqref="H17"/>
    </sheetView>
  </sheetViews>
  <sheetFormatPr defaultColWidth="8" defaultRowHeight="15.75"/>
  <cols>
    <col min="1" max="1" width="4.42578125" style="127" customWidth="1"/>
    <col min="2" max="2" width="0.85546875" style="127" customWidth="1"/>
    <col min="3" max="3" width="21.140625" style="127" customWidth="1"/>
    <col min="4" max="4" width="25.140625" style="127" customWidth="1"/>
    <col min="5" max="5" width="0.85546875" style="127" customWidth="1"/>
    <col min="6" max="6" width="13.5703125" style="127" customWidth="1"/>
    <col min="7" max="7" width="0.85546875" style="127" customWidth="1"/>
    <col min="8" max="8" width="51.5703125" style="127" customWidth="1"/>
    <col min="9" max="16384" width="8" style="127"/>
  </cols>
  <sheetData>
    <row r="1" spans="1:8">
      <c r="A1" s="287" t="s">
        <v>787</v>
      </c>
      <c r="B1" s="287"/>
      <c r="C1" s="287"/>
      <c r="D1" s="287"/>
      <c r="E1" s="287"/>
      <c r="F1" s="287"/>
      <c r="G1" s="287"/>
      <c r="H1" s="287"/>
    </row>
    <row r="2" spans="1:8">
      <c r="A2" s="287" t="s">
        <v>791</v>
      </c>
      <c r="B2" s="287"/>
      <c r="C2" s="287"/>
      <c r="D2" s="287"/>
      <c r="E2" s="287"/>
      <c r="F2" s="287"/>
      <c r="G2" s="287"/>
      <c r="H2" s="287"/>
    </row>
    <row r="3" spans="1:8">
      <c r="A3" s="287" t="s">
        <v>792</v>
      </c>
      <c r="B3" s="287"/>
      <c r="C3" s="287"/>
      <c r="D3" s="287"/>
      <c r="E3" s="287"/>
      <c r="F3" s="287"/>
      <c r="G3" s="287"/>
      <c r="H3" s="287"/>
    </row>
    <row r="4" spans="1:8">
      <c r="A4" s="303" t="s">
        <v>112</v>
      </c>
      <c r="B4" s="303"/>
      <c r="C4" s="303"/>
      <c r="D4" s="303"/>
      <c r="E4" s="303"/>
      <c r="F4" s="303"/>
      <c r="G4" s="303"/>
      <c r="H4" s="303"/>
    </row>
    <row r="5" spans="1:8">
      <c r="A5" s="288" t="s">
        <v>218</v>
      </c>
      <c r="B5" s="288"/>
      <c r="C5" s="288"/>
      <c r="D5" s="288"/>
      <c r="E5" s="288"/>
      <c r="F5" s="288"/>
      <c r="G5" s="288"/>
      <c r="H5" s="288"/>
    </row>
    <row r="6" spans="1:8">
      <c r="A6" s="289" t="str">
        <f>'Sch 1 - RevReq'!A5</f>
        <v>FOR THE YEAR ENDING DECEMBER 31, 2025</v>
      </c>
      <c r="B6" s="289"/>
      <c r="C6" s="289"/>
      <c r="D6" s="289"/>
      <c r="E6" s="289"/>
      <c r="F6" s="289"/>
      <c r="G6" s="289"/>
      <c r="H6" s="289"/>
    </row>
    <row r="7" spans="1:8">
      <c r="A7" s="289" t="s">
        <v>793</v>
      </c>
      <c r="B7" s="289"/>
      <c r="C7" s="289"/>
      <c r="D7" s="289"/>
      <c r="E7" s="289"/>
      <c r="F7" s="289"/>
      <c r="G7" s="289"/>
      <c r="H7" s="289"/>
    </row>
    <row r="9" spans="1:8">
      <c r="A9" s="128" t="s">
        <v>2</v>
      </c>
      <c r="C9" s="129" t="s">
        <v>3</v>
      </c>
      <c r="D9" s="128"/>
      <c r="F9" s="130" t="s">
        <v>287</v>
      </c>
      <c r="H9" s="130" t="s">
        <v>237</v>
      </c>
    </row>
    <row r="10" spans="1:8">
      <c r="A10" s="131"/>
      <c r="C10" s="132" t="s">
        <v>50</v>
      </c>
      <c r="F10" s="133" t="s">
        <v>51</v>
      </c>
      <c r="H10" s="133" t="s">
        <v>86</v>
      </c>
    </row>
    <row r="11" spans="1:8">
      <c r="A11" s="131"/>
      <c r="C11" s="134"/>
      <c r="F11" s="134"/>
      <c r="H11" s="134"/>
    </row>
    <row r="12" spans="1:8">
      <c r="A12" s="135">
        <v>1</v>
      </c>
      <c r="C12" s="127" t="s">
        <v>571</v>
      </c>
      <c r="F12" s="167"/>
    </row>
    <row r="13" spans="1:8">
      <c r="A13" s="135">
        <f>A12+1</f>
        <v>2</v>
      </c>
      <c r="C13" s="90" t="s">
        <v>572</v>
      </c>
      <c r="D13" s="168"/>
      <c r="F13" s="169">
        <v>57510116.700000003</v>
      </c>
      <c r="H13" s="2" t="s">
        <v>830</v>
      </c>
    </row>
    <row r="14" spans="1:8">
      <c r="A14" s="135">
        <f t="shared" ref="A14:A38" si="0">A13+1</f>
        <v>3</v>
      </c>
      <c r="C14" s="90" t="s">
        <v>573</v>
      </c>
      <c r="D14" s="168"/>
      <c r="F14" s="169">
        <v>-278095.75</v>
      </c>
      <c r="H14" s="90" t="s">
        <v>831</v>
      </c>
    </row>
    <row r="15" spans="1:8">
      <c r="A15" s="135">
        <f t="shared" si="0"/>
        <v>4</v>
      </c>
      <c r="C15" s="90" t="s">
        <v>574</v>
      </c>
      <c r="D15" s="168"/>
      <c r="F15" s="169">
        <v>-190539.37</v>
      </c>
      <c r="H15" s="90" t="s">
        <v>832</v>
      </c>
    </row>
    <row r="16" spans="1:8">
      <c r="A16" s="135">
        <f t="shared" si="0"/>
        <v>5</v>
      </c>
      <c r="C16" s="90" t="s">
        <v>575</v>
      </c>
      <c r="D16" s="168"/>
      <c r="F16" s="169">
        <v>-3454.87</v>
      </c>
      <c r="H16" s="90" t="s">
        <v>833</v>
      </c>
    </row>
    <row r="17" spans="1:8">
      <c r="A17" s="135">
        <f t="shared" si="0"/>
        <v>6</v>
      </c>
      <c r="C17" s="90" t="s">
        <v>576</v>
      </c>
      <c r="D17" s="168"/>
      <c r="F17" s="174">
        <v>-76.62</v>
      </c>
      <c r="H17" s="90"/>
    </row>
    <row r="18" spans="1:8">
      <c r="A18" s="135">
        <f t="shared" si="0"/>
        <v>7</v>
      </c>
      <c r="C18" s="90" t="s">
        <v>577</v>
      </c>
      <c r="D18" s="168"/>
      <c r="F18" s="169">
        <f>SUM(F13:F17)</f>
        <v>57037950.090000011</v>
      </c>
      <c r="H18" s="138" t="s">
        <v>578</v>
      </c>
    </row>
    <row r="19" spans="1:8">
      <c r="A19" s="135">
        <f t="shared" si="0"/>
        <v>8</v>
      </c>
      <c r="C19" s="90"/>
      <c r="D19" s="168"/>
      <c r="F19" s="169"/>
    </row>
    <row r="20" spans="1:8">
      <c r="A20" s="135">
        <f t="shared" si="0"/>
        <v>9</v>
      </c>
      <c r="C20" s="90" t="s">
        <v>579</v>
      </c>
      <c r="D20" s="168"/>
      <c r="F20" s="175">
        <v>67160317.529999956</v>
      </c>
      <c r="H20" s="138" t="s">
        <v>834</v>
      </c>
    </row>
    <row r="21" spans="1:8">
      <c r="A21" s="135">
        <f t="shared" si="0"/>
        <v>10</v>
      </c>
      <c r="C21" s="90" t="s">
        <v>580</v>
      </c>
      <c r="D21" s="168"/>
      <c r="F21" s="174">
        <v>10207100.779999999</v>
      </c>
      <c r="H21" s="90" t="s">
        <v>835</v>
      </c>
    </row>
    <row r="22" spans="1:8">
      <c r="A22" s="135">
        <f t="shared" si="0"/>
        <v>11</v>
      </c>
      <c r="C22" s="90" t="s">
        <v>581</v>
      </c>
      <c r="D22" s="168"/>
      <c r="F22" s="175">
        <f>F20-F21</f>
        <v>56953216.749999955</v>
      </c>
      <c r="H22" s="90" t="s">
        <v>582</v>
      </c>
    </row>
    <row r="23" spans="1:8">
      <c r="A23" s="135">
        <f t="shared" si="0"/>
        <v>12</v>
      </c>
      <c r="C23" s="90"/>
      <c r="D23" s="168"/>
      <c r="F23" s="175"/>
      <c r="H23" s="90"/>
    </row>
    <row r="24" spans="1:8">
      <c r="A24" s="135">
        <f t="shared" si="0"/>
        <v>13</v>
      </c>
      <c r="C24" s="90" t="s">
        <v>583</v>
      </c>
      <c r="D24" s="168"/>
      <c r="F24" s="175">
        <v>16347.689999999999</v>
      </c>
      <c r="H24" s="90" t="s">
        <v>836</v>
      </c>
    </row>
    <row r="25" spans="1:8">
      <c r="A25" s="135">
        <f t="shared" si="0"/>
        <v>14</v>
      </c>
      <c r="C25" s="90"/>
      <c r="D25" s="168"/>
      <c r="F25" s="175"/>
      <c r="H25" s="90"/>
    </row>
    <row r="26" spans="1:8">
      <c r="A26" s="135">
        <f t="shared" si="0"/>
        <v>15</v>
      </c>
      <c r="C26" s="90" t="s">
        <v>584</v>
      </c>
      <c r="D26" s="168"/>
      <c r="F26" s="175">
        <v>101080.62</v>
      </c>
      <c r="H26" s="90" t="s">
        <v>837</v>
      </c>
    </row>
    <row r="27" spans="1:8">
      <c r="A27" s="135">
        <f t="shared" si="0"/>
        <v>16</v>
      </c>
      <c r="C27" s="90"/>
      <c r="D27" s="168"/>
      <c r="F27" s="175"/>
      <c r="H27" s="90"/>
    </row>
    <row r="28" spans="1:8">
      <c r="A28" s="135">
        <f t="shared" si="0"/>
        <v>17</v>
      </c>
      <c r="C28" s="90" t="s">
        <v>585</v>
      </c>
      <c r="D28" s="168"/>
      <c r="F28" s="175">
        <f>F18-F22+F24-F26</f>
        <v>0.41000005573732778</v>
      </c>
      <c r="H28" s="90" t="s">
        <v>586</v>
      </c>
    </row>
    <row r="29" spans="1:8">
      <c r="A29" s="135">
        <f t="shared" si="0"/>
        <v>18</v>
      </c>
      <c r="C29" s="90"/>
      <c r="D29" s="168"/>
      <c r="F29" s="175"/>
      <c r="H29" s="90"/>
    </row>
    <row r="30" spans="1:8">
      <c r="A30" s="135">
        <f t="shared" si="0"/>
        <v>19</v>
      </c>
      <c r="C30" s="98" t="s">
        <v>433</v>
      </c>
    </row>
    <row r="31" spans="1:8">
      <c r="A31" s="135">
        <f t="shared" si="0"/>
        <v>20</v>
      </c>
      <c r="C31" s="98"/>
      <c r="F31" s="166"/>
    </row>
    <row r="32" spans="1:8">
      <c r="A32" s="135">
        <f t="shared" si="0"/>
        <v>21</v>
      </c>
      <c r="C32" s="170" t="s">
        <v>587</v>
      </c>
      <c r="D32" s="168"/>
      <c r="F32" s="176">
        <f>-F18</f>
        <v>-57037950.090000011</v>
      </c>
      <c r="H32" s="2" t="s">
        <v>588</v>
      </c>
    </row>
    <row r="33" spans="1:8">
      <c r="A33" s="135">
        <f t="shared" si="0"/>
        <v>22</v>
      </c>
      <c r="C33" s="90"/>
      <c r="D33" s="168"/>
      <c r="F33" s="90"/>
    </row>
    <row r="34" spans="1:8">
      <c r="A34" s="135">
        <f t="shared" si="0"/>
        <v>23</v>
      </c>
      <c r="C34" s="170" t="s">
        <v>589</v>
      </c>
      <c r="D34" s="168"/>
      <c r="F34" s="176">
        <f>-F22</f>
        <v>-56953216.749999955</v>
      </c>
      <c r="H34" s="2" t="s">
        <v>588</v>
      </c>
    </row>
    <row r="35" spans="1:8">
      <c r="A35" s="135">
        <f t="shared" si="0"/>
        <v>24</v>
      </c>
      <c r="C35" s="131"/>
      <c r="D35" s="168"/>
      <c r="F35" s="172"/>
    </row>
    <row r="36" spans="1:8">
      <c r="A36" s="135">
        <f t="shared" si="0"/>
        <v>25</v>
      </c>
      <c r="C36" s="170" t="s">
        <v>222</v>
      </c>
      <c r="D36" s="168"/>
      <c r="F36" s="176">
        <f>-F24</f>
        <v>-16347.689999999999</v>
      </c>
      <c r="H36" s="2" t="s">
        <v>588</v>
      </c>
    </row>
    <row r="37" spans="1:8">
      <c r="A37" s="135">
        <f t="shared" si="0"/>
        <v>26</v>
      </c>
      <c r="C37" s="131"/>
      <c r="D37" s="168"/>
      <c r="F37" s="172"/>
    </row>
    <row r="38" spans="1:8">
      <c r="A38" s="135">
        <f t="shared" si="0"/>
        <v>27</v>
      </c>
      <c r="C38" s="131" t="s">
        <v>215</v>
      </c>
      <c r="F38" s="176">
        <f>-F26</f>
        <v>-101080.62</v>
      </c>
      <c r="H38" s="2" t="s">
        <v>588</v>
      </c>
    </row>
    <row r="39" spans="1:8">
      <c r="A39" s="135"/>
    </row>
    <row r="40" spans="1:8">
      <c r="A40" s="135"/>
      <c r="C40" s="131"/>
    </row>
    <row r="41" spans="1:8">
      <c r="A41" s="135"/>
    </row>
  </sheetData>
  <mergeCells count="7">
    <mergeCell ref="A7:H7"/>
    <mergeCell ref="A6:H6"/>
    <mergeCell ref="A1:H1"/>
    <mergeCell ref="A2:H2"/>
    <mergeCell ref="A3:H3"/>
    <mergeCell ref="A4:H4"/>
    <mergeCell ref="A5:H5"/>
  </mergeCells>
  <pageMargins left="0.7" right="0.7" top="0.75" bottom="0.75" header="0.3" footer="0.3"/>
  <pageSetup scale="70" orientation="portrait" horizontalDpi="300" verticalDpi="300" r:id="rId1"/>
  <headerFooter>
    <oddHeader>&amp;RGroen Direct Exhibit 1.1, Schedule 15, WP
Page 1 of 7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35">
    <pageSetUpPr fitToPage="1"/>
  </sheetPr>
  <dimension ref="A1:H30"/>
  <sheetViews>
    <sheetView view="pageLayout" topLeftCell="B1" zoomScaleNormal="100" workbookViewId="0">
      <selection activeCell="H12" sqref="H12"/>
    </sheetView>
  </sheetViews>
  <sheetFormatPr defaultColWidth="8" defaultRowHeight="15.75"/>
  <cols>
    <col min="1" max="1" width="5.5703125" style="2" customWidth="1"/>
    <col min="2" max="2" width="0.85546875" style="2" customWidth="1"/>
    <col min="3" max="3" width="15.140625" style="2" customWidth="1"/>
    <col min="4" max="4" width="31.7109375" style="2" customWidth="1"/>
    <col min="5" max="5" width="0.85546875" style="2" customWidth="1"/>
    <col min="6" max="6" width="13.5703125" style="27" customWidth="1"/>
    <col min="7" max="7" width="0.85546875" style="2" customWidth="1"/>
    <col min="8" max="8" width="43.140625" style="2" customWidth="1"/>
    <col min="9" max="16384" width="8" style="2"/>
  </cols>
  <sheetData>
    <row r="1" spans="1:8">
      <c r="A1" s="287" t="s">
        <v>787</v>
      </c>
      <c r="B1" s="287"/>
      <c r="C1" s="287"/>
      <c r="D1" s="287"/>
      <c r="E1" s="287"/>
      <c r="F1" s="287"/>
      <c r="G1" s="287"/>
      <c r="H1" s="287"/>
    </row>
    <row r="2" spans="1:8">
      <c r="A2" s="287" t="s">
        <v>791</v>
      </c>
      <c r="B2" s="287"/>
      <c r="C2" s="287"/>
      <c r="D2" s="287"/>
      <c r="E2" s="287"/>
      <c r="F2" s="287"/>
      <c r="G2" s="287"/>
      <c r="H2" s="287"/>
    </row>
    <row r="3" spans="1:8">
      <c r="A3" s="287" t="s">
        <v>792</v>
      </c>
      <c r="B3" s="287"/>
      <c r="C3" s="287"/>
      <c r="D3" s="287"/>
      <c r="E3" s="287"/>
      <c r="F3" s="287"/>
      <c r="G3" s="287"/>
      <c r="H3" s="287"/>
    </row>
    <row r="4" spans="1:8">
      <c r="A4" s="288" t="s">
        <v>112</v>
      </c>
      <c r="B4" s="288"/>
      <c r="C4" s="288"/>
      <c r="D4" s="288"/>
      <c r="E4" s="288"/>
      <c r="F4" s="288"/>
      <c r="G4" s="288"/>
      <c r="H4" s="288"/>
    </row>
    <row r="5" spans="1:8">
      <c r="A5" s="289" t="s">
        <v>590</v>
      </c>
      <c r="B5" s="289"/>
      <c r="C5" s="289"/>
      <c r="D5" s="289"/>
      <c r="E5" s="289"/>
      <c r="F5" s="289"/>
      <c r="G5" s="289"/>
      <c r="H5" s="289"/>
    </row>
    <row r="6" spans="1:8">
      <c r="A6" s="289" t="str">
        <f>'Sch 1 - RevReq'!A5</f>
        <v>FOR THE YEAR ENDING DECEMBER 31, 2025</v>
      </c>
      <c r="B6" s="289"/>
      <c r="C6" s="289"/>
      <c r="D6" s="289"/>
      <c r="E6" s="289"/>
      <c r="F6" s="289"/>
      <c r="G6" s="289"/>
      <c r="H6" s="289"/>
    </row>
    <row r="7" spans="1:8">
      <c r="A7" s="289" t="s">
        <v>793</v>
      </c>
      <c r="B7" s="289"/>
      <c r="C7" s="289"/>
      <c r="D7" s="289"/>
      <c r="E7" s="289"/>
      <c r="F7" s="289"/>
      <c r="G7" s="289"/>
      <c r="H7" s="289"/>
    </row>
    <row r="9" spans="1:8" ht="32.25" thickBot="1">
      <c r="A9" s="278" t="s">
        <v>876</v>
      </c>
      <c r="C9" s="304" t="s">
        <v>3</v>
      </c>
      <c r="D9" s="295"/>
      <c r="F9" s="143" t="s">
        <v>287</v>
      </c>
      <c r="H9" s="144" t="s">
        <v>237</v>
      </c>
    </row>
    <row r="10" spans="1:8">
      <c r="A10" s="13"/>
      <c r="C10" s="296" t="s">
        <v>50</v>
      </c>
      <c r="D10" s="297"/>
      <c r="F10" s="54" t="s">
        <v>51</v>
      </c>
      <c r="H10" s="3" t="s">
        <v>86</v>
      </c>
    </row>
    <row r="11" spans="1:8">
      <c r="A11" s="13"/>
      <c r="C11" s="76"/>
      <c r="F11" s="145"/>
      <c r="H11" s="76"/>
    </row>
    <row r="12" spans="1:8">
      <c r="A12" s="5">
        <v>1</v>
      </c>
      <c r="C12" s="146" t="s">
        <v>591</v>
      </c>
      <c r="F12" s="147">
        <v>125000</v>
      </c>
      <c r="H12" s="76"/>
    </row>
    <row r="13" spans="1:8">
      <c r="A13" s="5"/>
      <c r="C13" s="146"/>
      <c r="F13" s="147"/>
      <c r="H13" s="76"/>
    </row>
    <row r="14" spans="1:8">
      <c r="A14" s="5">
        <v>2</v>
      </c>
      <c r="C14" s="2" t="s">
        <v>592</v>
      </c>
      <c r="F14" s="148">
        <v>123570.82</v>
      </c>
      <c r="H14" s="2" t="s">
        <v>838</v>
      </c>
    </row>
    <row r="15" spans="1:8">
      <c r="A15" s="5"/>
      <c r="F15" s="148"/>
    </row>
    <row r="16" spans="1:8">
      <c r="A16" s="5">
        <v>3</v>
      </c>
      <c r="C16" s="2" t="s">
        <v>246</v>
      </c>
      <c r="F16" s="147">
        <f>F12-F14</f>
        <v>1429.179999999993</v>
      </c>
      <c r="H16" s="2" t="s">
        <v>593</v>
      </c>
    </row>
    <row r="17" spans="1:8">
      <c r="A17" s="5"/>
      <c r="F17" s="147"/>
    </row>
    <row r="18" spans="1:8">
      <c r="A18" s="5">
        <v>4</v>
      </c>
      <c r="C18" s="2" t="s">
        <v>594</v>
      </c>
      <c r="F18" s="147">
        <f>0.5*F12</f>
        <v>62500</v>
      </c>
      <c r="H18" s="2" t="s">
        <v>595</v>
      </c>
    </row>
    <row r="19" spans="1:8">
      <c r="A19" s="5">
        <v>5</v>
      </c>
      <c r="C19" s="2" t="s">
        <v>596</v>
      </c>
      <c r="F19" s="149">
        <f>F14</f>
        <v>123570.82</v>
      </c>
      <c r="H19" s="2" t="s">
        <v>597</v>
      </c>
    </row>
    <row r="20" spans="1:8" ht="16.5" thickBot="1">
      <c r="A20" s="5">
        <v>6</v>
      </c>
      <c r="C20" s="2" t="s">
        <v>77</v>
      </c>
      <c r="F20" s="150">
        <f>F18-F19</f>
        <v>-61070.820000000007</v>
      </c>
      <c r="H20" s="2" t="s">
        <v>598</v>
      </c>
    </row>
    <row r="21" spans="1:8" ht="16.5" thickTop="1">
      <c r="A21" s="5"/>
    </row>
    <row r="22" spans="1:8" ht="16.5" thickBot="1">
      <c r="A22" s="5"/>
      <c r="C22" s="13" t="s">
        <v>250</v>
      </c>
    </row>
    <row r="23" spans="1:8" s="13" customFormat="1" ht="16.5" thickBot="1">
      <c r="A23" s="5">
        <v>7</v>
      </c>
      <c r="C23" s="13" t="s">
        <v>599</v>
      </c>
      <c r="F23" s="151">
        <f>F20</f>
        <v>-61070.820000000007</v>
      </c>
      <c r="H23" s="2" t="s">
        <v>600</v>
      </c>
    </row>
    <row r="24" spans="1:8">
      <c r="A24" s="5"/>
    </row>
    <row r="25" spans="1:8">
      <c r="A25" s="5"/>
    </row>
    <row r="26" spans="1:8">
      <c r="A26" s="5"/>
    </row>
    <row r="27" spans="1:8">
      <c r="A27" s="5"/>
    </row>
    <row r="28" spans="1:8">
      <c r="A28" s="5"/>
    </row>
    <row r="29" spans="1:8">
      <c r="A29" s="5"/>
    </row>
    <row r="30" spans="1:8">
      <c r="A30" s="5"/>
    </row>
  </sheetData>
  <mergeCells count="9">
    <mergeCell ref="C9:D9"/>
    <mergeCell ref="C10:D10"/>
    <mergeCell ref="A1:H1"/>
    <mergeCell ref="A2:H2"/>
    <mergeCell ref="A3:H3"/>
    <mergeCell ref="A4:H4"/>
    <mergeCell ref="A5:H5"/>
    <mergeCell ref="A6:H6"/>
    <mergeCell ref="A7:H7"/>
  </mergeCells>
  <phoneticPr fontId="6" type="noConversion"/>
  <printOptions horizontalCentered="1"/>
  <pageMargins left="0.75" right="0.75" top="1" bottom="1" header="0.5" footer="0.5"/>
  <pageSetup scale="81" orientation="portrait" r:id="rId1"/>
  <headerFooter alignWithMargins="0">
    <oddHeader xml:space="preserve">&amp;RGroen Direct Exhibit 1.1, Schedule 16, WP
Page 1 of 3
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09B15-3F8B-4EB6-8AE9-33944670DEE0}">
  <sheetPr>
    <pageSetUpPr fitToPage="1"/>
  </sheetPr>
  <dimension ref="A1:F23"/>
  <sheetViews>
    <sheetView view="pageLayout" zoomScaleNormal="100" workbookViewId="0">
      <selection activeCell="A5" sqref="A5:F5"/>
    </sheetView>
  </sheetViews>
  <sheetFormatPr defaultColWidth="8.85546875" defaultRowHeight="15.75"/>
  <cols>
    <col min="1" max="1" width="5.140625" style="16" customWidth="1"/>
    <col min="2" max="2" width="1" style="16" customWidth="1"/>
    <col min="3" max="3" width="42.5703125" style="16" customWidth="1"/>
    <col min="4" max="4" width="0.85546875" style="16" customWidth="1"/>
    <col min="5" max="5" width="14" style="16" bestFit="1" customWidth="1"/>
    <col min="6" max="6" width="30.42578125" style="16" customWidth="1"/>
    <col min="7" max="7" width="8.85546875" style="16"/>
    <col min="8" max="8" width="7.5703125" style="16" customWidth="1"/>
    <col min="9" max="16384" width="8.85546875" style="16"/>
  </cols>
  <sheetData>
    <row r="1" spans="1:6">
      <c r="A1" s="287" t="s">
        <v>787</v>
      </c>
      <c r="B1" s="287"/>
      <c r="C1" s="287"/>
      <c r="D1" s="287"/>
      <c r="E1" s="287"/>
      <c r="F1" s="287"/>
    </row>
    <row r="2" spans="1:6">
      <c r="A2" s="287" t="s">
        <v>791</v>
      </c>
      <c r="B2" s="287"/>
      <c r="C2" s="287"/>
      <c r="D2" s="287"/>
      <c r="E2" s="287"/>
      <c r="F2" s="287"/>
    </row>
    <row r="3" spans="1:6">
      <c r="A3" s="287" t="s">
        <v>792</v>
      </c>
      <c r="B3" s="287"/>
      <c r="C3" s="287"/>
      <c r="D3" s="287"/>
      <c r="E3" s="287"/>
      <c r="F3" s="287"/>
    </row>
    <row r="4" spans="1:6">
      <c r="A4" s="287" t="s">
        <v>112</v>
      </c>
      <c r="B4" s="287"/>
      <c r="C4" s="287"/>
      <c r="D4" s="287"/>
      <c r="E4" s="287"/>
      <c r="F4" s="287"/>
    </row>
    <row r="5" spans="1:6">
      <c r="A5" s="287" t="s">
        <v>226</v>
      </c>
      <c r="B5" s="287"/>
      <c r="C5" s="287"/>
      <c r="D5" s="287"/>
      <c r="E5" s="287"/>
      <c r="F5" s="287"/>
    </row>
    <row r="6" spans="1:6">
      <c r="A6" s="289" t="str">
        <f>'Sch 1 - RevReq'!A5</f>
        <v>FOR THE YEAR ENDING DECEMBER 31, 2025</v>
      </c>
      <c r="B6" s="289"/>
      <c r="C6" s="289"/>
      <c r="D6" s="289"/>
      <c r="E6" s="289"/>
      <c r="F6" s="289"/>
    </row>
    <row r="7" spans="1:6">
      <c r="A7" s="289" t="s">
        <v>793</v>
      </c>
      <c r="B7" s="289"/>
      <c r="C7" s="289"/>
      <c r="D7" s="289"/>
      <c r="E7" s="289"/>
      <c r="F7" s="289"/>
    </row>
    <row r="9" spans="1:6" ht="31.5">
      <c r="A9" s="279" t="s">
        <v>876</v>
      </c>
      <c r="C9" s="21" t="s">
        <v>3</v>
      </c>
      <c r="E9" s="20" t="s">
        <v>77</v>
      </c>
      <c r="F9" s="21" t="s">
        <v>237</v>
      </c>
    </row>
    <row r="10" spans="1:6">
      <c r="C10" s="18" t="s">
        <v>50</v>
      </c>
      <c r="E10" s="18" t="s">
        <v>51</v>
      </c>
      <c r="F10" s="18" t="s">
        <v>86</v>
      </c>
    </row>
    <row r="12" spans="1:6">
      <c r="A12" s="26">
        <v>1</v>
      </c>
      <c r="C12" s="16" t="s">
        <v>509</v>
      </c>
      <c r="F12" s="2"/>
    </row>
    <row r="13" spans="1:6">
      <c r="A13" s="26"/>
    </row>
    <row r="14" spans="1:6">
      <c r="A14" s="26">
        <f>+A12+1</f>
        <v>2</v>
      </c>
      <c r="C14" s="16" t="s">
        <v>557</v>
      </c>
    </row>
    <row r="15" spans="1:6">
      <c r="A15" s="26">
        <f>+A14+1</f>
        <v>3</v>
      </c>
      <c r="C15" s="16" t="s">
        <v>227</v>
      </c>
    </row>
    <row r="16" spans="1:6">
      <c r="A16" s="26">
        <f>+A15+1</f>
        <v>4</v>
      </c>
      <c r="C16" s="16" t="s">
        <v>601</v>
      </c>
      <c r="E16" s="39">
        <v>10207100.779999999</v>
      </c>
      <c r="F16" s="2" t="s">
        <v>839</v>
      </c>
    </row>
    <row r="17" spans="1:6">
      <c r="A17" s="26"/>
      <c r="E17" s="39"/>
    </row>
    <row r="18" spans="1:6">
      <c r="A18" s="26">
        <f>+A16+1</f>
        <v>5</v>
      </c>
      <c r="C18" s="16" t="s">
        <v>602</v>
      </c>
    </row>
    <row r="19" spans="1:6">
      <c r="A19" s="26">
        <f>+A18+1</f>
        <v>6</v>
      </c>
      <c r="C19" s="16" t="s">
        <v>603</v>
      </c>
      <c r="E19" s="39">
        <v>10207100.779999999</v>
      </c>
      <c r="F19" s="2" t="s">
        <v>839</v>
      </c>
    </row>
    <row r="20" spans="1:6">
      <c r="A20" s="26"/>
      <c r="E20" s="39"/>
    </row>
    <row r="21" spans="1:6">
      <c r="A21" s="26">
        <f>+A19+1</f>
        <v>7</v>
      </c>
      <c r="C21" s="43" t="s">
        <v>604</v>
      </c>
      <c r="E21" s="126">
        <f>-E16</f>
        <v>-10207100.779999999</v>
      </c>
      <c r="F21" s="2" t="s">
        <v>605</v>
      </c>
    </row>
    <row r="22" spans="1:6">
      <c r="E22" s="39"/>
    </row>
    <row r="23" spans="1:6">
      <c r="A23" s="26">
        <f>+A21+1</f>
        <v>8</v>
      </c>
      <c r="C23" s="43" t="s">
        <v>606</v>
      </c>
      <c r="E23" s="126">
        <f>-E16</f>
        <v>-10207100.779999999</v>
      </c>
      <c r="F23" s="2" t="s">
        <v>605</v>
      </c>
    </row>
  </sheetData>
  <mergeCells count="7">
    <mergeCell ref="A7:F7"/>
    <mergeCell ref="A6:F6"/>
    <mergeCell ref="A1:F1"/>
    <mergeCell ref="A2:F2"/>
    <mergeCell ref="A3:F3"/>
    <mergeCell ref="A4:F4"/>
    <mergeCell ref="A5:F5"/>
  </mergeCells>
  <printOptions horizontalCentered="1"/>
  <pageMargins left="0.75" right="0.64" top="1" bottom="1" header="0.5" footer="0.5"/>
  <pageSetup scale="90" orientation="portrait" r:id="rId1"/>
  <headerFooter alignWithMargins="0">
    <oddHeader>&amp;RGroen Direct Exhibit 1.1, Schedule 17, WP
Page 1 of 2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I36"/>
  <sheetViews>
    <sheetView view="pageLayout" zoomScaleNormal="90" workbookViewId="0">
      <selection activeCell="K20" sqref="K20"/>
    </sheetView>
  </sheetViews>
  <sheetFormatPr defaultColWidth="9.140625" defaultRowHeight="15.75"/>
  <cols>
    <col min="1" max="1" width="9.140625" style="16"/>
    <col min="2" max="2" width="4.7109375" style="16" customWidth="1"/>
    <col min="3" max="3" width="17.42578125" style="16" customWidth="1"/>
    <col min="4" max="4" width="4.28515625" style="16" customWidth="1"/>
    <col min="5" max="5" width="16.5703125" style="16" bestFit="1" customWidth="1"/>
    <col min="6" max="7" width="13.140625" style="16" customWidth="1"/>
    <col min="8" max="8" width="15" style="16" customWidth="1"/>
    <col min="9" max="16384" width="9.140625" style="16"/>
  </cols>
  <sheetData>
    <row r="1" spans="1:9">
      <c r="A1" s="287" t="s">
        <v>787</v>
      </c>
      <c r="B1" s="287"/>
      <c r="C1" s="287"/>
      <c r="D1" s="287"/>
      <c r="E1" s="287"/>
      <c r="F1" s="287"/>
      <c r="G1" s="287"/>
      <c r="H1" s="287"/>
      <c r="I1" s="287"/>
    </row>
    <row r="2" spans="1:9">
      <c r="A2" s="287" t="s">
        <v>791</v>
      </c>
      <c r="B2" s="287"/>
      <c r="C2" s="287"/>
      <c r="D2" s="287"/>
      <c r="E2" s="287"/>
      <c r="F2" s="287"/>
      <c r="G2" s="287"/>
      <c r="H2" s="287"/>
      <c r="I2" s="287"/>
    </row>
    <row r="3" spans="1:9">
      <c r="A3" s="287" t="s">
        <v>792</v>
      </c>
      <c r="B3" s="287"/>
      <c r="C3" s="287"/>
      <c r="D3" s="287"/>
      <c r="E3" s="287"/>
      <c r="F3" s="287"/>
      <c r="G3" s="287"/>
      <c r="H3" s="287"/>
      <c r="I3" s="287"/>
    </row>
    <row r="4" spans="1:9">
      <c r="A4" s="287" t="s">
        <v>607</v>
      </c>
      <c r="B4" s="287"/>
      <c r="C4" s="287"/>
      <c r="D4" s="287"/>
      <c r="E4" s="287"/>
      <c r="F4" s="287"/>
      <c r="G4" s="287"/>
      <c r="H4" s="287"/>
      <c r="I4" s="287"/>
    </row>
    <row r="5" spans="1:9">
      <c r="A5" s="287" t="s">
        <v>789</v>
      </c>
      <c r="B5" s="287"/>
      <c r="C5" s="287"/>
      <c r="D5" s="287"/>
      <c r="E5" s="287"/>
      <c r="F5" s="287"/>
      <c r="G5" s="287"/>
      <c r="H5" s="287"/>
      <c r="I5" s="287"/>
    </row>
    <row r="6" spans="1:9">
      <c r="A6" s="289" t="s">
        <v>793</v>
      </c>
      <c r="B6" s="289"/>
      <c r="C6" s="289"/>
      <c r="D6" s="289"/>
      <c r="E6" s="289"/>
      <c r="F6" s="289"/>
      <c r="G6" s="289"/>
      <c r="H6" s="289"/>
      <c r="I6" s="289"/>
    </row>
    <row r="7" spans="1:9">
      <c r="A7" s="205"/>
      <c r="B7" s="205"/>
      <c r="C7" s="205"/>
      <c r="D7" s="205"/>
      <c r="E7" s="205"/>
      <c r="F7" s="205"/>
      <c r="G7" s="205"/>
      <c r="H7" s="205"/>
    </row>
    <row r="8" spans="1:9">
      <c r="C8" s="18" t="s">
        <v>50</v>
      </c>
      <c r="D8" s="18"/>
      <c r="E8" s="18" t="s">
        <v>51</v>
      </c>
      <c r="F8" s="18" t="s">
        <v>86</v>
      </c>
      <c r="G8" s="18" t="s">
        <v>87</v>
      </c>
      <c r="H8" s="18" t="s">
        <v>88</v>
      </c>
    </row>
    <row r="9" spans="1:9">
      <c r="C9" s="18"/>
      <c r="D9" s="18"/>
      <c r="E9" s="18"/>
      <c r="F9" s="18"/>
      <c r="G9" s="18"/>
      <c r="H9" s="18" t="s">
        <v>609</v>
      </c>
    </row>
    <row r="10" spans="1:9">
      <c r="C10" s="18"/>
      <c r="D10" s="18"/>
      <c r="E10" s="18"/>
      <c r="F10" s="18"/>
      <c r="G10" s="18"/>
      <c r="H10" s="18" t="s">
        <v>499</v>
      </c>
    </row>
    <row r="11" spans="1:9">
      <c r="C11" s="206" t="s">
        <v>610</v>
      </c>
      <c r="D11" s="18"/>
      <c r="E11" s="206" t="s">
        <v>611</v>
      </c>
      <c r="F11" s="206" t="s">
        <v>612</v>
      </c>
      <c r="G11" s="206" t="s">
        <v>613</v>
      </c>
      <c r="H11" s="206" t="s">
        <v>614</v>
      </c>
    </row>
    <row r="13" spans="1:9">
      <c r="B13" s="18">
        <v>1</v>
      </c>
      <c r="C13" s="16" t="s">
        <v>615</v>
      </c>
      <c r="E13" s="31">
        <f>'Sch 26 pg. 1 - Cost LT Debt'!D21</f>
        <v>8869317163.7271137</v>
      </c>
      <c r="F13" s="207">
        <f>+ROUND(E13/(E17),5)</f>
        <v>0.45518999999999998</v>
      </c>
      <c r="G13" s="207">
        <f>'Sch 26 pg. 1 - Cost LT Debt'!D36</f>
        <v>4.5298581940795876E-2</v>
      </c>
      <c r="H13" s="207">
        <f>F13*G13</f>
        <v>2.0619461513630873E-2</v>
      </c>
    </row>
    <row r="14" spans="1:9">
      <c r="B14" s="18"/>
      <c r="E14" s="31"/>
      <c r="F14" s="207"/>
      <c r="G14" s="207"/>
      <c r="H14" s="207"/>
    </row>
    <row r="15" spans="1:9">
      <c r="B15" s="18">
        <v>2</v>
      </c>
      <c r="C15" s="16" t="s">
        <v>616</v>
      </c>
      <c r="E15" s="208">
        <f>'Sch 27 pg. 1 - Com Eq'!Q21</f>
        <v>10615441090.471104</v>
      </c>
      <c r="F15" s="209">
        <f>+ROUND(E15/(E17),5)</f>
        <v>0.54481000000000002</v>
      </c>
      <c r="G15" s="249">
        <v>0.105</v>
      </c>
      <c r="H15" s="209">
        <f>F15*G15</f>
        <v>5.720505E-2</v>
      </c>
    </row>
    <row r="16" spans="1:9">
      <c r="B16" s="18"/>
      <c r="E16" s="31"/>
      <c r="F16" s="207"/>
      <c r="G16" s="207"/>
      <c r="H16" s="207"/>
    </row>
    <row r="17" spans="2:8">
      <c r="B17" s="18">
        <v>3</v>
      </c>
      <c r="C17" s="16" t="s">
        <v>77</v>
      </c>
      <c r="E17" s="31">
        <f>SUM(E13:E15)</f>
        <v>19484758254.198219</v>
      </c>
      <c r="F17" s="207">
        <f>SUM(F13:F15)</f>
        <v>1</v>
      </c>
      <c r="G17" s="207"/>
      <c r="H17" s="207">
        <f>SUM(H13:H15)</f>
        <v>7.7824511513630873E-2</v>
      </c>
    </row>
    <row r="18" spans="2:8">
      <c r="B18" s="18"/>
      <c r="E18" s="31"/>
      <c r="F18" s="207"/>
      <c r="G18" s="207"/>
      <c r="H18" s="207"/>
    </row>
    <row r="19" spans="2:8">
      <c r="B19" s="18"/>
      <c r="E19" s="31"/>
      <c r="F19" s="207"/>
      <c r="G19" s="207"/>
      <c r="H19" s="207"/>
    </row>
    <row r="22" spans="2:8" ht="11.25" customHeight="1">
      <c r="G22" s="16" t="s">
        <v>232</v>
      </c>
    </row>
    <row r="25" spans="2:8">
      <c r="C25" s="16" t="s">
        <v>65</v>
      </c>
      <c r="D25" s="16" t="s">
        <v>794</v>
      </c>
    </row>
    <row r="26" spans="2:8">
      <c r="D26" s="16" t="s">
        <v>617</v>
      </c>
    </row>
    <row r="27" spans="2:8">
      <c r="D27" s="16" t="s">
        <v>618</v>
      </c>
    </row>
    <row r="32" spans="2:8">
      <c r="C32" s="210"/>
    </row>
    <row r="36" spans="3:3">
      <c r="C36" s="210"/>
    </row>
  </sheetData>
  <mergeCells count="6">
    <mergeCell ref="A6:I6"/>
    <mergeCell ref="A1:I1"/>
    <mergeCell ref="A2:I2"/>
    <mergeCell ref="A3:I3"/>
    <mergeCell ref="A4:I4"/>
    <mergeCell ref="A5:I5"/>
  </mergeCells>
  <pageMargins left="0.75" right="0.75" top="1" bottom="1" header="0.5" footer="0.5"/>
  <pageSetup scale="86" orientation="portrait" horizontalDpi="4294967293" r:id="rId1"/>
  <headerFooter alignWithMargins="0">
    <oddHeader>&amp;RGroen Direct Exhibit 1.1, Schedule 25
Page 1 of 1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J49"/>
  <sheetViews>
    <sheetView view="pageLayout" zoomScaleNormal="100" workbookViewId="0">
      <selection activeCell="B10" sqref="B10"/>
    </sheetView>
  </sheetViews>
  <sheetFormatPr defaultColWidth="9.140625" defaultRowHeight="15.75"/>
  <cols>
    <col min="1" max="1" width="5.140625" style="16" customWidth="1"/>
    <col min="2" max="2" width="44.85546875" style="16" customWidth="1"/>
    <col min="3" max="3" width="9.140625" style="16"/>
    <col min="4" max="4" width="19.5703125" style="16" customWidth="1"/>
    <col min="5" max="5" width="12" style="16" customWidth="1"/>
    <col min="6" max="6" width="18.5703125" style="16" customWidth="1"/>
    <col min="7" max="7" width="18.85546875" style="16" customWidth="1"/>
    <col min="8" max="8" width="16.140625" style="16" customWidth="1"/>
    <col min="9" max="9" width="12" style="16" bestFit="1" customWidth="1"/>
    <col min="10" max="10" width="11.28515625" style="16" bestFit="1" customWidth="1"/>
    <col min="11" max="16384" width="9.140625" style="16"/>
  </cols>
  <sheetData>
    <row r="1" spans="1:6">
      <c r="A1" s="287" t="s">
        <v>787</v>
      </c>
      <c r="B1" s="287"/>
      <c r="C1" s="287"/>
      <c r="D1" s="287"/>
      <c r="E1" s="287"/>
      <c r="F1" s="287"/>
    </row>
    <row r="2" spans="1:6">
      <c r="A2" s="287" t="s">
        <v>791</v>
      </c>
      <c r="B2" s="287"/>
      <c r="C2" s="287"/>
      <c r="D2" s="287"/>
      <c r="E2" s="287"/>
      <c r="F2" s="287"/>
    </row>
    <row r="3" spans="1:6">
      <c r="A3" s="287" t="s">
        <v>792</v>
      </c>
      <c r="B3" s="287"/>
      <c r="C3" s="287"/>
      <c r="D3" s="287"/>
      <c r="E3" s="287"/>
      <c r="F3" s="287"/>
    </row>
    <row r="4" spans="1:6">
      <c r="A4" s="287" t="s">
        <v>619</v>
      </c>
      <c r="B4" s="287"/>
      <c r="C4" s="287"/>
      <c r="D4" s="287"/>
      <c r="E4" s="287"/>
      <c r="F4" s="287"/>
    </row>
    <row r="5" spans="1:6">
      <c r="A5" s="305" t="str">
        <f>'Sch 25 - WACC'!A5</f>
        <v>FOR THE YEAR ENDING DECEMBER 31, 2025</v>
      </c>
      <c r="B5" s="306"/>
      <c r="C5" s="306"/>
      <c r="D5" s="306"/>
      <c r="E5" s="306"/>
      <c r="F5" s="306"/>
    </row>
    <row r="6" spans="1:6">
      <c r="A6" s="289" t="s">
        <v>793</v>
      </c>
      <c r="B6" s="289"/>
      <c r="C6" s="289"/>
      <c r="D6" s="289"/>
      <c r="E6" s="289"/>
      <c r="F6" s="289"/>
    </row>
    <row r="7" spans="1:6">
      <c r="F7" s="18"/>
    </row>
    <row r="8" spans="1:6">
      <c r="B8" s="18" t="s">
        <v>50</v>
      </c>
      <c r="C8" s="18"/>
      <c r="D8" s="18" t="s">
        <v>51</v>
      </c>
      <c r="E8" s="18"/>
      <c r="F8" s="18"/>
    </row>
    <row r="10" spans="1:6">
      <c r="A10" s="18">
        <v>1</v>
      </c>
      <c r="B10" s="16" t="s">
        <v>620</v>
      </c>
      <c r="D10" s="214">
        <f>'Sch 26 pg. 2 - LT Debt'!T61</f>
        <v>8985161436.0046158</v>
      </c>
      <c r="E10" s="214"/>
      <c r="F10" s="214"/>
    </row>
    <row r="11" spans="1:6">
      <c r="A11" s="18"/>
      <c r="D11" s="214"/>
      <c r="E11" s="214"/>
      <c r="F11" s="214"/>
    </row>
    <row r="12" spans="1:6">
      <c r="A12" s="18"/>
      <c r="B12" s="16" t="s">
        <v>621</v>
      </c>
      <c r="D12" s="214"/>
      <c r="E12" s="214"/>
      <c r="F12" s="214"/>
    </row>
    <row r="13" spans="1:6">
      <c r="A13" s="18">
        <v>2</v>
      </c>
      <c r="B13" s="16" t="s">
        <v>622</v>
      </c>
      <c r="D13" s="214">
        <f>'Sch 26 pg. 3 - Unam Debt Prem'!T20</f>
        <v>10276414.450000001</v>
      </c>
      <c r="E13" s="214"/>
      <c r="F13" s="214"/>
    </row>
    <row r="14" spans="1:6">
      <c r="A14" s="18">
        <v>3</v>
      </c>
      <c r="B14" s="221" t="s">
        <v>623</v>
      </c>
      <c r="C14" s="221"/>
      <c r="D14" s="222">
        <f>-'Sch 26 pg. 4 - Unam Gain Reacq'!Q15</f>
        <v>17641.911727644256</v>
      </c>
      <c r="E14" s="214"/>
      <c r="F14" s="214"/>
    </row>
    <row r="15" spans="1:6">
      <c r="A15" s="18"/>
      <c r="D15" s="214"/>
      <c r="E15" s="214"/>
      <c r="F15" s="214"/>
    </row>
    <row r="16" spans="1:6">
      <c r="A16" s="18"/>
      <c r="B16" s="16" t="s">
        <v>624</v>
      </c>
      <c r="D16" s="214"/>
      <c r="E16" s="214"/>
      <c r="F16" s="214"/>
    </row>
    <row r="17" spans="1:10">
      <c r="A17" s="18">
        <v>4</v>
      </c>
      <c r="B17" s="16" t="s">
        <v>625</v>
      </c>
      <c r="D17" s="214">
        <f>'Sch 26 pg. 5 - Unam Debt Disc'!T54</f>
        <v>66059224.150769249</v>
      </c>
      <c r="E17" s="214"/>
      <c r="F17" s="214"/>
    </row>
    <row r="18" spans="1:10">
      <c r="A18" s="18">
        <v>5</v>
      </c>
      <c r="B18" s="16" t="s">
        <v>626</v>
      </c>
      <c r="D18" s="214">
        <f>'Sch 26 pg. 6 - Unam Debt Exp'!T52</f>
        <v>54993985.284615383</v>
      </c>
      <c r="E18" s="214"/>
      <c r="F18" s="214"/>
      <c r="G18" s="214"/>
    </row>
    <row r="19" spans="1:10">
      <c r="A19" s="18">
        <v>6</v>
      </c>
      <c r="B19" s="16" t="s">
        <v>627</v>
      </c>
      <c r="D19" s="216">
        <f>'Sch 26 pg. 7 - Unam Loss Reacq'!T34</f>
        <v>5085119.2038461519</v>
      </c>
      <c r="E19" s="214"/>
      <c r="F19" s="214"/>
      <c r="G19" s="214"/>
    </row>
    <row r="20" spans="1:10">
      <c r="A20" s="18"/>
      <c r="D20" s="214"/>
      <c r="E20" s="214"/>
      <c r="F20" s="214"/>
    </row>
    <row r="21" spans="1:10">
      <c r="A21" s="18">
        <v>7</v>
      </c>
      <c r="B21" s="16" t="s">
        <v>628</v>
      </c>
      <c r="D21" s="214">
        <f>D10+D13+D14-D17-D18-D19</f>
        <v>8869317163.7271137</v>
      </c>
      <c r="E21" s="214"/>
      <c r="F21" s="214"/>
    </row>
    <row r="22" spans="1:10">
      <c r="A22" s="18"/>
      <c r="D22" s="214"/>
      <c r="E22" s="214"/>
      <c r="F22" s="214"/>
    </row>
    <row r="23" spans="1:10">
      <c r="A23" s="18"/>
      <c r="D23" s="214"/>
      <c r="E23" s="214"/>
      <c r="F23" s="214"/>
    </row>
    <row r="24" spans="1:10">
      <c r="A24" s="18">
        <v>8</v>
      </c>
      <c r="B24" s="16" t="s">
        <v>259</v>
      </c>
      <c r="D24" s="214">
        <f>'Sch 26 pg. 8 - Interest'!G63</f>
        <v>395439561.38</v>
      </c>
      <c r="E24" s="214"/>
      <c r="F24" s="214"/>
    </row>
    <row r="25" spans="1:10">
      <c r="A25" s="18"/>
      <c r="D25" s="214"/>
      <c r="E25" s="214"/>
      <c r="F25" s="214"/>
    </row>
    <row r="26" spans="1:10">
      <c r="A26" s="18"/>
      <c r="B26" s="16" t="s">
        <v>621</v>
      </c>
      <c r="D26" s="214"/>
      <c r="E26" s="214"/>
      <c r="F26" s="214"/>
    </row>
    <row r="27" spans="1:10">
      <c r="A27" s="18">
        <v>9</v>
      </c>
      <c r="B27" s="16" t="s">
        <v>629</v>
      </c>
      <c r="D27" s="214">
        <f>'Sch 26 pg. 9 - Amort Disc'!D57</f>
        <v>5184120.59</v>
      </c>
      <c r="E27" s="214"/>
      <c r="F27" s="214"/>
      <c r="G27" s="218" t="s">
        <v>232</v>
      </c>
      <c r="H27" s="218"/>
      <c r="I27" s="214"/>
      <c r="J27" s="214"/>
    </row>
    <row r="28" spans="1:10">
      <c r="A28" s="18">
        <v>10</v>
      </c>
      <c r="B28" s="16" t="s">
        <v>630</v>
      </c>
      <c r="D28" s="214">
        <f>'Sch 26 pg. 10 - Amort Exp'!D56</f>
        <v>3306765.5200000005</v>
      </c>
      <c r="E28" s="214"/>
      <c r="F28" s="214"/>
      <c r="G28" s="214"/>
      <c r="H28" s="218"/>
    </row>
    <row r="29" spans="1:10">
      <c r="A29" s="18">
        <v>11</v>
      </c>
      <c r="B29" s="16" t="s">
        <v>631</v>
      </c>
      <c r="D29" s="214">
        <f>'Sch 26 pg. 11 - Amort Loss'!D39</f>
        <v>593174.93000000017</v>
      </c>
      <c r="E29" s="214"/>
      <c r="F29" s="214"/>
      <c r="H29" s="218"/>
    </row>
    <row r="30" spans="1:10">
      <c r="A30" s="18"/>
      <c r="D30" s="214"/>
      <c r="E30" s="214"/>
      <c r="F30" s="246"/>
    </row>
    <row r="31" spans="1:10">
      <c r="B31" s="16" t="s">
        <v>624</v>
      </c>
      <c r="D31" s="214"/>
      <c r="E31" s="214"/>
      <c r="F31" s="214"/>
    </row>
    <row r="32" spans="1:10">
      <c r="A32" s="18">
        <v>12</v>
      </c>
      <c r="B32" s="16" t="s">
        <v>632</v>
      </c>
      <c r="D32" s="214">
        <f>-('Sch 26 pg. 12 - Amort Premium'!D16)</f>
        <v>2710263.12</v>
      </c>
      <c r="E32" s="214"/>
      <c r="F32" s="214"/>
    </row>
    <row r="33" spans="1:6">
      <c r="A33" s="18">
        <v>13</v>
      </c>
      <c r="B33" s="221" t="s">
        <v>633</v>
      </c>
      <c r="C33" s="221"/>
      <c r="D33" s="248">
        <f>-('Sch 26 pg. 13 - Amort Gain'!D19)</f>
        <v>45869</v>
      </c>
      <c r="E33" s="222"/>
      <c r="F33" s="214"/>
    </row>
    <row r="34" spans="1:6">
      <c r="D34" s="214">
        <f>D24+D27+D28+D29-D32-D33</f>
        <v>401767490.29999995</v>
      </c>
      <c r="E34" s="214"/>
      <c r="F34" s="214"/>
    </row>
    <row r="36" spans="1:6">
      <c r="A36" s="18">
        <v>14</v>
      </c>
      <c r="B36" s="16" t="s">
        <v>634</v>
      </c>
      <c r="D36" s="236">
        <f>D34/D21</f>
        <v>4.5298581940795876E-2</v>
      </c>
    </row>
    <row r="38" spans="1:6">
      <c r="A38" s="16" t="s">
        <v>840</v>
      </c>
    </row>
    <row r="39" spans="1:6">
      <c r="A39" s="219" t="s">
        <v>841</v>
      </c>
    </row>
    <row r="40" spans="1:6">
      <c r="A40" s="219" t="s">
        <v>842</v>
      </c>
    </row>
    <row r="41" spans="1:6">
      <c r="A41" s="219" t="s">
        <v>844</v>
      </c>
    </row>
    <row r="42" spans="1:6">
      <c r="A42" s="219" t="s">
        <v>843</v>
      </c>
    </row>
    <row r="43" spans="1:6">
      <c r="A43" s="219" t="s">
        <v>845</v>
      </c>
    </row>
    <row r="44" spans="1:6">
      <c r="A44" s="219" t="s">
        <v>846</v>
      </c>
    </row>
    <row r="45" spans="1:6">
      <c r="A45" s="219" t="s">
        <v>847</v>
      </c>
    </row>
    <row r="46" spans="1:6">
      <c r="A46" s="219" t="s">
        <v>848</v>
      </c>
    </row>
    <row r="47" spans="1:6">
      <c r="A47" s="219" t="s">
        <v>849</v>
      </c>
    </row>
    <row r="48" spans="1:6">
      <c r="A48" s="219" t="s">
        <v>850</v>
      </c>
    </row>
    <row r="49" spans="1:1">
      <c r="A49" s="219" t="s">
        <v>851</v>
      </c>
    </row>
  </sheetData>
  <mergeCells count="6">
    <mergeCell ref="A6:F6"/>
    <mergeCell ref="A5:F5"/>
    <mergeCell ref="A1:F1"/>
    <mergeCell ref="A2:F2"/>
    <mergeCell ref="A3:F3"/>
    <mergeCell ref="A4:F4"/>
  </mergeCells>
  <pageMargins left="0.75" right="0.75" top="1" bottom="1" header="0.5" footer="0.5"/>
  <pageSetup scale="71" orientation="portrait" r:id="rId1"/>
  <headerFooter alignWithMargins="0">
    <oddHeader>&amp;RGroen Direct Exhibit 1.1, Schedule 26 
Page 1 of 13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V67"/>
  <sheetViews>
    <sheetView view="pageLayout" topLeftCell="J1" zoomScaleNormal="75" workbookViewId="0">
      <selection activeCell="K12" sqref="K12"/>
    </sheetView>
  </sheetViews>
  <sheetFormatPr defaultColWidth="9.140625" defaultRowHeight="15.75"/>
  <cols>
    <col min="1" max="1" width="5.140625" style="16" customWidth="1"/>
    <col min="2" max="2" width="8.28515625" style="16" customWidth="1"/>
    <col min="3" max="3" width="45.5703125" style="16" customWidth="1"/>
    <col min="4" max="4" width="12.140625" style="16" customWidth="1"/>
    <col min="5" max="5" width="11.5703125" style="16" bestFit="1" customWidth="1"/>
    <col min="6" max="6" width="9.7109375" style="16" customWidth="1"/>
    <col min="7" max="19" width="16.140625" style="16" bestFit="1" customWidth="1"/>
    <col min="20" max="20" width="31.42578125" style="16" bestFit="1" customWidth="1"/>
    <col min="21" max="21" width="13.140625" style="16" customWidth="1"/>
    <col min="22" max="22" width="9.85546875" style="16" customWidth="1"/>
    <col min="23" max="16384" width="9.140625" style="16"/>
  </cols>
  <sheetData>
    <row r="1" spans="1:20">
      <c r="A1" s="287" t="s">
        <v>787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</row>
    <row r="2" spans="1:20">
      <c r="A2" s="287" t="s">
        <v>791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</row>
    <row r="3" spans="1:20">
      <c r="A3" s="287" t="s">
        <v>792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  <c r="P3" s="287"/>
      <c r="Q3" s="287"/>
      <c r="R3" s="287"/>
      <c r="S3" s="287"/>
      <c r="T3" s="287"/>
    </row>
    <row r="4" spans="1:20">
      <c r="A4" s="287" t="s">
        <v>635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  <c r="R4" s="287"/>
      <c r="S4" s="287"/>
      <c r="T4" s="287"/>
    </row>
    <row r="5" spans="1:20">
      <c r="A5" s="305" t="str">
        <f>'Sch 25 - WACC'!A5</f>
        <v>FOR THE YEAR ENDING DECEMBER 31, 2025</v>
      </c>
      <c r="B5" s="305"/>
      <c r="C5" s="305"/>
      <c r="D5" s="305"/>
      <c r="E5" s="305"/>
      <c r="F5" s="305"/>
      <c r="G5" s="305"/>
      <c r="H5" s="305"/>
      <c r="I5" s="305"/>
      <c r="J5" s="305"/>
      <c r="K5" s="305"/>
      <c r="L5" s="305"/>
      <c r="M5" s="305"/>
      <c r="N5" s="305"/>
      <c r="O5" s="305"/>
      <c r="P5" s="305"/>
      <c r="Q5" s="305"/>
      <c r="R5" s="305"/>
      <c r="S5" s="305"/>
      <c r="T5" s="305"/>
    </row>
    <row r="6" spans="1:20">
      <c r="A6" s="289" t="s">
        <v>793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  <c r="R6" s="289"/>
      <c r="S6" s="289"/>
      <c r="T6" s="289"/>
    </row>
    <row r="7" spans="1:20">
      <c r="A7" s="2"/>
      <c r="B7" s="205"/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</row>
    <row r="8" spans="1:20">
      <c r="B8" s="18" t="s">
        <v>50</v>
      </c>
      <c r="C8" s="18" t="s">
        <v>51</v>
      </c>
      <c r="D8" s="18" t="s">
        <v>86</v>
      </c>
      <c r="E8" s="18" t="s">
        <v>87</v>
      </c>
      <c r="F8" s="18" t="s">
        <v>88</v>
      </c>
      <c r="G8" s="18" t="s">
        <v>89</v>
      </c>
      <c r="H8" s="18" t="s">
        <v>140</v>
      </c>
      <c r="I8" s="18" t="s">
        <v>141</v>
      </c>
      <c r="J8" s="18" t="s">
        <v>142</v>
      </c>
      <c r="K8" s="18" t="s">
        <v>143</v>
      </c>
      <c r="L8" s="18" t="s">
        <v>144</v>
      </c>
      <c r="M8" s="18" t="s">
        <v>145</v>
      </c>
      <c r="N8" s="18" t="s">
        <v>146</v>
      </c>
      <c r="O8" s="18" t="s">
        <v>147</v>
      </c>
      <c r="P8" s="18" t="s">
        <v>148</v>
      </c>
      <c r="Q8" s="18" t="s">
        <v>149</v>
      </c>
      <c r="R8" s="18" t="s">
        <v>150</v>
      </c>
      <c r="S8" s="18" t="s">
        <v>230</v>
      </c>
      <c r="T8" s="18" t="s">
        <v>231</v>
      </c>
    </row>
    <row r="9" spans="1:20">
      <c r="D9" s="18" t="s">
        <v>636</v>
      </c>
      <c r="E9" s="18" t="s">
        <v>637</v>
      </c>
      <c r="F9" s="18" t="s">
        <v>116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spans="1:20">
      <c r="D10" s="18" t="s">
        <v>638</v>
      </c>
      <c r="E10" s="18" t="s">
        <v>638</v>
      </c>
      <c r="F10" s="18" t="s">
        <v>233</v>
      </c>
      <c r="G10" s="211">
        <v>45654</v>
      </c>
      <c r="H10" s="211">
        <v>45685</v>
      </c>
      <c r="I10" s="211">
        <v>45716</v>
      </c>
      <c r="J10" s="211">
        <v>45744</v>
      </c>
      <c r="K10" s="211">
        <v>45775</v>
      </c>
      <c r="L10" s="211">
        <v>45805</v>
      </c>
      <c r="M10" s="211">
        <v>45836</v>
      </c>
      <c r="N10" s="211">
        <v>45866</v>
      </c>
      <c r="O10" s="211">
        <v>45897</v>
      </c>
      <c r="P10" s="211">
        <v>45928</v>
      </c>
      <c r="Q10" s="211">
        <v>45958</v>
      </c>
      <c r="R10" s="211">
        <v>45989</v>
      </c>
      <c r="S10" s="211">
        <f t="shared" ref="S10" si="0">EDATE(R10,1)</f>
        <v>46019</v>
      </c>
      <c r="T10" s="205" t="s">
        <v>639</v>
      </c>
    </row>
    <row r="11" spans="1:20">
      <c r="C11" s="206" t="s">
        <v>640</v>
      </c>
      <c r="D11" s="18"/>
      <c r="E11" s="18"/>
      <c r="F11" s="18"/>
      <c r="T11" s="18" t="s">
        <v>499</v>
      </c>
    </row>
    <row r="12" spans="1:20">
      <c r="A12" s="18"/>
      <c r="T12" s="214"/>
    </row>
    <row r="13" spans="1:20">
      <c r="A13" s="18"/>
      <c r="C13" s="206" t="s">
        <v>641</v>
      </c>
      <c r="D13" s="18"/>
      <c r="E13" s="18"/>
      <c r="F13" s="18"/>
      <c r="G13" s="18"/>
      <c r="T13" s="214"/>
    </row>
    <row r="14" spans="1:20">
      <c r="A14" s="18">
        <v>1</v>
      </c>
      <c r="B14" s="18">
        <v>221080</v>
      </c>
      <c r="C14" s="219" t="s">
        <v>642</v>
      </c>
      <c r="D14" s="227">
        <v>41536</v>
      </c>
      <c r="E14" s="227">
        <v>52489</v>
      </c>
      <c r="F14" s="207">
        <v>4.8000000000000001E-2</v>
      </c>
      <c r="G14" s="214">
        <v>350000000</v>
      </c>
      <c r="H14" s="214">
        <v>350000000</v>
      </c>
      <c r="I14" s="214">
        <v>350000000</v>
      </c>
      <c r="J14" s="214">
        <v>350000000</v>
      </c>
      <c r="K14" s="214">
        <v>350000000</v>
      </c>
      <c r="L14" s="214">
        <v>350000000</v>
      </c>
      <c r="M14" s="214">
        <v>350000000</v>
      </c>
      <c r="N14" s="214">
        <v>350000000</v>
      </c>
      <c r="O14" s="214">
        <v>350000000</v>
      </c>
      <c r="P14" s="214">
        <v>350000000</v>
      </c>
      <c r="Q14" s="214">
        <v>350000000</v>
      </c>
      <c r="R14" s="214">
        <v>350000000</v>
      </c>
      <c r="S14" s="214">
        <v>350000000</v>
      </c>
      <c r="T14" s="214">
        <f>(SUM(G14:S14)/13)</f>
        <v>350000000</v>
      </c>
    </row>
    <row r="15" spans="1:20">
      <c r="A15" s="18">
        <f>A14+1</f>
        <v>2</v>
      </c>
      <c r="B15" s="18">
        <v>221083</v>
      </c>
      <c r="C15" s="219" t="s">
        <v>643</v>
      </c>
      <c r="D15" s="227">
        <v>41732</v>
      </c>
      <c r="E15" s="227">
        <v>52885</v>
      </c>
      <c r="F15" s="207">
        <v>4.3999999999999997E-2</v>
      </c>
      <c r="G15" s="214">
        <v>400000000</v>
      </c>
      <c r="H15" s="214">
        <v>400000000</v>
      </c>
      <c r="I15" s="214">
        <v>400000000</v>
      </c>
      <c r="J15" s="214">
        <v>400000000</v>
      </c>
      <c r="K15" s="214">
        <v>400000000</v>
      </c>
      <c r="L15" s="214">
        <v>400000000</v>
      </c>
      <c r="M15" s="214">
        <v>400000000</v>
      </c>
      <c r="N15" s="214">
        <v>400000000</v>
      </c>
      <c r="O15" s="214">
        <v>400000000</v>
      </c>
      <c r="P15" s="214">
        <v>400000000</v>
      </c>
      <c r="Q15" s="214">
        <v>400000000</v>
      </c>
      <c r="R15" s="214">
        <v>400000000</v>
      </c>
      <c r="S15" s="214">
        <v>400000000</v>
      </c>
      <c r="T15" s="214">
        <f t="shared" ref="T15:T18" si="1">(SUM(G15:S15)/13)</f>
        <v>400000000</v>
      </c>
    </row>
    <row r="16" spans="1:20">
      <c r="A16" s="18">
        <f t="shared" ref="A16:A29" si="2">A15+1</f>
        <v>3</v>
      </c>
      <c r="B16" s="18">
        <v>221085</v>
      </c>
      <c r="C16" s="219" t="s">
        <v>644</v>
      </c>
      <c r="D16" s="227">
        <v>42292</v>
      </c>
      <c r="E16" s="227">
        <v>53448</v>
      </c>
      <c r="F16" s="207">
        <v>4.2500000000000003E-2</v>
      </c>
      <c r="G16" s="214">
        <v>450000000</v>
      </c>
      <c r="H16" s="214">
        <v>450000000</v>
      </c>
      <c r="I16" s="214">
        <v>450000000</v>
      </c>
      <c r="J16" s="214">
        <v>450000000</v>
      </c>
      <c r="K16" s="214">
        <v>450000000</v>
      </c>
      <c r="L16" s="214">
        <v>450000000</v>
      </c>
      <c r="M16" s="214">
        <v>450000000</v>
      </c>
      <c r="N16" s="214">
        <v>450000000</v>
      </c>
      <c r="O16" s="214">
        <v>450000000</v>
      </c>
      <c r="P16" s="214">
        <v>450000000</v>
      </c>
      <c r="Q16" s="214">
        <v>450000000</v>
      </c>
      <c r="R16" s="214">
        <v>450000000</v>
      </c>
      <c r="S16" s="214">
        <v>450000000</v>
      </c>
      <c r="T16" s="214">
        <f t="shared" si="1"/>
        <v>450000000</v>
      </c>
    </row>
    <row r="17" spans="1:20">
      <c r="A17" s="18">
        <f t="shared" si="2"/>
        <v>4</v>
      </c>
      <c r="B17" s="18">
        <v>221087</v>
      </c>
      <c r="C17" s="219" t="s">
        <v>645</v>
      </c>
      <c r="D17" s="227">
        <v>42767</v>
      </c>
      <c r="E17" s="227">
        <v>46508</v>
      </c>
      <c r="F17" s="207">
        <v>3.1E-2</v>
      </c>
      <c r="G17" s="214">
        <v>375000000</v>
      </c>
      <c r="H17" s="214">
        <v>375000000</v>
      </c>
      <c r="I17" s="214">
        <v>375000000</v>
      </c>
      <c r="J17" s="214">
        <v>375000000</v>
      </c>
      <c r="K17" s="214">
        <v>375000000</v>
      </c>
      <c r="L17" s="214">
        <v>375000000</v>
      </c>
      <c r="M17" s="214">
        <v>375000000</v>
      </c>
      <c r="N17" s="214">
        <v>375000000</v>
      </c>
      <c r="O17" s="214">
        <v>375000000</v>
      </c>
      <c r="P17" s="214">
        <v>375000000</v>
      </c>
      <c r="Q17" s="214">
        <v>375000000</v>
      </c>
      <c r="R17" s="214">
        <v>375000000</v>
      </c>
      <c r="S17" s="214">
        <v>375000000</v>
      </c>
      <c r="T17" s="214">
        <f t="shared" si="1"/>
        <v>375000000</v>
      </c>
    </row>
    <row r="18" spans="1:20">
      <c r="A18" s="18">
        <f t="shared" si="2"/>
        <v>5</v>
      </c>
      <c r="B18" s="18">
        <v>221088</v>
      </c>
      <c r="C18" s="219" t="s">
        <v>646</v>
      </c>
      <c r="D18" s="227">
        <v>42767</v>
      </c>
      <c r="E18" s="227">
        <v>53905</v>
      </c>
      <c r="F18" s="207">
        <v>3.95E-2</v>
      </c>
      <c r="G18" s="214">
        <v>475000000</v>
      </c>
      <c r="H18" s="214">
        <v>475000000</v>
      </c>
      <c r="I18" s="214">
        <v>475000000</v>
      </c>
      <c r="J18" s="214">
        <v>475000000</v>
      </c>
      <c r="K18" s="214">
        <v>475000000</v>
      </c>
      <c r="L18" s="214">
        <v>475000000</v>
      </c>
      <c r="M18" s="214">
        <v>475000000</v>
      </c>
      <c r="N18" s="214">
        <v>475000000</v>
      </c>
      <c r="O18" s="214">
        <v>475000000</v>
      </c>
      <c r="P18" s="214">
        <v>475000000</v>
      </c>
      <c r="Q18" s="214">
        <v>475000000</v>
      </c>
      <c r="R18" s="214">
        <v>475000000</v>
      </c>
      <c r="S18" s="214">
        <v>475000000</v>
      </c>
      <c r="T18" s="214">
        <f t="shared" si="1"/>
        <v>475000000</v>
      </c>
    </row>
    <row r="19" spans="1:20">
      <c r="A19" s="18">
        <f t="shared" si="2"/>
        <v>6</v>
      </c>
      <c r="B19" s="18">
        <v>221089</v>
      </c>
      <c r="C19" s="219" t="s">
        <v>647</v>
      </c>
      <c r="D19" s="227">
        <v>43132</v>
      </c>
      <c r="E19" s="227">
        <v>54271</v>
      </c>
      <c r="F19" s="207">
        <v>3.6499999999999998E-2</v>
      </c>
      <c r="G19" s="214">
        <v>700000000</v>
      </c>
      <c r="H19" s="214">
        <v>700000000</v>
      </c>
      <c r="I19" s="214">
        <v>700000000</v>
      </c>
      <c r="J19" s="214">
        <v>700000000</v>
      </c>
      <c r="K19" s="214">
        <v>700000000</v>
      </c>
      <c r="L19" s="214">
        <v>700000000</v>
      </c>
      <c r="M19" s="214">
        <v>700000000</v>
      </c>
      <c r="N19" s="214">
        <v>700000000</v>
      </c>
      <c r="O19" s="214">
        <v>700000000</v>
      </c>
      <c r="P19" s="214">
        <v>700000000</v>
      </c>
      <c r="Q19" s="214">
        <v>700000000</v>
      </c>
      <c r="R19" s="214">
        <v>700000000</v>
      </c>
      <c r="S19" s="214">
        <v>700000000</v>
      </c>
      <c r="T19" s="214">
        <f>(SUM(G19:S19)/13)</f>
        <v>700000000</v>
      </c>
    </row>
    <row r="20" spans="1:20">
      <c r="A20" s="18">
        <f t="shared" si="2"/>
        <v>7</v>
      </c>
      <c r="B20" s="18">
        <v>221090</v>
      </c>
      <c r="C20" s="219" t="s">
        <v>648</v>
      </c>
      <c r="D20" s="227">
        <v>43472</v>
      </c>
      <c r="E20" s="227">
        <v>47223</v>
      </c>
      <c r="F20" s="207">
        <v>3.6499999999999998E-2</v>
      </c>
      <c r="G20" s="214">
        <v>600000000</v>
      </c>
      <c r="H20" s="214">
        <v>600000000</v>
      </c>
      <c r="I20" s="214">
        <v>600000000</v>
      </c>
      <c r="J20" s="214">
        <v>600000000</v>
      </c>
      <c r="K20" s="214">
        <v>600000000</v>
      </c>
      <c r="L20" s="214">
        <v>600000000</v>
      </c>
      <c r="M20" s="214">
        <v>600000000</v>
      </c>
      <c r="N20" s="214">
        <v>600000000</v>
      </c>
      <c r="O20" s="214">
        <v>600000000</v>
      </c>
      <c r="P20" s="214">
        <v>600000000</v>
      </c>
      <c r="Q20" s="214">
        <v>600000000</v>
      </c>
      <c r="R20" s="214">
        <v>600000000</v>
      </c>
      <c r="S20" s="214">
        <v>600000000</v>
      </c>
      <c r="T20" s="214">
        <f>(SUM(G20:S20)/13)</f>
        <v>600000000</v>
      </c>
    </row>
    <row r="21" spans="1:20">
      <c r="A21" s="18">
        <f t="shared" si="2"/>
        <v>8</v>
      </c>
      <c r="B21" s="18">
        <v>221091</v>
      </c>
      <c r="C21" s="219" t="s">
        <v>649</v>
      </c>
      <c r="D21" s="227">
        <v>43472</v>
      </c>
      <c r="E21" s="227">
        <v>54619</v>
      </c>
      <c r="F21" s="207">
        <v>4.2500000000000003E-2</v>
      </c>
      <c r="G21" s="214">
        <v>900000000</v>
      </c>
      <c r="H21" s="214">
        <v>900000000</v>
      </c>
      <c r="I21" s="214">
        <v>900000000</v>
      </c>
      <c r="J21" s="214">
        <v>900000000</v>
      </c>
      <c r="K21" s="214">
        <v>900000000</v>
      </c>
      <c r="L21" s="214">
        <v>900000000</v>
      </c>
      <c r="M21" s="214">
        <v>900000000</v>
      </c>
      <c r="N21" s="214">
        <v>900000000</v>
      </c>
      <c r="O21" s="214">
        <v>900000000</v>
      </c>
      <c r="P21" s="214">
        <v>900000000</v>
      </c>
      <c r="Q21" s="214">
        <v>900000000</v>
      </c>
      <c r="R21" s="214">
        <v>900000000</v>
      </c>
      <c r="S21" s="214">
        <v>900000000</v>
      </c>
      <c r="T21" s="214">
        <f>(SUM(G21:S21)/13)</f>
        <v>900000000</v>
      </c>
    </row>
    <row r="22" spans="1:20">
      <c r="A22" s="18">
        <f t="shared" si="2"/>
        <v>9</v>
      </c>
      <c r="B22" s="18">
        <v>221092</v>
      </c>
      <c r="C22" s="219" t="s">
        <v>650</v>
      </c>
      <c r="D22" s="227">
        <v>43739</v>
      </c>
      <c r="E22" s="227">
        <v>54893</v>
      </c>
      <c r="F22" s="207">
        <v>3.15E-2</v>
      </c>
      <c r="G22" s="214">
        <v>600000000</v>
      </c>
      <c r="H22" s="214">
        <v>600000000</v>
      </c>
      <c r="I22" s="214">
        <v>600000000</v>
      </c>
      <c r="J22" s="214">
        <v>600000000</v>
      </c>
      <c r="K22" s="214">
        <v>600000000</v>
      </c>
      <c r="L22" s="214">
        <v>600000000</v>
      </c>
      <c r="M22" s="214">
        <v>600000000</v>
      </c>
      <c r="N22" s="214">
        <v>600000000</v>
      </c>
      <c r="O22" s="214">
        <v>600000000</v>
      </c>
      <c r="P22" s="214">
        <v>600000000</v>
      </c>
      <c r="Q22" s="214">
        <v>600000000</v>
      </c>
      <c r="R22" s="214">
        <v>600000000</v>
      </c>
      <c r="S22" s="214">
        <v>600000000</v>
      </c>
      <c r="T22" s="214">
        <f>(SUM(G22:S22)/13)</f>
        <v>600000000</v>
      </c>
    </row>
    <row r="23" spans="1:20">
      <c r="A23" s="18">
        <f t="shared" si="2"/>
        <v>10</v>
      </c>
      <c r="B23" s="18">
        <v>221093</v>
      </c>
      <c r="C23" s="219" t="s">
        <v>651</v>
      </c>
      <c r="D23" s="227">
        <v>43739</v>
      </c>
      <c r="E23" s="227">
        <v>47223</v>
      </c>
      <c r="F23" s="207">
        <v>3.6499999999999998E-2</v>
      </c>
      <c r="G23" s="214">
        <v>250000000</v>
      </c>
      <c r="H23" s="214">
        <v>250000000</v>
      </c>
      <c r="I23" s="214">
        <v>250000000</v>
      </c>
      <c r="J23" s="214">
        <v>250000000</v>
      </c>
      <c r="K23" s="214">
        <v>250000000</v>
      </c>
      <c r="L23" s="214">
        <v>250000000</v>
      </c>
      <c r="M23" s="214">
        <v>250000000</v>
      </c>
      <c r="N23" s="214">
        <v>250000000</v>
      </c>
      <c r="O23" s="214">
        <v>250000000</v>
      </c>
      <c r="P23" s="214">
        <v>250000000</v>
      </c>
      <c r="Q23" s="214">
        <v>250000000</v>
      </c>
      <c r="R23" s="214">
        <v>250000000</v>
      </c>
      <c r="S23" s="214">
        <v>250000000</v>
      </c>
      <c r="T23" s="214">
        <f t="shared" ref="T23:T24" si="3">(SUM(G23:S23)/13)</f>
        <v>250000000</v>
      </c>
    </row>
    <row r="24" spans="1:20">
      <c r="A24" s="18">
        <f t="shared" si="2"/>
        <v>11</v>
      </c>
      <c r="B24" s="18">
        <v>221094</v>
      </c>
      <c r="C24" s="219" t="s">
        <v>652</v>
      </c>
      <c r="D24" s="227">
        <v>44378</v>
      </c>
      <c r="E24" s="227">
        <v>55732</v>
      </c>
      <c r="F24" s="207">
        <v>2.7E-2</v>
      </c>
      <c r="G24" s="214">
        <v>500000000</v>
      </c>
      <c r="H24" s="214">
        <v>500000000</v>
      </c>
      <c r="I24" s="214">
        <v>500000000</v>
      </c>
      <c r="J24" s="214">
        <v>500000000</v>
      </c>
      <c r="K24" s="214">
        <v>500000000</v>
      </c>
      <c r="L24" s="214">
        <v>500000000</v>
      </c>
      <c r="M24" s="214">
        <v>500000000</v>
      </c>
      <c r="N24" s="214">
        <v>500000000</v>
      </c>
      <c r="O24" s="214">
        <v>500000000</v>
      </c>
      <c r="P24" s="214">
        <v>500000000</v>
      </c>
      <c r="Q24" s="214">
        <v>500000000</v>
      </c>
      <c r="R24" s="214">
        <v>500000000</v>
      </c>
      <c r="S24" s="214">
        <v>500000000</v>
      </c>
      <c r="T24" s="214">
        <f t="shared" si="3"/>
        <v>500000000</v>
      </c>
    </row>
    <row r="25" spans="1:20">
      <c r="A25" s="18">
        <f t="shared" si="2"/>
        <v>12</v>
      </c>
      <c r="B25" s="18">
        <v>221095</v>
      </c>
      <c r="C25" s="219" t="s">
        <v>653</v>
      </c>
      <c r="D25" s="227">
        <v>45174</v>
      </c>
      <c r="E25" s="227">
        <v>48959</v>
      </c>
      <c r="F25" s="233">
        <v>5.3499999999999999E-2</v>
      </c>
      <c r="G25" s="214">
        <v>350000000</v>
      </c>
      <c r="H25" s="214">
        <v>350000000</v>
      </c>
      <c r="I25" s="214">
        <v>350000000</v>
      </c>
      <c r="J25" s="214">
        <v>350000000</v>
      </c>
      <c r="K25" s="214">
        <v>350000000</v>
      </c>
      <c r="L25" s="214">
        <v>350000000</v>
      </c>
      <c r="M25" s="214">
        <v>350000000</v>
      </c>
      <c r="N25" s="214">
        <v>350000000</v>
      </c>
      <c r="O25" s="214">
        <v>350000000</v>
      </c>
      <c r="P25" s="214">
        <v>350000000</v>
      </c>
      <c r="Q25" s="214">
        <v>350000000</v>
      </c>
      <c r="R25" s="214">
        <v>350000000</v>
      </c>
      <c r="S25" s="214">
        <v>350000000</v>
      </c>
      <c r="T25" s="214">
        <f>(SUM(G25:S25)/13)</f>
        <v>350000000</v>
      </c>
    </row>
    <row r="26" spans="1:20">
      <c r="A26" s="18">
        <f t="shared" si="2"/>
        <v>13</v>
      </c>
      <c r="B26" s="18">
        <v>221096</v>
      </c>
      <c r="C26" s="219" t="s">
        <v>654</v>
      </c>
      <c r="D26" s="227">
        <v>45174</v>
      </c>
      <c r="E26" s="227">
        <v>56507</v>
      </c>
      <c r="F26" s="207">
        <v>5.8500000000000003E-2</v>
      </c>
      <c r="G26" s="214">
        <v>1000000000</v>
      </c>
      <c r="H26" s="214">
        <v>1000000000</v>
      </c>
      <c r="I26" s="214">
        <v>1000000000</v>
      </c>
      <c r="J26" s="214">
        <v>1000000000</v>
      </c>
      <c r="K26" s="214">
        <v>1000000000</v>
      </c>
      <c r="L26" s="214">
        <v>1000000000</v>
      </c>
      <c r="M26" s="214">
        <v>1000000000</v>
      </c>
      <c r="N26" s="214">
        <v>1000000000</v>
      </c>
      <c r="O26" s="214">
        <v>1000000000</v>
      </c>
      <c r="P26" s="214">
        <v>1000000000</v>
      </c>
      <c r="Q26" s="214">
        <v>1000000000</v>
      </c>
      <c r="R26" s="214">
        <v>1000000000</v>
      </c>
      <c r="S26" s="214">
        <v>1000000000</v>
      </c>
      <c r="T26" s="214">
        <f>(SUM(G26:S26)/13)</f>
        <v>1000000000</v>
      </c>
    </row>
    <row r="27" spans="1:20">
      <c r="A27" s="18">
        <f t="shared" si="2"/>
        <v>14</v>
      </c>
      <c r="B27" s="18">
        <v>221097</v>
      </c>
      <c r="C27" s="219" t="s">
        <v>655</v>
      </c>
      <c r="D27" s="227">
        <v>45315</v>
      </c>
      <c r="E27" s="227">
        <v>56646</v>
      </c>
      <c r="F27" s="207">
        <v>5.2999999999999999E-2</v>
      </c>
      <c r="G27" s="214">
        <v>600000000</v>
      </c>
      <c r="H27" s="214">
        <v>600000000</v>
      </c>
      <c r="I27" s="214">
        <v>600000000</v>
      </c>
      <c r="J27" s="214">
        <v>600000000</v>
      </c>
      <c r="K27" s="214">
        <v>600000000</v>
      </c>
      <c r="L27" s="214">
        <v>600000000</v>
      </c>
      <c r="M27" s="214">
        <v>600000000</v>
      </c>
      <c r="N27" s="214">
        <v>600000000</v>
      </c>
      <c r="O27" s="214">
        <v>600000000</v>
      </c>
      <c r="P27" s="214">
        <v>600000000</v>
      </c>
      <c r="Q27" s="214">
        <v>600000000</v>
      </c>
      <c r="R27" s="214">
        <v>600000000</v>
      </c>
      <c r="S27" s="214">
        <v>600000000</v>
      </c>
      <c r="T27" s="214">
        <f>(SUM(G27:S27)/13)</f>
        <v>600000000</v>
      </c>
    </row>
    <row r="28" spans="1:20">
      <c r="A28" s="18">
        <f t="shared" si="2"/>
        <v>15</v>
      </c>
      <c r="B28" s="219" t="s">
        <v>656</v>
      </c>
      <c r="C28" s="219" t="s">
        <v>657</v>
      </c>
      <c r="D28" s="227">
        <v>45964</v>
      </c>
      <c r="E28" s="227">
        <v>57299</v>
      </c>
      <c r="F28" s="207">
        <v>5.5E-2</v>
      </c>
      <c r="G28" s="225">
        <v>0</v>
      </c>
      <c r="H28" s="225">
        <v>0</v>
      </c>
      <c r="I28" s="225">
        <v>0</v>
      </c>
      <c r="J28" s="225">
        <v>0</v>
      </c>
      <c r="K28" s="225">
        <v>0</v>
      </c>
      <c r="L28" s="225">
        <v>0</v>
      </c>
      <c r="M28" s="225">
        <v>0</v>
      </c>
      <c r="N28" s="225">
        <v>0</v>
      </c>
      <c r="O28" s="225">
        <v>0</v>
      </c>
      <c r="P28" s="225">
        <v>0</v>
      </c>
      <c r="Q28" s="225">
        <v>0</v>
      </c>
      <c r="R28" s="225">
        <v>400000000</v>
      </c>
      <c r="S28" s="225">
        <v>400000000</v>
      </c>
      <c r="T28" s="225">
        <f>(SUM(G28:S28)/13)</f>
        <v>61538461.538461536</v>
      </c>
    </row>
    <row r="29" spans="1:20">
      <c r="A29" s="18">
        <f t="shared" si="2"/>
        <v>16</v>
      </c>
      <c r="C29" s="219" t="s">
        <v>658</v>
      </c>
      <c r="D29" s="18"/>
      <c r="E29" s="18"/>
      <c r="F29" s="18"/>
      <c r="G29" s="239">
        <f>SUM(G14:G28)</f>
        <v>7550000000</v>
      </c>
      <c r="H29" s="239">
        <f t="shared" ref="H29:T29" si="4">SUM(H14:H28)</f>
        <v>7550000000</v>
      </c>
      <c r="I29" s="239">
        <f t="shared" si="4"/>
        <v>7550000000</v>
      </c>
      <c r="J29" s="239">
        <f t="shared" si="4"/>
        <v>7550000000</v>
      </c>
      <c r="K29" s="239">
        <f t="shared" si="4"/>
        <v>7550000000</v>
      </c>
      <c r="L29" s="239">
        <f t="shared" si="4"/>
        <v>7550000000</v>
      </c>
      <c r="M29" s="239">
        <f t="shared" si="4"/>
        <v>7550000000</v>
      </c>
      <c r="N29" s="239">
        <f t="shared" si="4"/>
        <v>7550000000</v>
      </c>
      <c r="O29" s="239">
        <f t="shared" si="4"/>
        <v>7550000000</v>
      </c>
      <c r="P29" s="239">
        <f t="shared" si="4"/>
        <v>7550000000</v>
      </c>
      <c r="Q29" s="239">
        <f t="shared" si="4"/>
        <v>7550000000</v>
      </c>
      <c r="R29" s="239">
        <f t="shared" si="4"/>
        <v>7950000000</v>
      </c>
      <c r="S29" s="239">
        <f t="shared" si="4"/>
        <v>7950000000</v>
      </c>
      <c r="T29" s="239">
        <f t="shared" si="4"/>
        <v>7611538461.5384617</v>
      </c>
    </row>
    <row r="30" spans="1:20">
      <c r="A30" s="18"/>
      <c r="C30" s="219"/>
      <c r="D30" s="18"/>
      <c r="E30" s="18"/>
      <c r="F30" s="18"/>
      <c r="G30" s="18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</row>
    <row r="31" spans="1:20">
      <c r="A31" s="18"/>
      <c r="B31" s="18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</row>
    <row r="32" spans="1:20">
      <c r="A32" s="18"/>
      <c r="B32" s="18"/>
      <c r="C32" s="206" t="s">
        <v>659</v>
      </c>
      <c r="D32" s="18"/>
      <c r="E32" s="18"/>
      <c r="F32" s="18"/>
      <c r="G32" s="18"/>
      <c r="T32" s="214"/>
    </row>
    <row r="33" spans="1:21">
      <c r="A33" s="18">
        <f>A29+1</f>
        <v>17</v>
      </c>
      <c r="B33" s="18">
        <v>221017</v>
      </c>
      <c r="C33" s="16" t="s">
        <v>660</v>
      </c>
      <c r="D33" s="227">
        <v>42614</v>
      </c>
      <c r="E33" s="227">
        <v>49919</v>
      </c>
      <c r="F33" s="18" t="s">
        <v>661</v>
      </c>
      <c r="G33" s="214">
        <v>33400000</v>
      </c>
      <c r="H33" s="214">
        <v>33400000</v>
      </c>
      <c r="I33" s="214">
        <v>33400000</v>
      </c>
      <c r="J33" s="214">
        <v>33400000</v>
      </c>
      <c r="K33" s="214">
        <v>33400000</v>
      </c>
      <c r="L33" s="214">
        <v>33400000</v>
      </c>
      <c r="M33" s="214">
        <v>33400000</v>
      </c>
      <c r="N33" s="214">
        <v>33400000</v>
      </c>
      <c r="O33" s="214">
        <v>33400000</v>
      </c>
      <c r="P33" s="214">
        <v>33400000</v>
      </c>
      <c r="Q33" s="214">
        <v>33400000</v>
      </c>
      <c r="R33" s="214">
        <v>33400000</v>
      </c>
      <c r="S33" s="214">
        <v>33400000</v>
      </c>
      <c r="T33" s="214">
        <f>(SUM(G33:S33)/13)</f>
        <v>33400000</v>
      </c>
      <c r="U33" s="35"/>
    </row>
    <row r="34" spans="1:21">
      <c r="A34" s="18">
        <f t="shared" ref="A34:A37" si="5">A33+1</f>
        <v>18</v>
      </c>
      <c r="B34" s="18">
        <v>221019</v>
      </c>
      <c r="C34" s="16" t="s">
        <v>662</v>
      </c>
      <c r="D34" s="232">
        <v>42705</v>
      </c>
      <c r="E34" s="232">
        <v>53662</v>
      </c>
      <c r="F34" s="207" t="s">
        <v>661</v>
      </c>
      <c r="G34" s="214">
        <v>30000000</v>
      </c>
      <c r="H34" s="214">
        <v>30000000</v>
      </c>
      <c r="I34" s="214">
        <v>30000000</v>
      </c>
      <c r="J34" s="214">
        <v>30000000</v>
      </c>
      <c r="K34" s="214">
        <v>30000000</v>
      </c>
      <c r="L34" s="214">
        <v>30000000</v>
      </c>
      <c r="M34" s="214">
        <v>30000000</v>
      </c>
      <c r="N34" s="214">
        <v>30000000</v>
      </c>
      <c r="O34" s="214">
        <v>30000000</v>
      </c>
      <c r="P34" s="214">
        <v>30000000</v>
      </c>
      <c r="Q34" s="214">
        <v>30000000</v>
      </c>
      <c r="R34" s="214">
        <v>30000000</v>
      </c>
      <c r="S34" s="214">
        <v>30000000</v>
      </c>
      <c r="T34" s="214">
        <f t="shared" ref="T34:T36" si="6">(SUM(G34:S34)/13)</f>
        <v>30000000</v>
      </c>
    </row>
    <row r="35" spans="1:21">
      <c r="A35" s="18">
        <f t="shared" si="5"/>
        <v>19</v>
      </c>
      <c r="B35" s="18">
        <v>221020</v>
      </c>
      <c r="C35" s="16" t="s">
        <v>663</v>
      </c>
      <c r="D35" s="232" t="s">
        <v>664</v>
      </c>
      <c r="E35" s="232" t="s">
        <v>665</v>
      </c>
      <c r="F35" s="207" t="s">
        <v>661</v>
      </c>
      <c r="G35" s="214">
        <v>150000000</v>
      </c>
      <c r="H35" s="214">
        <v>150000000</v>
      </c>
      <c r="I35" s="214">
        <v>150000000</v>
      </c>
      <c r="J35" s="214">
        <v>150000000</v>
      </c>
      <c r="K35" s="214">
        <v>150000000</v>
      </c>
      <c r="L35" s="214">
        <v>150000000</v>
      </c>
      <c r="M35" s="214">
        <v>150000000</v>
      </c>
      <c r="N35" s="214">
        <v>150000000</v>
      </c>
      <c r="O35" s="214">
        <v>150000000</v>
      </c>
      <c r="P35" s="214">
        <v>150000000</v>
      </c>
      <c r="Q35" s="214">
        <v>150000000</v>
      </c>
      <c r="R35" s="214">
        <v>150000000</v>
      </c>
      <c r="S35" s="214">
        <v>150000000</v>
      </c>
      <c r="T35" s="214">
        <f t="shared" si="6"/>
        <v>150000000</v>
      </c>
    </row>
    <row r="36" spans="1:21">
      <c r="A36" s="18">
        <f t="shared" si="5"/>
        <v>20</v>
      </c>
      <c r="B36" s="18">
        <v>221076</v>
      </c>
      <c r="C36" s="16" t="s">
        <v>666</v>
      </c>
      <c r="D36" s="232">
        <v>39630</v>
      </c>
      <c r="E36" s="232" t="s">
        <v>667</v>
      </c>
      <c r="F36" s="207" t="s">
        <v>661</v>
      </c>
      <c r="G36" s="225">
        <v>45100000</v>
      </c>
      <c r="H36" s="225">
        <v>45100000</v>
      </c>
      <c r="I36" s="225">
        <v>45100000</v>
      </c>
      <c r="J36" s="225">
        <v>45100000</v>
      </c>
      <c r="K36" s="225">
        <v>45100000</v>
      </c>
      <c r="L36" s="225">
        <v>45100000</v>
      </c>
      <c r="M36" s="225">
        <v>45100000</v>
      </c>
      <c r="N36" s="225">
        <v>45100000</v>
      </c>
      <c r="O36" s="225">
        <v>45100000</v>
      </c>
      <c r="P36" s="225">
        <v>45100000</v>
      </c>
      <c r="Q36" s="225">
        <v>45100000</v>
      </c>
      <c r="R36" s="225">
        <v>45100000</v>
      </c>
      <c r="S36" s="225">
        <v>45100000</v>
      </c>
      <c r="T36" s="225">
        <f t="shared" si="6"/>
        <v>45100000</v>
      </c>
    </row>
    <row r="37" spans="1:21">
      <c r="A37" s="18">
        <f t="shared" si="5"/>
        <v>21</v>
      </c>
      <c r="C37" s="16" t="s">
        <v>668</v>
      </c>
      <c r="D37" s="38"/>
      <c r="E37" s="38"/>
      <c r="G37" s="214">
        <f t="shared" ref="G37:T37" si="7">SUM(G33:G36)</f>
        <v>258500000</v>
      </c>
      <c r="H37" s="214">
        <f t="shared" si="7"/>
        <v>258500000</v>
      </c>
      <c r="I37" s="214">
        <f t="shared" si="7"/>
        <v>258500000</v>
      </c>
      <c r="J37" s="214">
        <f t="shared" si="7"/>
        <v>258500000</v>
      </c>
      <c r="K37" s="214">
        <f t="shared" si="7"/>
        <v>258500000</v>
      </c>
      <c r="L37" s="214">
        <f t="shared" si="7"/>
        <v>258500000</v>
      </c>
      <c r="M37" s="214">
        <f t="shared" si="7"/>
        <v>258500000</v>
      </c>
      <c r="N37" s="214">
        <f t="shared" si="7"/>
        <v>258500000</v>
      </c>
      <c r="O37" s="214">
        <f t="shared" si="7"/>
        <v>258500000</v>
      </c>
      <c r="P37" s="214">
        <f t="shared" si="7"/>
        <v>258500000</v>
      </c>
      <c r="Q37" s="214">
        <f t="shared" si="7"/>
        <v>258500000</v>
      </c>
      <c r="R37" s="214">
        <f t="shared" si="7"/>
        <v>258500000</v>
      </c>
      <c r="S37" s="214">
        <f t="shared" si="7"/>
        <v>258500000</v>
      </c>
      <c r="T37" s="214">
        <f t="shared" si="7"/>
        <v>258500000</v>
      </c>
    </row>
    <row r="38" spans="1:21">
      <c r="T38" s="214"/>
    </row>
    <row r="39" spans="1:21">
      <c r="T39" s="214"/>
    </row>
    <row r="40" spans="1:21">
      <c r="C40" s="206" t="s">
        <v>669</v>
      </c>
      <c r="D40" s="18"/>
      <c r="E40" s="18"/>
      <c r="F40" s="18"/>
      <c r="G40" s="18"/>
      <c r="T40" s="214"/>
    </row>
    <row r="41" spans="1:21">
      <c r="A41" s="18">
        <f>A37+1</f>
        <v>22</v>
      </c>
      <c r="B41" s="18">
        <v>224050</v>
      </c>
      <c r="C41" s="16" t="s">
        <v>670</v>
      </c>
      <c r="D41" s="227">
        <v>44562</v>
      </c>
      <c r="E41" s="227">
        <v>51836</v>
      </c>
      <c r="F41" s="207">
        <v>7.1309999999999998E-2</v>
      </c>
      <c r="G41" s="214">
        <v>5568180</v>
      </c>
      <c r="H41" s="214">
        <v>5540885</v>
      </c>
      <c r="I41" s="214">
        <v>5513590</v>
      </c>
      <c r="J41" s="214">
        <v>5486295</v>
      </c>
      <c r="K41" s="214">
        <v>5459000</v>
      </c>
      <c r="L41" s="214">
        <v>5431705</v>
      </c>
      <c r="M41" s="214">
        <v>5404410</v>
      </c>
      <c r="N41" s="214">
        <v>5424001</v>
      </c>
      <c r="O41" s="214">
        <v>5396468</v>
      </c>
      <c r="P41" s="214">
        <v>5396468</v>
      </c>
      <c r="Q41" s="214">
        <v>5341402</v>
      </c>
      <c r="R41" s="214">
        <v>5313869</v>
      </c>
      <c r="S41" s="214">
        <v>5286336</v>
      </c>
      <c r="T41" s="214">
        <f>(SUM(G41:S41)/13)</f>
        <v>5427893</v>
      </c>
    </row>
    <row r="42" spans="1:21">
      <c r="A42" s="18">
        <f>A41+1</f>
        <v>23</v>
      </c>
      <c r="B42" s="18">
        <v>224051</v>
      </c>
      <c r="C42" s="16" t="s">
        <v>671</v>
      </c>
      <c r="D42" s="227">
        <v>44743</v>
      </c>
      <c r="E42" s="227">
        <v>52018</v>
      </c>
      <c r="F42" s="233">
        <v>7.8399999999999997E-2</v>
      </c>
      <c r="G42" s="214">
        <v>6879634</v>
      </c>
      <c r="H42" s="214">
        <v>6847259</v>
      </c>
      <c r="I42" s="214">
        <v>6814884</v>
      </c>
      <c r="J42" s="214">
        <v>6782509</v>
      </c>
      <c r="K42" s="214">
        <v>6750134</v>
      </c>
      <c r="L42" s="214">
        <v>6717759</v>
      </c>
      <c r="M42" s="214">
        <v>6685384</v>
      </c>
      <c r="N42" s="214">
        <v>9448474</v>
      </c>
      <c r="O42" s="214">
        <v>9402496</v>
      </c>
      <c r="P42" s="214">
        <v>9356518</v>
      </c>
      <c r="Q42" s="214">
        <v>9310540</v>
      </c>
      <c r="R42" s="214">
        <v>9264562</v>
      </c>
      <c r="S42" s="214">
        <v>9218584</v>
      </c>
      <c r="T42" s="214">
        <f t="shared" ref="T42:T52" si="8">(SUM(G42:S42)/13)</f>
        <v>7959902.846153846</v>
      </c>
    </row>
    <row r="43" spans="1:21">
      <c r="A43" s="18">
        <f t="shared" ref="A43:A48" si="9">A42+1</f>
        <v>24</v>
      </c>
      <c r="B43" s="18">
        <v>224052</v>
      </c>
      <c r="C43" s="16" t="s">
        <v>672</v>
      </c>
      <c r="D43" s="227">
        <v>44805</v>
      </c>
      <c r="E43" s="227">
        <v>52079</v>
      </c>
      <c r="F43" s="233">
        <v>7.8409999999999994E-2</v>
      </c>
      <c r="G43" s="214">
        <v>826588</v>
      </c>
      <c r="H43" s="214">
        <v>822689</v>
      </c>
      <c r="I43" s="214">
        <v>818790</v>
      </c>
      <c r="J43" s="214">
        <v>814891</v>
      </c>
      <c r="K43" s="214">
        <v>810992</v>
      </c>
      <c r="L43" s="214">
        <v>807093</v>
      </c>
      <c r="M43" s="214">
        <v>803194</v>
      </c>
      <c r="N43" s="214">
        <v>794785</v>
      </c>
      <c r="O43" s="214">
        <v>790908</v>
      </c>
      <c r="P43" s="214">
        <v>787031</v>
      </c>
      <c r="Q43" s="214">
        <v>783154</v>
      </c>
      <c r="R43" s="214">
        <v>779277</v>
      </c>
      <c r="S43" s="214">
        <v>775400</v>
      </c>
      <c r="T43" s="214">
        <f t="shared" si="8"/>
        <v>801137.84615384613</v>
      </c>
    </row>
    <row r="44" spans="1:21">
      <c r="A44" s="18">
        <f t="shared" si="9"/>
        <v>25</v>
      </c>
      <c r="B44" s="18">
        <v>224053</v>
      </c>
      <c r="C44" s="16" t="s">
        <v>673</v>
      </c>
      <c r="D44" s="227">
        <v>45078</v>
      </c>
      <c r="E44" s="227">
        <v>52352</v>
      </c>
      <c r="F44" s="233">
        <v>7.8380000000000005E-2</v>
      </c>
      <c r="G44" s="214">
        <v>23658082</v>
      </c>
      <c r="H44" s="214">
        <v>23551448</v>
      </c>
      <c r="I44" s="214">
        <v>23444814</v>
      </c>
      <c r="J44" s="214">
        <v>23338180</v>
      </c>
      <c r="K44" s="214">
        <v>23231546</v>
      </c>
      <c r="L44" s="214">
        <v>23124912</v>
      </c>
      <c r="M44" s="214">
        <v>23018278</v>
      </c>
      <c r="N44" s="214">
        <v>22781652</v>
      </c>
      <c r="O44" s="214">
        <v>22675623</v>
      </c>
      <c r="P44" s="214">
        <v>22569594</v>
      </c>
      <c r="Q44" s="214">
        <v>22463565</v>
      </c>
      <c r="R44" s="214">
        <v>22357536</v>
      </c>
      <c r="S44" s="214">
        <v>22251507</v>
      </c>
      <c r="T44" s="214">
        <f t="shared" si="8"/>
        <v>22958979.769230768</v>
      </c>
    </row>
    <row r="45" spans="1:21">
      <c r="A45" s="18">
        <f t="shared" si="9"/>
        <v>26</v>
      </c>
      <c r="B45" s="18">
        <v>224065</v>
      </c>
      <c r="C45" s="16" t="s">
        <v>674</v>
      </c>
      <c r="D45" s="232">
        <v>37295</v>
      </c>
      <c r="E45" s="232">
        <v>48212</v>
      </c>
      <c r="F45" s="207">
        <v>6.7500000000000004E-2</v>
      </c>
      <c r="G45" s="214">
        <v>400000000</v>
      </c>
      <c r="H45" s="214">
        <v>400000000</v>
      </c>
      <c r="I45" s="214">
        <v>400000000</v>
      </c>
      <c r="J45" s="214">
        <v>400000000</v>
      </c>
      <c r="K45" s="214">
        <v>400000000</v>
      </c>
      <c r="L45" s="214">
        <v>400000000</v>
      </c>
      <c r="M45" s="214">
        <v>400000000</v>
      </c>
      <c r="N45" s="214">
        <v>400000000</v>
      </c>
      <c r="O45" s="214">
        <v>400000000</v>
      </c>
      <c r="P45" s="214">
        <v>400000000</v>
      </c>
      <c r="Q45" s="214">
        <v>400000000</v>
      </c>
      <c r="R45" s="214">
        <v>400000000</v>
      </c>
      <c r="S45" s="214">
        <v>400000000</v>
      </c>
      <c r="T45" s="214">
        <f t="shared" si="8"/>
        <v>400000000</v>
      </c>
    </row>
    <row r="46" spans="1:21">
      <c r="A46" s="18">
        <f t="shared" si="9"/>
        <v>27</v>
      </c>
      <c r="B46" s="18">
        <v>224069</v>
      </c>
      <c r="C46" s="16" t="s">
        <v>675</v>
      </c>
      <c r="D46" s="232">
        <v>38657</v>
      </c>
      <c r="E46" s="232">
        <v>49614</v>
      </c>
      <c r="F46" s="207">
        <v>5.7500000000000002E-2</v>
      </c>
      <c r="G46" s="214">
        <v>300000000</v>
      </c>
      <c r="H46" s="214">
        <v>300000000</v>
      </c>
      <c r="I46" s="214">
        <v>300000000</v>
      </c>
      <c r="J46" s="214">
        <v>300000000</v>
      </c>
      <c r="K46" s="214">
        <v>300000000</v>
      </c>
      <c r="L46" s="214">
        <v>300000000</v>
      </c>
      <c r="M46" s="214">
        <v>300000000</v>
      </c>
      <c r="N46" s="214">
        <v>300000000</v>
      </c>
      <c r="O46" s="214">
        <v>300000000</v>
      </c>
      <c r="P46" s="214">
        <v>300000000</v>
      </c>
      <c r="Q46" s="214">
        <v>300000000</v>
      </c>
      <c r="R46" s="214">
        <v>300000000</v>
      </c>
      <c r="S46" s="214">
        <v>300000000</v>
      </c>
      <c r="T46" s="214">
        <f t="shared" si="8"/>
        <v>300000000</v>
      </c>
    </row>
    <row r="47" spans="1:21">
      <c r="A47" s="18">
        <f t="shared" si="9"/>
        <v>28</v>
      </c>
      <c r="B47" s="18">
        <v>224072</v>
      </c>
      <c r="C47" s="16" t="s">
        <v>676</v>
      </c>
      <c r="D47" s="232">
        <v>38996</v>
      </c>
      <c r="E47" s="232">
        <v>49963</v>
      </c>
      <c r="F47" s="207">
        <v>5.8000000000000003E-2</v>
      </c>
      <c r="G47" s="214">
        <v>350000000</v>
      </c>
      <c r="H47" s="214">
        <v>350000000</v>
      </c>
      <c r="I47" s="214">
        <v>350000000</v>
      </c>
      <c r="J47" s="214">
        <v>350000000</v>
      </c>
      <c r="K47" s="214">
        <v>350000000</v>
      </c>
      <c r="L47" s="214">
        <v>350000000</v>
      </c>
      <c r="M47" s="214">
        <v>350000000</v>
      </c>
      <c r="N47" s="214">
        <v>350000000</v>
      </c>
      <c r="O47" s="214">
        <v>350000000</v>
      </c>
      <c r="P47" s="214">
        <v>350000000</v>
      </c>
      <c r="Q47" s="214">
        <v>350000000</v>
      </c>
      <c r="R47" s="214">
        <v>350000000</v>
      </c>
      <c r="S47" s="214">
        <v>350000000</v>
      </c>
      <c r="T47" s="214">
        <f t="shared" si="8"/>
        <v>350000000</v>
      </c>
    </row>
    <row r="48" spans="1:21">
      <c r="A48" s="18">
        <f t="shared" si="9"/>
        <v>29</v>
      </c>
      <c r="B48" s="18">
        <v>224075</v>
      </c>
      <c r="C48" s="16" t="s">
        <v>677</v>
      </c>
      <c r="D48" s="232">
        <v>44454</v>
      </c>
      <c r="E48" s="232">
        <v>50284</v>
      </c>
      <c r="F48" s="207">
        <v>7.8280000000000002E-2</v>
      </c>
      <c r="G48" s="214">
        <v>6410088</v>
      </c>
      <c r="H48" s="214">
        <v>6368192</v>
      </c>
      <c r="I48" s="214">
        <v>6326296</v>
      </c>
      <c r="J48" s="214">
        <v>6284400</v>
      </c>
      <c r="K48" s="214">
        <v>6242504</v>
      </c>
      <c r="L48" s="214">
        <v>6200608</v>
      </c>
      <c r="M48" s="214">
        <v>6158712</v>
      </c>
      <c r="N48" s="214">
        <v>6081049</v>
      </c>
      <c r="O48" s="214">
        <v>6039395</v>
      </c>
      <c r="P48" s="214">
        <v>5997744</v>
      </c>
      <c r="Q48" s="214">
        <v>5956093</v>
      </c>
      <c r="R48" s="214">
        <v>5914442</v>
      </c>
      <c r="S48" s="214">
        <v>5872791</v>
      </c>
      <c r="T48" s="214">
        <f t="shared" si="8"/>
        <v>6142485.692307692</v>
      </c>
    </row>
    <row r="49" spans="1:22">
      <c r="A49" s="18">
        <f t="shared" ref="A49:A53" si="10">A48+1</f>
        <v>30</v>
      </c>
      <c r="B49" s="18">
        <v>224076</v>
      </c>
      <c r="C49" s="16" t="s">
        <v>678</v>
      </c>
      <c r="D49" s="232">
        <v>44270</v>
      </c>
      <c r="E49" s="232">
        <v>51592</v>
      </c>
      <c r="F49" s="207">
        <v>7.7590000000000006E-2</v>
      </c>
      <c r="G49" s="214">
        <v>17699388</v>
      </c>
      <c r="H49" s="214">
        <v>17609085</v>
      </c>
      <c r="I49" s="214">
        <v>17518782</v>
      </c>
      <c r="J49" s="214">
        <v>17428479</v>
      </c>
      <c r="K49" s="214">
        <v>17338176</v>
      </c>
      <c r="L49" s="214">
        <v>17247873</v>
      </c>
      <c r="M49" s="214">
        <v>17157570</v>
      </c>
      <c r="N49" s="214">
        <v>16970688</v>
      </c>
      <c r="O49" s="214">
        <v>16880896</v>
      </c>
      <c r="P49" s="214">
        <v>16791104</v>
      </c>
      <c r="Q49" s="214">
        <v>16701312</v>
      </c>
      <c r="R49" s="214">
        <v>16611520</v>
      </c>
      <c r="S49" s="214">
        <v>16521728</v>
      </c>
      <c r="T49" s="214">
        <f t="shared" si="8"/>
        <v>17113584.692307692</v>
      </c>
    </row>
    <row r="50" spans="1:22">
      <c r="A50" s="18">
        <f t="shared" si="10"/>
        <v>31</v>
      </c>
      <c r="B50" s="18">
        <v>224077</v>
      </c>
      <c r="C50" s="16" t="s">
        <v>679</v>
      </c>
      <c r="D50" s="232">
        <v>43983</v>
      </c>
      <c r="E50" s="232">
        <v>51288</v>
      </c>
      <c r="F50" s="207">
        <v>7.7270000000000005E-2</v>
      </c>
      <c r="G50" s="214">
        <v>124806</v>
      </c>
      <c r="H50" s="214">
        <v>124135</v>
      </c>
      <c r="I50" s="214">
        <v>123464</v>
      </c>
      <c r="J50" s="214">
        <v>122793</v>
      </c>
      <c r="K50" s="214">
        <v>122122</v>
      </c>
      <c r="L50" s="214">
        <v>121451</v>
      </c>
      <c r="M50" s="214">
        <v>120780</v>
      </c>
      <c r="N50" s="214">
        <v>119572</v>
      </c>
      <c r="O50" s="214">
        <v>118904</v>
      </c>
      <c r="P50" s="214">
        <v>118236</v>
      </c>
      <c r="Q50" s="214">
        <v>117568</v>
      </c>
      <c r="R50" s="214">
        <v>116900</v>
      </c>
      <c r="S50" s="214">
        <v>116232</v>
      </c>
      <c r="T50" s="214">
        <f t="shared" si="8"/>
        <v>120535.61538461539</v>
      </c>
      <c r="V50" s="247"/>
    </row>
    <row r="51" spans="1:22">
      <c r="A51" s="18">
        <f t="shared" si="10"/>
        <v>32</v>
      </c>
      <c r="B51" s="18">
        <v>224084</v>
      </c>
      <c r="C51" s="16" t="s">
        <v>680</v>
      </c>
      <c r="D51" s="232">
        <v>42036</v>
      </c>
      <c r="E51" s="232">
        <v>49980</v>
      </c>
      <c r="F51" s="207">
        <v>4.2849999999999999E-2</v>
      </c>
      <c r="G51" s="214">
        <v>2117006</v>
      </c>
      <c r="H51" s="214">
        <v>2100142</v>
      </c>
      <c r="I51" s="214">
        <v>2083278</v>
      </c>
      <c r="J51" s="214">
        <v>2066414</v>
      </c>
      <c r="K51" s="214">
        <v>2049550</v>
      </c>
      <c r="L51" s="214">
        <v>2032686</v>
      </c>
      <c r="M51" s="214">
        <v>2015822</v>
      </c>
      <c r="N51" s="214">
        <v>1988178</v>
      </c>
      <c r="O51" s="214">
        <v>1971405</v>
      </c>
      <c r="P51" s="214">
        <v>1954632</v>
      </c>
      <c r="Q51" s="214">
        <v>1937859</v>
      </c>
      <c r="R51" s="214">
        <v>1921086</v>
      </c>
      <c r="S51" s="214">
        <v>1904313</v>
      </c>
      <c r="T51" s="214">
        <f t="shared" si="8"/>
        <v>2010951.6153846155</v>
      </c>
      <c r="V51" s="247"/>
    </row>
    <row r="52" spans="1:22">
      <c r="A52" s="18">
        <f t="shared" si="10"/>
        <v>33</v>
      </c>
      <c r="B52" s="18">
        <v>224086</v>
      </c>
      <c r="C52" s="16" t="s">
        <v>681</v>
      </c>
      <c r="D52" s="232">
        <v>42660</v>
      </c>
      <c r="E52" s="232">
        <v>49949</v>
      </c>
      <c r="F52" s="207">
        <v>3.2410000000000001E-2</v>
      </c>
      <c r="G52" s="225">
        <v>1681706</v>
      </c>
      <c r="H52" s="225">
        <v>1669863</v>
      </c>
      <c r="I52" s="225">
        <v>1658020</v>
      </c>
      <c r="J52" s="225">
        <v>1646177</v>
      </c>
      <c r="K52" s="225">
        <v>1634334</v>
      </c>
      <c r="L52" s="225">
        <v>1622491</v>
      </c>
      <c r="M52" s="225">
        <v>1610648</v>
      </c>
      <c r="N52" s="225">
        <v>1590165.01</v>
      </c>
      <c r="O52" s="225">
        <v>1578386.01</v>
      </c>
      <c r="P52" s="225">
        <v>1566607.01</v>
      </c>
      <c r="Q52" s="225">
        <v>1554828.01</v>
      </c>
      <c r="R52" s="225">
        <v>1543049.01</v>
      </c>
      <c r="S52" s="225">
        <v>1531270.01</v>
      </c>
      <c r="T52" s="225">
        <f t="shared" si="8"/>
        <v>1606734.1584615386</v>
      </c>
      <c r="V52" s="247"/>
    </row>
    <row r="53" spans="1:22">
      <c r="A53" s="18">
        <f t="shared" si="10"/>
        <v>34</v>
      </c>
      <c r="B53" s="18"/>
      <c r="C53" s="16" t="s">
        <v>682</v>
      </c>
      <c r="F53" s="236"/>
      <c r="G53" s="214">
        <f t="shared" ref="G53:T53" si="11">SUM(G41:G52)</f>
        <v>1114965478</v>
      </c>
      <c r="H53" s="214">
        <f t="shared" si="11"/>
        <v>1114633698</v>
      </c>
      <c r="I53" s="214">
        <f t="shared" si="11"/>
        <v>1114301918</v>
      </c>
      <c r="J53" s="214">
        <f t="shared" si="11"/>
        <v>1113970138</v>
      </c>
      <c r="K53" s="214">
        <f t="shared" si="11"/>
        <v>1113638358</v>
      </c>
      <c r="L53" s="214">
        <f t="shared" si="11"/>
        <v>1113306578</v>
      </c>
      <c r="M53" s="214">
        <f t="shared" si="11"/>
        <v>1112974798</v>
      </c>
      <c r="N53" s="214">
        <f t="shared" si="11"/>
        <v>1115198564.01</v>
      </c>
      <c r="O53" s="214">
        <f t="shared" si="11"/>
        <v>1114854481.01</v>
      </c>
      <c r="P53" s="214">
        <f t="shared" si="11"/>
        <v>1114537934.01</v>
      </c>
      <c r="Q53" s="214">
        <f t="shared" si="11"/>
        <v>1114166321.01</v>
      </c>
      <c r="R53" s="214">
        <f t="shared" si="11"/>
        <v>1113822241.01</v>
      </c>
      <c r="S53" s="214">
        <f t="shared" si="11"/>
        <v>1113478161.01</v>
      </c>
      <c r="T53" s="214">
        <f t="shared" si="11"/>
        <v>1114142205.2353845</v>
      </c>
    </row>
    <row r="54" spans="1:22">
      <c r="A54" s="18"/>
      <c r="B54" s="18"/>
      <c r="F54" s="236"/>
      <c r="G54" s="236"/>
      <c r="T54" s="214"/>
    </row>
    <row r="55" spans="1:22">
      <c r="A55" s="18"/>
      <c r="B55" s="18"/>
      <c r="F55" s="236"/>
      <c r="G55" s="236"/>
      <c r="T55" s="214"/>
    </row>
    <row r="56" spans="1:22">
      <c r="A56" s="18"/>
      <c r="C56" s="206" t="s">
        <v>683</v>
      </c>
      <c r="F56" s="236"/>
      <c r="G56" s="236"/>
      <c r="T56" s="214"/>
    </row>
    <row r="57" spans="1:22">
      <c r="A57" s="18">
        <f>A53+1</f>
        <v>35</v>
      </c>
      <c r="B57" s="18">
        <v>221016</v>
      </c>
      <c r="C57" s="219" t="s">
        <v>684</v>
      </c>
      <c r="D57" s="232" t="s">
        <v>685</v>
      </c>
      <c r="E57" s="232" t="s">
        <v>686</v>
      </c>
      <c r="F57" s="18" t="s">
        <v>661</v>
      </c>
      <c r="G57" s="214">
        <v>12750000</v>
      </c>
      <c r="H57" s="214">
        <v>0</v>
      </c>
      <c r="I57" s="214">
        <v>0</v>
      </c>
      <c r="J57" s="214">
        <v>0</v>
      </c>
      <c r="K57" s="214">
        <v>0</v>
      </c>
      <c r="L57" s="214">
        <v>0</v>
      </c>
      <c r="M57" s="214">
        <v>0</v>
      </c>
      <c r="N57" s="214">
        <v>0</v>
      </c>
      <c r="O57" s="214">
        <v>0</v>
      </c>
      <c r="P57" s="214">
        <v>0</v>
      </c>
      <c r="Q57" s="214">
        <v>0</v>
      </c>
      <c r="R57" s="214">
        <v>0</v>
      </c>
      <c r="S57" s="214">
        <v>0</v>
      </c>
      <c r="T57" s="214">
        <f t="shared" ref="T57" si="12">(SUM(G57:S57)/13)</f>
        <v>980769.23076923075</v>
      </c>
    </row>
    <row r="58" spans="1:22">
      <c r="A58" s="18">
        <f>A57+1</f>
        <v>36</v>
      </c>
      <c r="C58" s="16" t="s">
        <v>687</v>
      </c>
      <c r="F58" s="236"/>
      <c r="G58" s="241">
        <v>12750000</v>
      </c>
      <c r="H58" s="241">
        <v>0</v>
      </c>
      <c r="I58" s="241">
        <v>0</v>
      </c>
      <c r="J58" s="241">
        <v>0</v>
      </c>
      <c r="K58" s="241">
        <v>0</v>
      </c>
      <c r="L58" s="241">
        <v>0</v>
      </c>
      <c r="M58" s="241">
        <v>0</v>
      </c>
      <c r="N58" s="241">
        <v>0</v>
      </c>
      <c r="O58" s="241">
        <v>0</v>
      </c>
      <c r="P58" s="241">
        <v>0</v>
      </c>
      <c r="Q58" s="241">
        <v>0</v>
      </c>
      <c r="R58" s="241">
        <v>0</v>
      </c>
      <c r="S58" s="241">
        <f>SUM(S55:S57)</f>
        <v>0</v>
      </c>
      <c r="T58" s="241">
        <f>SUM(T55:T57)</f>
        <v>980769.23076923075</v>
      </c>
    </row>
    <row r="59" spans="1:22">
      <c r="A59" s="18"/>
      <c r="C59" s="206"/>
      <c r="F59" s="236"/>
      <c r="G59" s="236"/>
      <c r="H59" s="214"/>
      <c r="I59" s="214"/>
      <c r="J59" s="214"/>
      <c r="K59" s="214"/>
      <c r="L59" s="214"/>
      <c r="M59" s="214"/>
      <c r="N59" s="214"/>
      <c r="O59" s="214"/>
      <c r="P59" s="214"/>
      <c r="Q59" s="214"/>
      <c r="R59" s="214"/>
      <c r="S59" s="214"/>
      <c r="T59" s="214"/>
    </row>
    <row r="60" spans="1:22">
      <c r="A60" s="18"/>
      <c r="H60" s="214"/>
      <c r="I60" s="214"/>
      <c r="J60" s="214"/>
      <c r="K60" s="214"/>
      <c r="L60" s="214"/>
      <c r="M60" s="214"/>
      <c r="N60" s="214"/>
      <c r="O60" s="214"/>
      <c r="P60" s="214"/>
      <c r="Q60" s="214"/>
      <c r="R60" s="214"/>
      <c r="S60" s="214"/>
      <c r="T60" s="214"/>
    </row>
    <row r="61" spans="1:22">
      <c r="A61" s="18">
        <f>A58+1</f>
        <v>37</v>
      </c>
      <c r="C61" s="16" t="s">
        <v>688</v>
      </c>
      <c r="H61" s="214">
        <f t="shared" ref="H61:T61" si="13">H29+H37+H53+H58</f>
        <v>8923133698</v>
      </c>
      <c r="I61" s="214">
        <f t="shared" si="13"/>
        <v>8922801918</v>
      </c>
      <c r="J61" s="214">
        <f t="shared" si="13"/>
        <v>8922470138</v>
      </c>
      <c r="K61" s="214">
        <f t="shared" si="13"/>
        <v>8922138358</v>
      </c>
      <c r="L61" s="214">
        <f t="shared" si="13"/>
        <v>8921806578</v>
      </c>
      <c r="M61" s="214">
        <f t="shared" si="13"/>
        <v>8921474798</v>
      </c>
      <c r="N61" s="214">
        <f t="shared" si="13"/>
        <v>8923698564.0100002</v>
      </c>
      <c r="O61" s="214">
        <f t="shared" si="13"/>
        <v>8923354481.0100002</v>
      </c>
      <c r="P61" s="214">
        <f t="shared" si="13"/>
        <v>8923037934.0100002</v>
      </c>
      <c r="Q61" s="214">
        <f t="shared" si="13"/>
        <v>8922666321.0100002</v>
      </c>
      <c r="R61" s="214">
        <f t="shared" si="13"/>
        <v>9322322241.0100002</v>
      </c>
      <c r="S61" s="214">
        <f t="shared" si="13"/>
        <v>9321978161.0100002</v>
      </c>
      <c r="T61" s="214">
        <f t="shared" si="13"/>
        <v>8985161436.0046158</v>
      </c>
    </row>
    <row r="63" spans="1:22">
      <c r="B63" s="219" t="s">
        <v>689</v>
      </c>
      <c r="T63" s="218"/>
    </row>
    <row r="64" spans="1:22">
      <c r="T64" s="214"/>
    </row>
    <row r="65" spans="20:20">
      <c r="T65" s="214" t="s">
        <v>232</v>
      </c>
    </row>
    <row r="67" spans="20:20">
      <c r="T67" s="16" t="s">
        <v>232</v>
      </c>
    </row>
  </sheetData>
  <mergeCells count="6">
    <mergeCell ref="A6:T6"/>
    <mergeCell ref="A5:T5"/>
    <mergeCell ref="A1:T1"/>
    <mergeCell ref="A2:T2"/>
    <mergeCell ref="A3:T3"/>
    <mergeCell ref="A4:T4"/>
  </mergeCells>
  <conditionalFormatting sqref="C14:C28">
    <cfRule type="duplicateValues" dxfId="6" priority="5"/>
  </conditionalFormatting>
  <conditionalFormatting sqref="C33:C36">
    <cfRule type="duplicateValues" dxfId="5" priority="4"/>
  </conditionalFormatting>
  <conditionalFormatting sqref="C41:C52">
    <cfRule type="duplicateValues" dxfId="4" priority="3"/>
  </conditionalFormatting>
  <conditionalFormatting sqref="C57">
    <cfRule type="duplicateValues" dxfId="3" priority="2"/>
  </conditionalFormatting>
  <conditionalFormatting sqref="C58">
    <cfRule type="duplicateValues" dxfId="2" priority="1"/>
  </conditionalFormatting>
  <pageMargins left="0.25" right="0.25" top="0.75" bottom="0.5" header="0.25" footer="0.25"/>
  <pageSetup scale="40" orientation="landscape" r:id="rId1"/>
  <headerFooter alignWithMargins="0">
    <oddHeader>&amp;RGroen Direct Exhibit 1.1, Schedule 26
Page 2 of 13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X22"/>
  <sheetViews>
    <sheetView view="pageLayout" topLeftCell="A2" zoomScaleNormal="75" workbookViewId="0">
      <selection activeCell="F17" sqref="F17"/>
    </sheetView>
  </sheetViews>
  <sheetFormatPr defaultColWidth="9.140625" defaultRowHeight="15.75"/>
  <cols>
    <col min="1" max="1" width="5.140625" style="16" customWidth="1"/>
    <col min="2" max="2" width="9.42578125" style="16" customWidth="1"/>
    <col min="3" max="3" width="32.42578125" style="16" customWidth="1"/>
    <col min="4" max="4" width="9.28515625" style="16" bestFit="1" customWidth="1"/>
    <col min="5" max="5" width="10.42578125" style="16" bestFit="1" customWidth="1"/>
    <col min="6" max="6" width="12" style="16" customWidth="1"/>
    <col min="7" max="7" width="13.140625" style="16" bestFit="1" customWidth="1"/>
    <col min="8" max="8" width="15.7109375" style="16" bestFit="1" customWidth="1"/>
    <col min="9" max="9" width="15.140625" style="16" bestFit="1" customWidth="1"/>
    <col min="10" max="10" width="14.42578125" style="16" customWidth="1"/>
    <col min="11" max="11" width="15.140625" style="16" bestFit="1" customWidth="1"/>
    <col min="12" max="20" width="13.140625" style="16" customWidth="1"/>
    <col min="21" max="21" width="9.140625" style="16"/>
    <col min="22" max="22" width="10.28515625" style="16" customWidth="1"/>
    <col min="23" max="16384" width="9.140625" style="16"/>
  </cols>
  <sheetData>
    <row r="1" spans="1:24">
      <c r="A1" s="287" t="s">
        <v>787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</row>
    <row r="2" spans="1:24">
      <c r="A2" s="287" t="s">
        <v>791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</row>
    <row r="3" spans="1:24">
      <c r="A3" s="287" t="s">
        <v>792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  <c r="P3" s="287"/>
      <c r="Q3" s="287"/>
      <c r="R3" s="287"/>
      <c r="S3" s="287"/>
      <c r="T3" s="287"/>
    </row>
    <row r="4" spans="1:24">
      <c r="A4" s="287" t="s">
        <v>690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  <c r="R4" s="287"/>
      <c r="S4" s="287"/>
      <c r="T4" s="287"/>
    </row>
    <row r="5" spans="1:24">
      <c r="A5" s="305" t="str">
        <f>'Sch 25 - WACC'!A5</f>
        <v>FOR THE YEAR ENDING DECEMBER 31, 2025</v>
      </c>
      <c r="B5" s="305"/>
      <c r="C5" s="305"/>
      <c r="D5" s="305"/>
      <c r="E5" s="305"/>
      <c r="F5" s="305"/>
      <c r="G5" s="305"/>
      <c r="H5" s="305"/>
      <c r="I5" s="305"/>
      <c r="J5" s="305"/>
      <c r="K5" s="305"/>
      <c r="L5" s="305"/>
      <c r="M5" s="305"/>
      <c r="N5" s="305"/>
      <c r="O5" s="305"/>
      <c r="P5" s="305"/>
      <c r="Q5" s="305"/>
      <c r="R5" s="305"/>
      <c r="S5" s="305"/>
      <c r="T5" s="305"/>
    </row>
    <row r="6" spans="1:24">
      <c r="A6" s="289" t="s">
        <v>793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  <c r="R6" s="289"/>
      <c r="S6" s="289"/>
      <c r="T6" s="289"/>
      <c r="U6" s="2"/>
      <c r="V6" s="2"/>
    </row>
    <row r="7" spans="1:24">
      <c r="A7" s="2"/>
      <c r="O7" s="18"/>
      <c r="P7" s="18"/>
      <c r="Q7" s="18"/>
      <c r="R7" s="18"/>
      <c r="S7" s="18"/>
      <c r="T7" s="18"/>
      <c r="U7" s="18"/>
      <c r="V7" s="18"/>
    </row>
    <row r="8" spans="1:24">
      <c r="C8" s="18" t="s">
        <v>50</v>
      </c>
      <c r="D8" s="18" t="s">
        <v>51</v>
      </c>
      <c r="E8" s="18" t="s">
        <v>86</v>
      </c>
      <c r="F8" s="18" t="s">
        <v>87</v>
      </c>
      <c r="G8" s="18"/>
      <c r="H8" s="18" t="s">
        <v>51</v>
      </c>
      <c r="I8" s="18" t="s">
        <v>86</v>
      </c>
      <c r="J8" s="18" t="s">
        <v>87</v>
      </c>
      <c r="K8" s="18" t="s">
        <v>88</v>
      </c>
      <c r="L8" s="18" t="s">
        <v>89</v>
      </c>
      <c r="M8" s="18" t="s">
        <v>140</v>
      </c>
      <c r="N8" s="18" t="s">
        <v>141</v>
      </c>
      <c r="O8" s="18" t="s">
        <v>142</v>
      </c>
      <c r="P8" s="18" t="s">
        <v>143</v>
      </c>
      <c r="Q8" s="18" t="s">
        <v>144</v>
      </c>
      <c r="R8" s="18" t="s">
        <v>145</v>
      </c>
      <c r="S8" s="18" t="s">
        <v>146</v>
      </c>
      <c r="T8" s="18" t="s">
        <v>147</v>
      </c>
      <c r="U8" s="18"/>
      <c r="V8" s="18"/>
      <c r="W8" s="18"/>
      <c r="X8" s="18"/>
    </row>
    <row r="9" spans="1:24">
      <c r="D9" s="18" t="s">
        <v>636</v>
      </c>
      <c r="E9" s="18" t="s">
        <v>637</v>
      </c>
      <c r="F9" s="18" t="s">
        <v>116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spans="1:24">
      <c r="D10" s="18" t="s">
        <v>638</v>
      </c>
      <c r="E10" s="18" t="s">
        <v>638</v>
      </c>
      <c r="F10" s="18" t="s">
        <v>233</v>
      </c>
      <c r="G10" s="211">
        <v>45654</v>
      </c>
      <c r="H10" s="211">
        <v>45685</v>
      </c>
      <c r="I10" s="211">
        <v>45716</v>
      </c>
      <c r="J10" s="211">
        <v>45744</v>
      </c>
      <c r="K10" s="211">
        <v>45775</v>
      </c>
      <c r="L10" s="211">
        <v>45805</v>
      </c>
      <c r="M10" s="211">
        <v>45836</v>
      </c>
      <c r="N10" s="211">
        <v>45866</v>
      </c>
      <c r="O10" s="211">
        <v>45897</v>
      </c>
      <c r="P10" s="211">
        <v>45928</v>
      </c>
      <c r="Q10" s="211">
        <v>45958</v>
      </c>
      <c r="R10" s="211">
        <v>45989</v>
      </c>
      <c r="S10" s="211">
        <v>46019</v>
      </c>
      <c r="T10" s="205" t="s">
        <v>639</v>
      </c>
    </row>
    <row r="11" spans="1:24">
      <c r="C11" s="206" t="s">
        <v>640</v>
      </c>
      <c r="D11" s="18"/>
      <c r="E11" s="18"/>
      <c r="F11" s="18"/>
      <c r="T11" s="18" t="s">
        <v>499</v>
      </c>
    </row>
    <row r="12" spans="1:24">
      <c r="C12" s="206"/>
      <c r="D12" s="18"/>
      <c r="E12" s="18"/>
      <c r="F12" s="18"/>
      <c r="G12" s="18"/>
      <c r="T12" s="18"/>
    </row>
    <row r="13" spans="1:24">
      <c r="A13" s="18"/>
      <c r="H13" s="214"/>
      <c r="I13" s="214"/>
      <c r="J13" s="214"/>
      <c r="K13" s="214"/>
      <c r="L13" s="214"/>
      <c r="M13" s="214"/>
      <c r="N13" s="214"/>
      <c r="O13" s="214"/>
      <c r="P13" s="214"/>
      <c r="Q13" s="214"/>
      <c r="R13" s="214"/>
      <c r="S13" s="214"/>
      <c r="T13" s="214"/>
    </row>
    <row r="14" spans="1:24">
      <c r="A14" s="18"/>
      <c r="C14" s="206" t="s">
        <v>641</v>
      </c>
      <c r="D14" s="18"/>
      <c r="E14" s="18"/>
      <c r="F14" s="18"/>
      <c r="G14" s="18"/>
      <c r="H14" s="214"/>
      <c r="I14" s="214"/>
      <c r="J14" s="214"/>
      <c r="K14" s="214"/>
      <c r="L14" s="214"/>
      <c r="M14" s="214"/>
      <c r="N14" s="214"/>
      <c r="O14" s="214"/>
      <c r="P14" s="214"/>
      <c r="Q14" s="214"/>
      <c r="R14" s="214"/>
      <c r="S14" s="214"/>
      <c r="T14" s="214"/>
    </row>
    <row r="15" spans="1:24">
      <c r="A15" s="18">
        <v>1</v>
      </c>
      <c r="B15" s="18">
        <v>225003</v>
      </c>
      <c r="C15" s="219" t="s">
        <v>691</v>
      </c>
      <c r="D15" s="227">
        <v>45174</v>
      </c>
      <c r="E15" s="227">
        <v>47223</v>
      </c>
      <c r="F15" s="233">
        <v>3.6499999999999998E-2</v>
      </c>
      <c r="G15" s="214">
        <v>11631546.030000003</v>
      </c>
      <c r="H15" s="214">
        <v>11405690.770000003</v>
      </c>
      <c r="I15" s="214">
        <v>11179835.500000002</v>
      </c>
      <c r="J15" s="214">
        <v>10953980.240000002</v>
      </c>
      <c r="K15" s="214">
        <v>10728124.980000002</v>
      </c>
      <c r="L15" s="214">
        <v>10502269.710000003</v>
      </c>
      <c r="M15" s="214">
        <v>10276414.450000003</v>
      </c>
      <c r="N15" s="214">
        <v>10050559.190000003</v>
      </c>
      <c r="O15" s="214">
        <v>9824703.9200000018</v>
      </c>
      <c r="P15" s="214">
        <v>9598848.660000002</v>
      </c>
      <c r="Q15" s="214">
        <v>9372993.4000000022</v>
      </c>
      <c r="R15" s="214">
        <v>9147138.1300000027</v>
      </c>
      <c r="S15" s="214">
        <v>8921282.870000001</v>
      </c>
      <c r="T15" s="181">
        <f t="shared" ref="T15" si="0">SUM(G15:S15)/13</f>
        <v>10276414.450000001</v>
      </c>
    </row>
    <row r="16" spans="1:24">
      <c r="A16" s="18">
        <v>2</v>
      </c>
      <c r="B16" s="18"/>
      <c r="C16" s="219" t="s">
        <v>658</v>
      </c>
      <c r="G16" s="214">
        <f t="shared" ref="G16:T16" si="1">SUM(G15:G15)</f>
        <v>11631546.030000003</v>
      </c>
      <c r="H16" s="214">
        <f t="shared" si="1"/>
        <v>11405690.770000003</v>
      </c>
      <c r="I16" s="214">
        <f t="shared" si="1"/>
        <v>11179835.500000002</v>
      </c>
      <c r="J16" s="214">
        <f t="shared" si="1"/>
        <v>10953980.240000002</v>
      </c>
      <c r="K16" s="214">
        <f t="shared" si="1"/>
        <v>10728124.980000002</v>
      </c>
      <c r="L16" s="214">
        <f t="shared" si="1"/>
        <v>10502269.710000003</v>
      </c>
      <c r="M16" s="214">
        <f t="shared" si="1"/>
        <v>10276414.450000003</v>
      </c>
      <c r="N16" s="214">
        <f t="shared" si="1"/>
        <v>10050559.190000003</v>
      </c>
      <c r="O16" s="214">
        <f t="shared" si="1"/>
        <v>9824703.9200000018</v>
      </c>
      <c r="P16" s="214">
        <f t="shared" si="1"/>
        <v>9598848.660000002</v>
      </c>
      <c r="Q16" s="214">
        <f t="shared" si="1"/>
        <v>9372993.4000000022</v>
      </c>
      <c r="R16" s="214">
        <f t="shared" si="1"/>
        <v>9147138.1300000027</v>
      </c>
      <c r="S16" s="214">
        <f t="shared" si="1"/>
        <v>8921282.870000001</v>
      </c>
      <c r="T16" s="214">
        <f t="shared" si="1"/>
        <v>10276414.450000001</v>
      </c>
    </row>
    <row r="17" spans="1:20">
      <c r="A17" s="18"/>
      <c r="B17" s="18"/>
      <c r="C17" s="219"/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  <c r="S17" s="214"/>
      <c r="T17" s="214"/>
    </row>
    <row r="18" spans="1:20">
      <c r="A18" s="18"/>
      <c r="B18" s="18"/>
      <c r="C18" s="219"/>
      <c r="H18" s="214"/>
      <c r="I18" s="214"/>
      <c r="J18" s="214"/>
      <c r="K18" s="214"/>
      <c r="L18" s="214"/>
      <c r="M18" s="214"/>
      <c r="N18" s="214"/>
      <c r="O18" s="214"/>
      <c r="P18" s="214"/>
      <c r="Q18" s="214"/>
      <c r="R18" s="214"/>
      <c r="S18" s="214"/>
      <c r="T18" s="214"/>
    </row>
    <row r="19" spans="1:20">
      <c r="A19" s="18"/>
    </row>
    <row r="20" spans="1:20">
      <c r="A20" s="18">
        <f>A16+1</f>
        <v>3</v>
      </c>
      <c r="C20" s="16" t="s">
        <v>692</v>
      </c>
      <c r="G20" s="214">
        <f>G16</f>
        <v>11631546.030000003</v>
      </c>
      <c r="H20" s="214">
        <f>H16</f>
        <v>11405690.770000003</v>
      </c>
      <c r="I20" s="214">
        <f t="shared" ref="I20:T20" si="2">I16</f>
        <v>11179835.500000002</v>
      </c>
      <c r="J20" s="214">
        <f t="shared" si="2"/>
        <v>10953980.240000002</v>
      </c>
      <c r="K20" s="214">
        <f t="shared" si="2"/>
        <v>10728124.980000002</v>
      </c>
      <c r="L20" s="214">
        <f t="shared" si="2"/>
        <v>10502269.710000003</v>
      </c>
      <c r="M20" s="214">
        <f t="shared" si="2"/>
        <v>10276414.450000003</v>
      </c>
      <c r="N20" s="214">
        <f t="shared" si="2"/>
        <v>10050559.190000003</v>
      </c>
      <c r="O20" s="214">
        <f t="shared" si="2"/>
        <v>9824703.9200000018</v>
      </c>
      <c r="P20" s="214">
        <f t="shared" si="2"/>
        <v>9598848.660000002</v>
      </c>
      <c r="Q20" s="214">
        <f t="shared" si="2"/>
        <v>9372993.4000000022</v>
      </c>
      <c r="R20" s="214">
        <f t="shared" si="2"/>
        <v>9147138.1300000027</v>
      </c>
      <c r="S20" s="214">
        <f t="shared" si="2"/>
        <v>8921282.870000001</v>
      </c>
      <c r="T20" s="214">
        <f t="shared" si="2"/>
        <v>10276414.450000001</v>
      </c>
    </row>
    <row r="21" spans="1:20">
      <c r="A21" s="18"/>
    </row>
    <row r="22" spans="1:20">
      <c r="A22" s="18"/>
      <c r="B22" s="219" t="s">
        <v>689</v>
      </c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</row>
  </sheetData>
  <mergeCells count="6">
    <mergeCell ref="A6:T6"/>
    <mergeCell ref="A2:T2"/>
    <mergeCell ref="A5:T5"/>
    <mergeCell ref="A1:T1"/>
    <mergeCell ref="A3:T3"/>
    <mergeCell ref="A4:T4"/>
  </mergeCells>
  <pageMargins left="0.25" right="0.25" top="0.75" bottom="0.25" header="0.25" footer="0.25"/>
  <pageSetup scale="50" orientation="landscape" r:id="rId1"/>
  <headerFooter alignWithMargins="0">
    <oddHeader>&amp;RGroen Direct Exhibit 1.1, Schedule 26
Page 3 of 13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0"/>
  <sheetViews>
    <sheetView view="pageLayout" zoomScaleNormal="100" workbookViewId="0">
      <selection activeCell="E26" sqref="E26"/>
    </sheetView>
  </sheetViews>
  <sheetFormatPr defaultColWidth="8.85546875" defaultRowHeight="15.75"/>
  <cols>
    <col min="1" max="1" width="4.85546875" style="16" customWidth="1"/>
    <col min="2" max="2" width="0.85546875" style="16" customWidth="1"/>
    <col min="3" max="3" width="30.140625" style="16" customWidth="1"/>
    <col min="4" max="4" width="0.85546875" style="16" customWidth="1"/>
    <col min="5" max="5" width="12.140625" style="16" customWidth="1"/>
    <col min="6" max="6" width="0.85546875" style="16" customWidth="1"/>
    <col min="7" max="7" width="10.7109375" style="16" customWidth="1"/>
    <col min="8" max="8" width="0.85546875" style="16" customWidth="1"/>
    <col min="9" max="9" width="12.140625" style="16" customWidth="1"/>
    <col min="10" max="10" width="0.85546875" style="16" customWidth="1"/>
    <col min="11" max="11" width="11.140625" style="16" customWidth="1"/>
    <col min="12" max="12" width="0.85546875" style="16" customWidth="1"/>
    <col min="13" max="13" width="12.140625" style="16" customWidth="1"/>
    <col min="14" max="15" width="8.85546875" style="16"/>
    <col min="16" max="16" width="10.140625" style="16" bestFit="1" customWidth="1"/>
    <col min="17" max="16384" width="8.85546875" style="16"/>
  </cols>
  <sheetData>
    <row r="1" spans="1:13">
      <c r="A1" s="287" t="s">
        <v>787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</row>
    <row r="2" spans="1:13">
      <c r="A2" s="287" t="s">
        <v>791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</row>
    <row r="3" spans="1:13">
      <c r="A3" s="287" t="s">
        <v>792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</row>
    <row r="4" spans="1:13">
      <c r="A4" s="287" t="s">
        <v>74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</row>
    <row r="5" spans="1:13">
      <c r="A5" s="287" t="str">
        <f>'Sch 1 - RevReq'!A5</f>
        <v>FOR THE YEAR ENDING DECEMBER 31, 2025</v>
      </c>
      <c r="B5" s="287"/>
      <c r="C5" s="287"/>
      <c r="D5" s="287"/>
      <c r="E5" s="287"/>
      <c r="F5" s="287"/>
      <c r="G5" s="287"/>
      <c r="H5" s="287"/>
      <c r="I5" s="287"/>
      <c r="J5" s="287"/>
      <c r="K5" s="287"/>
      <c r="L5" s="287"/>
      <c r="M5" s="287"/>
    </row>
    <row r="6" spans="1:13">
      <c r="A6" s="290" t="s">
        <v>793</v>
      </c>
      <c r="B6" s="290"/>
      <c r="C6" s="290"/>
      <c r="D6" s="290"/>
      <c r="E6" s="290"/>
      <c r="F6" s="290"/>
      <c r="G6" s="290"/>
      <c r="H6" s="290"/>
      <c r="I6" s="290"/>
      <c r="J6" s="290"/>
      <c r="K6" s="290"/>
      <c r="L6" s="290"/>
      <c r="M6" s="290"/>
    </row>
    <row r="7" spans="1:13">
      <c r="A7" s="290" t="s">
        <v>46</v>
      </c>
      <c r="B7" s="290"/>
      <c r="C7" s="290"/>
      <c r="D7" s="290"/>
      <c r="E7" s="290"/>
      <c r="F7" s="290"/>
      <c r="G7" s="290"/>
      <c r="H7" s="290"/>
      <c r="I7" s="290"/>
      <c r="J7" s="290"/>
      <c r="K7" s="290"/>
      <c r="L7" s="290"/>
      <c r="M7" s="290"/>
    </row>
    <row r="9" spans="1:13">
      <c r="M9" s="18" t="s">
        <v>75</v>
      </c>
    </row>
    <row r="10" spans="1:13">
      <c r="E10" s="18" t="s">
        <v>76</v>
      </c>
      <c r="G10" s="18" t="s">
        <v>77</v>
      </c>
      <c r="H10" s="18"/>
      <c r="I10" s="18" t="s">
        <v>78</v>
      </c>
      <c r="J10" s="18"/>
      <c r="K10" s="18"/>
      <c r="L10" s="18"/>
      <c r="M10" s="18" t="s">
        <v>79</v>
      </c>
    </row>
    <row r="11" spans="1:13">
      <c r="A11" s="16" t="s">
        <v>2</v>
      </c>
      <c r="E11" s="18" t="s">
        <v>80</v>
      </c>
      <c r="G11" s="18" t="s">
        <v>81</v>
      </c>
      <c r="H11" s="18"/>
      <c r="I11" s="18" t="s">
        <v>82</v>
      </c>
      <c r="J11" s="18"/>
      <c r="K11" s="18" t="s">
        <v>82</v>
      </c>
      <c r="L11" s="18"/>
      <c r="M11" s="18" t="s">
        <v>82</v>
      </c>
    </row>
    <row r="12" spans="1:13">
      <c r="A12" s="20" t="s">
        <v>234</v>
      </c>
      <c r="C12" s="21" t="s">
        <v>3</v>
      </c>
      <c r="E12" s="20" t="s">
        <v>83</v>
      </c>
      <c r="G12" s="20" t="s">
        <v>84</v>
      </c>
      <c r="H12" s="18"/>
      <c r="I12" s="20" t="s">
        <v>85</v>
      </c>
      <c r="J12" s="18"/>
      <c r="K12" s="20" t="s">
        <v>85</v>
      </c>
      <c r="L12" s="18"/>
      <c r="M12" s="20" t="s">
        <v>85</v>
      </c>
    </row>
    <row r="13" spans="1:13">
      <c r="C13" s="18" t="s">
        <v>50</v>
      </c>
      <c r="D13" s="18"/>
      <c r="E13" s="18" t="s">
        <v>51</v>
      </c>
      <c r="F13" s="18"/>
      <c r="G13" s="18" t="s">
        <v>86</v>
      </c>
      <c r="H13" s="18"/>
      <c r="I13" s="18" t="s">
        <v>87</v>
      </c>
      <c r="J13" s="18"/>
      <c r="K13" s="18" t="s">
        <v>88</v>
      </c>
      <c r="L13" s="18"/>
      <c r="M13" s="18" t="s">
        <v>89</v>
      </c>
    </row>
    <row r="15" spans="1:13">
      <c r="A15" s="26">
        <v>1</v>
      </c>
      <c r="C15" s="16" t="s">
        <v>90</v>
      </c>
    </row>
    <row r="16" spans="1:13">
      <c r="A16" s="26">
        <f>+A15+1</f>
        <v>2</v>
      </c>
      <c r="C16" s="16" t="s">
        <v>91</v>
      </c>
      <c r="E16" s="31">
        <v>90285.885999999999</v>
      </c>
      <c r="F16" s="31"/>
      <c r="G16" s="31">
        <f>+'Sch 3 - Pro Forma Summary'!E16</f>
        <v>-66058.975482117632</v>
      </c>
      <c r="H16" s="31"/>
      <c r="I16" s="31">
        <f>+E16+G16</f>
        <v>24226.910517882367</v>
      </c>
      <c r="J16" s="31"/>
      <c r="K16" s="31">
        <f>+'Sch 1 - RevReq'!E33</f>
        <v>8908.7499679061839</v>
      </c>
      <c r="L16" s="31"/>
      <c r="M16" s="31">
        <f>+I16+K16</f>
        <v>33135.660485788554</v>
      </c>
    </row>
    <row r="17" spans="1:16">
      <c r="A17" s="26">
        <f t="shared" ref="A17:A29" si="0">+A16+1</f>
        <v>3</v>
      </c>
      <c r="C17" s="16" t="s">
        <v>92</v>
      </c>
      <c r="E17" s="31">
        <v>15397.866</v>
      </c>
      <c r="F17" s="31"/>
      <c r="G17" s="31">
        <f>+'Sch 3 - Pro Forma Summary'!E17</f>
        <v>-144.09299999999999</v>
      </c>
      <c r="H17" s="31"/>
      <c r="I17" s="31">
        <f>+E17+G17</f>
        <v>15253.772999999999</v>
      </c>
      <c r="J17" s="31"/>
      <c r="K17" s="31"/>
      <c r="L17" s="31"/>
      <c r="M17" s="31">
        <f>+I17+K17</f>
        <v>15253.772999999999</v>
      </c>
    </row>
    <row r="18" spans="1:16">
      <c r="A18" s="26">
        <f t="shared" si="0"/>
        <v>4</v>
      </c>
      <c r="C18" s="16" t="s">
        <v>93</v>
      </c>
      <c r="E18" s="34">
        <f>+E16+E17</f>
        <v>105683.75199999999</v>
      </c>
      <c r="F18" s="31"/>
      <c r="G18" s="34">
        <f>+G16+G17</f>
        <v>-66203.068482117626</v>
      </c>
      <c r="H18" s="31"/>
      <c r="I18" s="34">
        <f>+I16+I17</f>
        <v>39480.683517882368</v>
      </c>
      <c r="J18" s="31"/>
      <c r="K18" s="34">
        <f>+K16+K17</f>
        <v>8908.7499679061839</v>
      </c>
      <c r="L18" s="31"/>
      <c r="M18" s="34">
        <f>+M16+M17</f>
        <v>48389.433485788555</v>
      </c>
    </row>
    <row r="19" spans="1:16">
      <c r="A19" s="26"/>
      <c r="E19" s="31"/>
      <c r="F19" s="31"/>
      <c r="G19" s="31"/>
      <c r="H19" s="31"/>
      <c r="I19" s="31"/>
      <c r="J19" s="31"/>
      <c r="K19" s="31"/>
      <c r="L19" s="31"/>
      <c r="M19" s="31"/>
    </row>
    <row r="20" spans="1:16">
      <c r="A20" s="26">
        <f>+A18+1</f>
        <v>5</v>
      </c>
      <c r="C20" s="16" t="s">
        <v>94</v>
      </c>
      <c r="E20" s="31"/>
      <c r="F20" s="31"/>
      <c r="G20" s="31"/>
      <c r="H20" s="31"/>
      <c r="I20" s="31"/>
      <c r="J20" s="31"/>
      <c r="K20" s="31"/>
      <c r="L20" s="31"/>
      <c r="M20" s="31"/>
    </row>
    <row r="21" spans="1:16">
      <c r="A21" s="26">
        <f t="shared" si="0"/>
        <v>6</v>
      </c>
      <c r="C21" s="16" t="s">
        <v>95</v>
      </c>
      <c r="E21" s="31">
        <v>83680.928</v>
      </c>
      <c r="F21" s="31"/>
      <c r="G21" s="31">
        <f>+'Sch 3 - Pro Forma Summary'!E21+'Sch 3 - Pro Forma Summary'!E22</f>
        <v>-66887.670601060381</v>
      </c>
      <c r="H21" s="31"/>
      <c r="I21" s="31">
        <f>+E21+G21</f>
        <v>16793.257398939619</v>
      </c>
      <c r="J21" s="31"/>
      <c r="K21" s="31">
        <f>'Sch 1 - RevReq'!E27</f>
        <v>34.478132290278431</v>
      </c>
      <c r="L21" s="31"/>
      <c r="M21" s="31">
        <f>+I21+K21</f>
        <v>16827.735531229897</v>
      </c>
      <c r="P21" s="31"/>
    </row>
    <row r="22" spans="1:16">
      <c r="A22" s="26">
        <f t="shared" si="0"/>
        <v>7</v>
      </c>
      <c r="C22" s="16" t="s">
        <v>96</v>
      </c>
      <c r="E22" s="31">
        <f>8939.7009+572.278</f>
        <v>9511.9789000000001</v>
      </c>
      <c r="F22" s="31"/>
      <c r="G22" s="31">
        <f>+'Sch 3 - Pro Forma Summary'!E23</f>
        <v>1453.7260000000001</v>
      </c>
      <c r="H22" s="31"/>
      <c r="I22" s="31">
        <f t="shared" ref="I22:I27" si="1">+E22+G22</f>
        <v>10965.704900000001</v>
      </c>
      <c r="J22" s="31"/>
      <c r="K22" s="31"/>
      <c r="L22" s="31"/>
      <c r="M22" s="31">
        <f>+I22+K22</f>
        <v>10965.704900000001</v>
      </c>
    </row>
    <row r="23" spans="1:16">
      <c r="A23" s="26">
        <f t="shared" si="0"/>
        <v>8</v>
      </c>
      <c r="C23" s="16" t="s">
        <v>97</v>
      </c>
      <c r="E23" s="31">
        <v>2571.4250000000002</v>
      </c>
      <c r="F23" s="31"/>
      <c r="G23" s="31">
        <f>+'Sch 3 - Pro Forma Summary'!E24</f>
        <v>-170.79333819300547</v>
      </c>
      <c r="H23" s="31"/>
      <c r="I23" s="31">
        <f t="shared" si="1"/>
        <v>2400.6316618069945</v>
      </c>
      <c r="J23" s="31"/>
      <c r="K23" s="31">
        <f>'Sch 1 - RevReq'!E31</f>
        <v>33.725094518871785</v>
      </c>
      <c r="L23" s="31"/>
      <c r="M23" s="31">
        <f>+I23+K23</f>
        <v>2434.3567563258662</v>
      </c>
    </row>
    <row r="24" spans="1:16">
      <c r="A24" s="26">
        <f t="shared" si="0"/>
        <v>9</v>
      </c>
      <c r="C24" s="16" t="s">
        <v>98</v>
      </c>
      <c r="E24" s="31"/>
      <c r="F24" s="31"/>
      <c r="G24" s="31"/>
      <c r="H24" s="31"/>
      <c r="I24" s="31"/>
      <c r="J24" s="31"/>
      <c r="K24" s="31"/>
      <c r="L24" s="31"/>
      <c r="M24" s="31"/>
    </row>
    <row r="25" spans="1:16">
      <c r="A25" s="26">
        <f>+A24+1</f>
        <v>10</v>
      </c>
      <c r="C25" s="16" t="s">
        <v>99</v>
      </c>
      <c r="E25" s="31">
        <v>484.91750999999999</v>
      </c>
      <c r="F25" s="31"/>
      <c r="G25" s="31">
        <f>+'Sch 3 - Pro Forma Summary'!E26</f>
        <v>-187.83604885823482</v>
      </c>
      <c r="H25" s="31"/>
      <c r="I25" s="31">
        <f>+E25+G25</f>
        <v>297.0814611417652</v>
      </c>
      <c r="J25" s="31"/>
      <c r="K25" s="31">
        <f>+'Sch 1 - RevReq'!E25</f>
        <v>1856.5148156303771</v>
      </c>
      <c r="L25" s="31"/>
      <c r="M25" s="31">
        <f>+I25+K25</f>
        <v>2153.5962767721421</v>
      </c>
    </row>
    <row r="26" spans="1:16">
      <c r="A26" s="26">
        <f t="shared" si="0"/>
        <v>11</v>
      </c>
      <c r="C26" s="16" t="s">
        <v>100</v>
      </c>
      <c r="E26" s="31">
        <f>6862.28101-6298.2</f>
        <v>564.08100999999988</v>
      </c>
      <c r="F26" s="31"/>
      <c r="G26" s="31">
        <f>+'Sch 3 - Pro Forma Summary'!E27</f>
        <v>0</v>
      </c>
      <c r="H26" s="31"/>
      <c r="I26" s="31">
        <f t="shared" si="1"/>
        <v>564.08100999999988</v>
      </c>
      <c r="J26" s="31"/>
      <c r="K26" s="31"/>
      <c r="L26" s="31"/>
      <c r="M26" s="31">
        <f>+I26+K26</f>
        <v>564.08100999999988</v>
      </c>
    </row>
    <row r="27" spans="1:16">
      <c r="A27" s="26">
        <f t="shared" si="0"/>
        <v>12</v>
      </c>
      <c r="C27" s="16" t="s">
        <v>101</v>
      </c>
      <c r="E27" s="32">
        <v>-0.86007</v>
      </c>
      <c r="F27" s="31"/>
      <c r="G27" s="32">
        <f>+'Sch 3 - Pro Forma Summary'!E28</f>
        <v>0</v>
      </c>
      <c r="H27" s="31"/>
      <c r="I27" s="32">
        <f t="shared" si="1"/>
        <v>-0.86007</v>
      </c>
      <c r="J27" s="31"/>
      <c r="K27" s="32"/>
      <c r="L27" s="31"/>
      <c r="M27" s="32">
        <f>+I27+K27</f>
        <v>-0.86007</v>
      </c>
    </row>
    <row r="28" spans="1:16">
      <c r="A28" s="26">
        <f t="shared" si="0"/>
        <v>13</v>
      </c>
      <c r="C28" s="16" t="s">
        <v>102</v>
      </c>
      <c r="E28" s="31">
        <f>SUM(E21:E27)</f>
        <v>96812.470350000003</v>
      </c>
      <c r="F28" s="31"/>
      <c r="G28" s="31">
        <f>SUM(G21:G27)</f>
        <v>-65792.573988111631</v>
      </c>
      <c r="H28" s="31"/>
      <c r="I28" s="31">
        <f>SUM(I21:I27)</f>
        <v>31019.896361888383</v>
      </c>
      <c r="J28" s="31"/>
      <c r="K28" s="31">
        <f>SUM(K21:K27)</f>
        <v>1924.7180424395274</v>
      </c>
      <c r="L28" s="31"/>
      <c r="M28" s="31">
        <f>SUM(M21:M27)</f>
        <v>32944.614404327906</v>
      </c>
    </row>
    <row r="29" spans="1:16" ht="16.5" thickBot="1">
      <c r="A29" s="26">
        <f t="shared" si="0"/>
        <v>14</v>
      </c>
      <c r="C29" s="16" t="s">
        <v>103</v>
      </c>
      <c r="E29" s="33">
        <f>+E18-E28</f>
        <v>8871.2816499999899</v>
      </c>
      <c r="F29" s="31"/>
      <c r="G29" s="33">
        <f>+G18-G28</f>
        <v>-410.49449400599406</v>
      </c>
      <c r="H29" s="31"/>
      <c r="I29" s="33">
        <f>+I18-I28</f>
        <v>8460.7871559939849</v>
      </c>
      <c r="J29" s="31"/>
      <c r="K29" s="33">
        <f>+K18-K28</f>
        <v>6984.0319254666565</v>
      </c>
      <c r="L29" s="31"/>
      <c r="M29" s="33">
        <f>+M18-M28</f>
        <v>15444.81908146065</v>
      </c>
    </row>
    <row r="30" spans="1:16" ht="16.5" thickTop="1">
      <c r="E30" s="35"/>
    </row>
    <row r="31" spans="1:16">
      <c r="E31" s="35"/>
    </row>
    <row r="32" spans="1:16">
      <c r="C32" s="16" t="s">
        <v>104</v>
      </c>
    </row>
    <row r="33" spans="3:3">
      <c r="C33" s="16" t="s">
        <v>795</v>
      </c>
    </row>
    <row r="34" spans="3:3">
      <c r="C34" s="16" t="s">
        <v>105</v>
      </c>
    </row>
    <row r="35" spans="3:3">
      <c r="C35" s="16" t="s">
        <v>106</v>
      </c>
    </row>
    <row r="36" spans="3:3">
      <c r="C36" s="16" t="s">
        <v>107</v>
      </c>
    </row>
    <row r="37" spans="3:3">
      <c r="C37" s="16" t="s">
        <v>108</v>
      </c>
    </row>
    <row r="38" spans="3:3">
      <c r="C38" s="16" t="s">
        <v>109</v>
      </c>
    </row>
    <row r="39" spans="3:3">
      <c r="C39" s="16" t="s">
        <v>110</v>
      </c>
    </row>
    <row r="40" spans="3:3">
      <c r="C40" s="16" t="s">
        <v>111</v>
      </c>
    </row>
  </sheetData>
  <mergeCells count="7">
    <mergeCell ref="A7:M7"/>
    <mergeCell ref="A6:M6"/>
    <mergeCell ref="A1:M1"/>
    <mergeCell ref="A2:M2"/>
    <mergeCell ref="A3:M3"/>
    <mergeCell ref="A4:M4"/>
    <mergeCell ref="A5:M5"/>
  </mergeCells>
  <phoneticPr fontId="8" type="noConversion"/>
  <pageMargins left="0.75" right="0.68" top="1" bottom="1" header="0.5" footer="0.5"/>
  <pageSetup scale="93" orientation="portrait" r:id="rId1"/>
  <headerFooter alignWithMargins="0">
    <oddHeader xml:space="preserve">&amp;RGroen Direct Exhibit 1.1, Schedule 2&amp;"Arial,Bold"&amp;12
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T68"/>
  <sheetViews>
    <sheetView view="pageLayout" zoomScaleNormal="100" workbookViewId="0">
      <selection activeCell="C21" sqref="C21"/>
    </sheetView>
  </sheetViews>
  <sheetFormatPr defaultColWidth="9.140625" defaultRowHeight="15.75"/>
  <cols>
    <col min="1" max="1" width="5.140625" style="16" customWidth="1"/>
    <col min="2" max="2" width="9.140625" style="16"/>
    <col min="3" max="4" width="18" style="16" customWidth="1"/>
    <col min="5" max="5" width="9.140625" style="16" bestFit="1" customWidth="1"/>
    <col min="6" max="6" width="15.7109375" style="16" bestFit="1" customWidth="1"/>
    <col min="7" max="7" width="15.140625" style="16" bestFit="1" customWidth="1"/>
    <col min="8" max="8" width="15.42578125" style="16" bestFit="1" customWidth="1"/>
    <col min="9" max="9" width="15.140625" style="16" bestFit="1" customWidth="1"/>
    <col min="10" max="11" width="13.140625" style="16" customWidth="1"/>
    <col min="12" max="12" width="13" style="16" customWidth="1"/>
    <col min="13" max="13" width="15.42578125" style="16" bestFit="1" customWidth="1"/>
    <col min="14" max="14" width="12.7109375" style="16" bestFit="1" customWidth="1"/>
    <col min="15" max="15" width="14.42578125" style="16" bestFit="1" customWidth="1"/>
    <col min="16" max="16" width="14.5703125" style="16" bestFit="1" customWidth="1"/>
    <col min="17" max="17" width="13.140625" style="16" customWidth="1"/>
    <col min="18" max="16384" width="9.140625" style="16"/>
  </cols>
  <sheetData>
    <row r="1" spans="1:20">
      <c r="A1" s="287" t="s">
        <v>787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</row>
    <row r="2" spans="1:20">
      <c r="A2" s="287" t="s">
        <v>791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</row>
    <row r="3" spans="1:20">
      <c r="A3" s="287" t="s">
        <v>792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  <c r="P3" s="287"/>
      <c r="Q3" s="287"/>
    </row>
    <row r="4" spans="1:20">
      <c r="A4" s="287" t="s">
        <v>693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</row>
    <row r="5" spans="1:20">
      <c r="A5" s="305" t="str">
        <f>'Sch 25 - WACC'!A5</f>
        <v>FOR THE YEAR ENDING DECEMBER 31, 2025</v>
      </c>
      <c r="B5" s="305"/>
      <c r="C5" s="305"/>
      <c r="D5" s="305"/>
      <c r="E5" s="305"/>
      <c r="F5" s="305"/>
      <c r="G5" s="305"/>
      <c r="H5" s="305"/>
      <c r="I5" s="305"/>
      <c r="J5" s="305"/>
      <c r="K5" s="305"/>
      <c r="L5" s="305"/>
      <c r="M5" s="305"/>
      <c r="N5" s="305"/>
      <c r="O5" s="305"/>
      <c r="P5" s="305"/>
      <c r="Q5" s="305"/>
    </row>
    <row r="6" spans="1:20">
      <c r="A6" s="289" t="s">
        <v>793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</row>
    <row r="7" spans="1:20">
      <c r="E7" s="36"/>
      <c r="Q7" s="18"/>
    </row>
    <row r="8" spans="1:20">
      <c r="B8" s="18" t="s">
        <v>50</v>
      </c>
      <c r="C8" s="18" t="s">
        <v>694</v>
      </c>
      <c r="D8" s="18" t="s">
        <v>86</v>
      </c>
      <c r="E8" s="18" t="s">
        <v>87</v>
      </c>
      <c r="F8" s="18" t="s">
        <v>88</v>
      </c>
      <c r="G8" s="18" t="s">
        <v>89</v>
      </c>
      <c r="H8" s="18" t="s">
        <v>140</v>
      </c>
      <c r="I8" s="18" t="s">
        <v>141</v>
      </c>
      <c r="J8" s="18" t="s">
        <v>142</v>
      </c>
      <c r="K8" s="18" t="s">
        <v>143</v>
      </c>
      <c r="L8" s="18" t="s">
        <v>144</v>
      </c>
      <c r="M8" s="18" t="s">
        <v>145</v>
      </c>
      <c r="N8" s="18" t="s">
        <v>146</v>
      </c>
      <c r="O8" s="18" t="s">
        <v>147</v>
      </c>
      <c r="P8" s="18" t="s">
        <v>148</v>
      </c>
      <c r="Q8" s="18" t="s">
        <v>149</v>
      </c>
      <c r="R8" s="18"/>
      <c r="S8" s="18"/>
      <c r="T8" s="18"/>
    </row>
    <row r="9" spans="1:20"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</row>
    <row r="10" spans="1:20">
      <c r="C10" s="206"/>
      <c r="D10" s="211">
        <v>45654</v>
      </c>
      <c r="E10" s="211">
        <v>45685</v>
      </c>
      <c r="F10" s="211">
        <v>45716</v>
      </c>
      <c r="G10" s="211">
        <v>45744</v>
      </c>
      <c r="H10" s="211">
        <v>45775</v>
      </c>
      <c r="I10" s="211">
        <v>45805</v>
      </c>
      <c r="J10" s="211">
        <v>45836</v>
      </c>
      <c r="K10" s="211">
        <v>45866</v>
      </c>
      <c r="L10" s="211">
        <v>45897</v>
      </c>
      <c r="M10" s="211">
        <v>45928</v>
      </c>
      <c r="N10" s="211">
        <v>45958</v>
      </c>
      <c r="O10" s="211">
        <v>45989</v>
      </c>
      <c r="P10" s="211">
        <v>46019</v>
      </c>
      <c r="Q10" s="205" t="s">
        <v>639</v>
      </c>
    </row>
    <row r="11" spans="1:20">
      <c r="C11" s="206"/>
      <c r="D11" s="206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205" t="s">
        <v>499</v>
      </c>
    </row>
    <row r="12" spans="1:20">
      <c r="A12" s="18">
        <v>1</v>
      </c>
      <c r="B12" s="18"/>
      <c r="C12" s="18" t="s">
        <v>695</v>
      </c>
      <c r="D12" s="215">
        <v>-41647.073010495122</v>
      </c>
      <c r="E12" s="215">
        <v>-37019.620453773481</v>
      </c>
      <c r="F12" s="215">
        <v>-32392.167897051841</v>
      </c>
      <c r="G12" s="215">
        <v>-27764.7153403302</v>
      </c>
      <c r="H12" s="215">
        <v>-23137.262783608559</v>
      </c>
      <c r="I12" s="215">
        <v>-18509.810226886919</v>
      </c>
      <c r="J12" s="215">
        <v>-13882.357670165278</v>
      </c>
      <c r="K12" s="215">
        <v>-9254.9051134436377</v>
      </c>
      <c r="L12" s="215">
        <v>-4627.452556721998</v>
      </c>
      <c r="M12" s="215">
        <v>-3.5834091249853373E-10</v>
      </c>
      <c r="N12" s="215">
        <v>0</v>
      </c>
      <c r="O12" s="215">
        <v>0</v>
      </c>
      <c r="P12" s="215">
        <v>0</v>
      </c>
      <c r="Q12" s="215">
        <f>(SUM(D12:P12)/13)</f>
        <v>-16018.105004036723</v>
      </c>
    </row>
    <row r="13" spans="1:20">
      <c r="A13" s="18">
        <v>2</v>
      </c>
      <c r="B13" s="18"/>
      <c r="C13" s="38" t="s">
        <v>695</v>
      </c>
      <c r="D13" s="215">
        <v>-4043.0919061583463</v>
      </c>
      <c r="E13" s="215">
        <v>-3593.8594721407508</v>
      </c>
      <c r="F13" s="215">
        <v>-3144.6270381231552</v>
      </c>
      <c r="G13" s="215">
        <v>-2695.3946041055597</v>
      </c>
      <c r="H13" s="215">
        <v>-2246.1621700879641</v>
      </c>
      <c r="I13" s="215">
        <v>-1796.9297360703688</v>
      </c>
      <c r="J13" s="215">
        <v>-1347.6973020527735</v>
      </c>
      <c r="K13" s="215">
        <v>-898.46486803517814</v>
      </c>
      <c r="L13" s="215">
        <v>-449.23243401758282</v>
      </c>
      <c r="M13" s="215">
        <v>1.2505552149377763E-11</v>
      </c>
      <c r="N13" s="215">
        <v>0</v>
      </c>
      <c r="O13" s="215">
        <v>0</v>
      </c>
      <c r="P13" s="215">
        <v>0</v>
      </c>
      <c r="Q13" s="215">
        <f>(SUM(D13:P13)/13)</f>
        <v>-1555.0353485224364</v>
      </c>
    </row>
    <row r="14" spans="1:20">
      <c r="A14" s="18">
        <v>3</v>
      </c>
      <c r="B14" s="18"/>
      <c r="C14" s="38" t="s">
        <v>695</v>
      </c>
      <c r="D14" s="215">
        <v>-178.80557522124229</v>
      </c>
      <c r="E14" s="215">
        <v>-158.93828908554906</v>
      </c>
      <c r="F14" s="215">
        <v>-139.07100294985582</v>
      </c>
      <c r="G14" s="215">
        <v>-119.2037168141626</v>
      </c>
      <c r="H14" s="215">
        <v>-99.336430678469384</v>
      </c>
      <c r="I14" s="215">
        <v>-79.469144542776164</v>
      </c>
      <c r="J14" s="215">
        <v>-59.601858407082943</v>
      </c>
      <c r="K14" s="215">
        <v>-39.734572271389723</v>
      </c>
      <c r="L14" s="215">
        <v>-19.867286135696503</v>
      </c>
      <c r="M14" s="215">
        <v>-3.2827074392116629E-12</v>
      </c>
      <c r="N14" s="215">
        <v>0</v>
      </c>
      <c r="O14" s="215">
        <v>0</v>
      </c>
      <c r="P14" s="215">
        <v>0</v>
      </c>
      <c r="Q14" s="215">
        <f>(SUM(D14:P14)/13)</f>
        <v>-68.771375085094434</v>
      </c>
    </row>
    <row r="15" spans="1:20">
      <c r="A15" s="18">
        <v>4</v>
      </c>
      <c r="C15" s="16" t="s">
        <v>696</v>
      </c>
      <c r="D15" s="244">
        <v>-45868.970491874716</v>
      </c>
      <c r="E15" s="244">
        <v>-40772.41821499978</v>
      </c>
      <c r="F15" s="244">
        <v>-35675.865938124858</v>
      </c>
      <c r="G15" s="244">
        <v>-30579.313661249922</v>
      </c>
      <c r="H15" s="244">
        <v>-25482.76138437499</v>
      </c>
      <c r="I15" s="244">
        <v>-20386.209107500064</v>
      </c>
      <c r="J15" s="244">
        <v>-15289.656830625134</v>
      </c>
      <c r="K15" s="244">
        <v>-10193.104553750205</v>
      </c>
      <c r="L15" s="244">
        <v>-5096.5522768752771</v>
      </c>
      <c r="M15" s="244">
        <v>-3.4911806778836763E-10</v>
      </c>
      <c r="N15" s="244">
        <v>0</v>
      </c>
      <c r="O15" s="244">
        <v>0</v>
      </c>
      <c r="P15" s="244">
        <f>SUM(P12:P14)</f>
        <v>0</v>
      </c>
      <c r="Q15" s="244">
        <f>SUM(Q12:Q14)</f>
        <v>-17641.911727644256</v>
      </c>
    </row>
    <row r="16" spans="1:20">
      <c r="A16" s="18"/>
      <c r="E16" s="214"/>
      <c r="F16" s="214"/>
      <c r="G16" s="214"/>
      <c r="H16" s="214"/>
      <c r="I16" s="214"/>
      <c r="J16" s="214"/>
      <c r="K16" s="214"/>
      <c r="L16" s="214"/>
      <c r="M16" s="214"/>
      <c r="N16" s="214"/>
      <c r="O16" s="214"/>
      <c r="P16" s="214"/>
      <c r="Q16" s="214"/>
    </row>
    <row r="17" spans="1:17">
      <c r="A17" s="18"/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</row>
    <row r="18" spans="1:17">
      <c r="A18" s="18"/>
      <c r="E18" s="214"/>
      <c r="F18" s="214"/>
      <c r="G18" s="214"/>
      <c r="H18" s="214"/>
      <c r="I18" s="214"/>
      <c r="J18" s="214"/>
      <c r="K18" s="214"/>
      <c r="L18" s="214"/>
      <c r="M18" s="214"/>
      <c r="N18" s="214"/>
      <c r="O18" s="214"/>
      <c r="P18" s="214"/>
      <c r="Q18" s="214"/>
    </row>
    <row r="19" spans="1:17">
      <c r="A19" s="18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214"/>
      <c r="Q19" s="214"/>
    </row>
    <row r="20" spans="1:17">
      <c r="A20" s="18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214"/>
      <c r="Q20" s="214"/>
    </row>
    <row r="21" spans="1:17">
      <c r="A21" s="18"/>
      <c r="B21" s="219"/>
      <c r="C21" s="206"/>
      <c r="D21" s="206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4"/>
    </row>
    <row r="22" spans="1:17">
      <c r="A22" s="18"/>
      <c r="B22" s="219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45"/>
      <c r="Q22" s="214"/>
    </row>
    <row r="23" spans="1:17">
      <c r="A23" s="18"/>
      <c r="B23" s="219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</row>
    <row r="24" spans="1:17">
      <c r="A24" s="18"/>
      <c r="B24" s="219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</row>
    <row r="25" spans="1:17">
      <c r="A25" s="18"/>
      <c r="B25" s="18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</row>
    <row r="26" spans="1:17">
      <c r="A26" s="18"/>
      <c r="B26" s="18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</row>
    <row r="27" spans="1:17">
      <c r="A27" s="18"/>
      <c r="B27" s="18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</row>
    <row r="28" spans="1:17">
      <c r="A28" s="18"/>
      <c r="B28" s="18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</row>
    <row r="29" spans="1:17">
      <c r="A29" s="18"/>
      <c r="B29" s="18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</row>
    <row r="30" spans="1:17">
      <c r="A30" s="18"/>
      <c r="B30" s="18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</row>
    <row r="31" spans="1:17">
      <c r="A31" s="18"/>
      <c r="B31" s="18"/>
      <c r="E31" s="239"/>
      <c r="F31" s="239"/>
      <c r="G31" s="239"/>
      <c r="H31" s="214"/>
      <c r="I31" s="214"/>
      <c r="J31" s="214"/>
      <c r="K31" s="214"/>
      <c r="L31" s="214"/>
      <c r="M31" s="214"/>
      <c r="N31" s="214"/>
      <c r="O31" s="214"/>
      <c r="P31" s="214"/>
      <c r="Q31" s="214"/>
    </row>
    <row r="32" spans="1:17">
      <c r="A32" s="18"/>
      <c r="B32" s="18"/>
      <c r="C32" s="206"/>
      <c r="D32" s="206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214"/>
      <c r="Q32" s="214"/>
    </row>
    <row r="33" spans="1:17">
      <c r="A33" s="18"/>
      <c r="B33" s="18"/>
      <c r="E33" s="214"/>
      <c r="F33" s="214"/>
      <c r="G33" s="214"/>
      <c r="H33" s="214"/>
      <c r="I33" s="214"/>
      <c r="J33" s="214"/>
      <c r="K33" s="214"/>
      <c r="L33" s="214"/>
      <c r="M33" s="214"/>
      <c r="N33" s="214"/>
      <c r="O33" s="214"/>
      <c r="P33" s="214"/>
      <c r="Q33" s="214"/>
    </row>
    <row r="34" spans="1:17">
      <c r="A34" s="18"/>
      <c r="B34" s="18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14"/>
    </row>
    <row r="35" spans="1:17">
      <c r="A35" s="18"/>
      <c r="B35" s="18"/>
      <c r="E35" s="214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</row>
    <row r="36" spans="1:17">
      <c r="A36" s="18"/>
      <c r="B36" s="18"/>
      <c r="E36" s="214"/>
      <c r="F36" s="214"/>
      <c r="G36" s="214"/>
      <c r="H36" s="214"/>
      <c r="I36" s="214"/>
      <c r="J36" s="214"/>
      <c r="K36" s="214"/>
      <c r="L36" s="214"/>
      <c r="M36" s="214"/>
      <c r="N36" s="214"/>
      <c r="O36" s="214"/>
      <c r="P36" s="214"/>
      <c r="Q36" s="214"/>
    </row>
    <row r="37" spans="1:17">
      <c r="A37" s="18"/>
      <c r="B37" s="18"/>
      <c r="E37" s="214"/>
      <c r="F37" s="214"/>
      <c r="G37" s="214"/>
      <c r="H37" s="214"/>
      <c r="I37" s="214"/>
      <c r="J37" s="214"/>
      <c r="K37" s="214"/>
      <c r="L37" s="214"/>
      <c r="M37" s="214"/>
      <c r="N37" s="214"/>
      <c r="O37" s="214"/>
      <c r="P37" s="214"/>
      <c r="Q37" s="214"/>
    </row>
    <row r="38" spans="1:17">
      <c r="A38" s="18"/>
      <c r="B38" s="18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</row>
    <row r="39" spans="1:17">
      <c r="A39" s="18"/>
      <c r="B39" s="18"/>
      <c r="E39" s="214"/>
      <c r="F39" s="214"/>
      <c r="G39" s="214"/>
      <c r="H39" s="214"/>
      <c r="I39" s="214"/>
      <c r="J39" s="214"/>
      <c r="K39" s="214"/>
      <c r="L39" s="214"/>
      <c r="M39" s="214"/>
      <c r="N39" s="214"/>
      <c r="O39" s="214"/>
      <c r="P39" s="214"/>
      <c r="Q39" s="214"/>
    </row>
    <row r="40" spans="1:17">
      <c r="A40" s="18"/>
      <c r="B40" s="18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>
      <c r="A41" s="18"/>
      <c r="B41" s="18"/>
      <c r="E41" s="214"/>
      <c r="F41" s="214"/>
      <c r="G41" s="214"/>
      <c r="H41" s="214"/>
      <c r="I41" s="214"/>
      <c r="J41" s="214"/>
      <c r="K41" s="214"/>
      <c r="L41" s="214"/>
      <c r="M41" s="214"/>
      <c r="N41" s="214"/>
      <c r="O41" s="214"/>
      <c r="P41" s="214"/>
      <c r="Q41" s="214"/>
    </row>
    <row r="42" spans="1:17">
      <c r="A42" s="18"/>
      <c r="B42" s="18"/>
      <c r="E42" s="214"/>
      <c r="F42" s="214"/>
      <c r="G42" s="214"/>
      <c r="H42" s="214"/>
      <c r="I42" s="214"/>
      <c r="J42" s="214"/>
      <c r="K42" s="214"/>
      <c r="L42" s="214"/>
      <c r="M42" s="214"/>
      <c r="N42" s="214"/>
      <c r="O42" s="214"/>
      <c r="P42" s="214"/>
      <c r="Q42" s="214"/>
    </row>
    <row r="43" spans="1:17">
      <c r="A43" s="18"/>
      <c r="B43" s="18"/>
      <c r="E43" s="214"/>
      <c r="F43" s="214"/>
      <c r="G43" s="214"/>
      <c r="H43" s="214"/>
      <c r="I43" s="214"/>
      <c r="J43" s="214"/>
      <c r="K43" s="214"/>
      <c r="L43" s="214"/>
      <c r="M43" s="214"/>
      <c r="N43" s="214"/>
      <c r="O43" s="214"/>
      <c r="P43" s="214"/>
      <c r="Q43" s="214"/>
    </row>
    <row r="44" spans="1:17">
      <c r="A44" s="18"/>
      <c r="B44" s="18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14"/>
    </row>
    <row r="45" spans="1:17">
      <c r="A45" s="18"/>
      <c r="B45" s="18"/>
      <c r="E45" s="214"/>
      <c r="F45" s="214"/>
      <c r="G45" s="214"/>
      <c r="H45" s="214"/>
      <c r="I45" s="214"/>
      <c r="J45" s="214"/>
      <c r="K45" s="214"/>
      <c r="L45" s="214"/>
      <c r="M45" s="214"/>
      <c r="N45" s="214"/>
      <c r="O45" s="214"/>
      <c r="P45" s="214"/>
      <c r="Q45" s="214"/>
    </row>
    <row r="46" spans="1:17">
      <c r="A46" s="18"/>
      <c r="B46" s="18"/>
      <c r="E46" s="214"/>
      <c r="F46" s="214"/>
      <c r="G46" s="214"/>
      <c r="H46" s="214"/>
      <c r="I46" s="214"/>
      <c r="J46" s="214"/>
      <c r="K46" s="214"/>
      <c r="L46" s="214"/>
      <c r="M46" s="214"/>
      <c r="N46" s="214"/>
      <c r="O46" s="214"/>
      <c r="P46" s="214"/>
      <c r="Q46" s="214"/>
    </row>
    <row r="47" spans="1:17">
      <c r="A47" s="18"/>
      <c r="E47" s="216"/>
      <c r="F47" s="216"/>
      <c r="G47" s="216"/>
      <c r="H47" s="216"/>
      <c r="I47" s="216"/>
      <c r="J47" s="216"/>
      <c r="K47" s="216"/>
      <c r="L47" s="216"/>
      <c r="M47" s="216"/>
      <c r="N47" s="216"/>
      <c r="O47" s="216"/>
      <c r="P47" s="216"/>
      <c r="Q47" s="216"/>
    </row>
    <row r="48" spans="1:17">
      <c r="A48" s="18"/>
      <c r="E48" s="214"/>
      <c r="F48" s="214"/>
      <c r="G48" s="214"/>
      <c r="H48" s="214"/>
      <c r="I48" s="214"/>
      <c r="J48" s="214"/>
      <c r="K48" s="214"/>
      <c r="L48" s="214"/>
      <c r="M48" s="214"/>
      <c r="N48" s="214"/>
      <c r="O48" s="214"/>
      <c r="P48" s="214"/>
      <c r="Q48" s="214"/>
    </row>
    <row r="49" spans="1:17">
      <c r="E49" s="214"/>
      <c r="F49" s="214"/>
      <c r="G49" s="214"/>
      <c r="H49" s="214"/>
      <c r="I49" s="214"/>
      <c r="J49" s="214"/>
      <c r="K49" s="214"/>
      <c r="L49" s="214"/>
      <c r="M49" s="214"/>
      <c r="N49" s="214"/>
      <c r="O49" s="214"/>
      <c r="P49" s="214"/>
      <c r="Q49" s="214"/>
    </row>
    <row r="50" spans="1:17">
      <c r="E50" s="214"/>
      <c r="F50" s="214"/>
      <c r="G50" s="214"/>
      <c r="H50" s="214"/>
      <c r="I50" s="214"/>
      <c r="J50" s="214"/>
      <c r="K50" s="214"/>
      <c r="L50" s="214"/>
      <c r="M50" s="214"/>
      <c r="N50" s="214"/>
      <c r="O50" s="214"/>
      <c r="P50" s="214"/>
      <c r="Q50" s="214"/>
    </row>
    <row r="51" spans="1:17">
      <c r="B51" s="18"/>
      <c r="C51" s="206"/>
      <c r="D51" s="206"/>
      <c r="E51" s="214"/>
      <c r="F51" s="214"/>
      <c r="G51" s="214"/>
      <c r="H51" s="214"/>
      <c r="I51" s="214"/>
      <c r="J51" s="214"/>
      <c r="K51" s="214"/>
      <c r="L51" s="214"/>
      <c r="M51" s="214"/>
      <c r="N51" s="214"/>
      <c r="O51" s="214"/>
      <c r="P51" s="214"/>
      <c r="Q51" s="214"/>
    </row>
    <row r="52" spans="1:17">
      <c r="A52" s="18"/>
      <c r="B52" s="18"/>
      <c r="E52" s="214"/>
      <c r="F52" s="214"/>
      <c r="G52" s="214"/>
      <c r="H52" s="214"/>
      <c r="I52" s="214"/>
      <c r="J52" s="214"/>
      <c r="K52" s="214"/>
      <c r="L52" s="214"/>
      <c r="M52" s="214"/>
      <c r="N52" s="214"/>
      <c r="O52" s="214"/>
      <c r="P52" s="214"/>
      <c r="Q52" s="214"/>
    </row>
    <row r="53" spans="1:17">
      <c r="A53" s="18"/>
      <c r="B53" s="18"/>
      <c r="E53" s="214"/>
      <c r="F53" s="214"/>
      <c r="G53" s="214"/>
      <c r="H53" s="214"/>
      <c r="I53" s="214"/>
      <c r="J53" s="214"/>
      <c r="K53" s="214"/>
      <c r="L53" s="214"/>
      <c r="M53" s="214"/>
      <c r="N53" s="214"/>
      <c r="O53" s="214"/>
      <c r="P53" s="214"/>
      <c r="Q53" s="214"/>
    </row>
    <row r="54" spans="1:17">
      <c r="A54" s="18"/>
      <c r="B54" s="18"/>
      <c r="C54" s="17"/>
      <c r="D54" s="17"/>
      <c r="E54" s="216"/>
      <c r="F54" s="216"/>
      <c r="G54" s="216"/>
      <c r="H54" s="216"/>
      <c r="I54" s="216"/>
      <c r="J54" s="216"/>
      <c r="K54" s="216"/>
      <c r="L54" s="216"/>
      <c r="M54" s="216"/>
      <c r="N54" s="216"/>
      <c r="O54" s="216"/>
      <c r="P54" s="216"/>
      <c r="Q54" s="216"/>
    </row>
    <row r="55" spans="1:17">
      <c r="A55" s="18"/>
      <c r="B55" s="18"/>
      <c r="E55" s="214"/>
      <c r="F55" s="214"/>
      <c r="G55" s="214"/>
      <c r="H55" s="214"/>
      <c r="I55" s="214"/>
      <c r="J55" s="214"/>
      <c r="K55" s="214"/>
      <c r="L55" s="214"/>
      <c r="M55" s="214"/>
      <c r="N55" s="214"/>
      <c r="O55" s="214"/>
      <c r="P55" s="214"/>
      <c r="Q55" s="214"/>
    </row>
    <row r="56" spans="1:17">
      <c r="A56" s="18"/>
      <c r="B56" s="18"/>
      <c r="E56" s="214"/>
      <c r="F56" s="214"/>
      <c r="G56" s="214"/>
      <c r="H56" s="214"/>
      <c r="I56" s="214"/>
      <c r="J56" s="214"/>
      <c r="K56" s="214"/>
      <c r="L56" s="214"/>
      <c r="M56" s="214"/>
      <c r="N56" s="214"/>
      <c r="O56" s="214"/>
      <c r="P56" s="214"/>
      <c r="Q56" s="214"/>
    </row>
    <row r="57" spans="1:17">
      <c r="A57" s="18"/>
      <c r="B57" s="18"/>
      <c r="E57" s="214"/>
      <c r="F57" s="214"/>
      <c r="G57" s="214"/>
      <c r="H57" s="214"/>
      <c r="I57" s="214"/>
      <c r="J57" s="214"/>
      <c r="K57" s="214"/>
      <c r="L57" s="214"/>
      <c r="M57" s="214"/>
      <c r="N57" s="214"/>
      <c r="O57" s="214"/>
      <c r="P57" s="214"/>
      <c r="Q57" s="214"/>
    </row>
    <row r="58" spans="1:17">
      <c r="A58" s="18"/>
      <c r="B58" s="18"/>
      <c r="C58" s="206"/>
      <c r="D58" s="206"/>
      <c r="E58" s="214"/>
      <c r="F58" s="214"/>
      <c r="G58" s="214"/>
      <c r="H58" s="214"/>
      <c r="I58" s="214"/>
      <c r="J58" s="214"/>
      <c r="K58" s="214"/>
      <c r="L58" s="214"/>
      <c r="M58" s="214"/>
      <c r="N58" s="214"/>
      <c r="O58" s="214"/>
      <c r="P58" s="214"/>
      <c r="Q58" s="214"/>
    </row>
    <row r="59" spans="1:17">
      <c r="A59" s="18"/>
      <c r="B59" s="18"/>
      <c r="E59" s="214"/>
      <c r="F59" s="214"/>
      <c r="G59" s="214"/>
      <c r="H59" s="214"/>
      <c r="I59" s="214"/>
      <c r="J59" s="214"/>
      <c r="K59" s="214"/>
      <c r="L59" s="214"/>
      <c r="M59" s="214"/>
      <c r="N59" s="214"/>
      <c r="O59" s="214"/>
      <c r="P59" s="214"/>
      <c r="Q59" s="214"/>
    </row>
    <row r="60" spans="1:17">
      <c r="A60" s="18"/>
      <c r="B60" s="18"/>
      <c r="E60" s="214"/>
      <c r="F60" s="214"/>
      <c r="G60" s="214"/>
      <c r="H60" s="214"/>
      <c r="I60" s="214"/>
      <c r="J60" s="214"/>
      <c r="K60" s="214"/>
      <c r="L60" s="214"/>
      <c r="M60" s="214"/>
      <c r="N60" s="214"/>
      <c r="O60" s="214"/>
      <c r="P60" s="214"/>
      <c r="Q60" s="214"/>
    </row>
    <row r="61" spans="1:17">
      <c r="A61" s="18"/>
      <c r="B61" s="18"/>
      <c r="E61" s="214"/>
      <c r="F61" s="214"/>
      <c r="G61" s="214"/>
      <c r="H61" s="214"/>
      <c r="I61" s="214"/>
      <c r="J61" s="214"/>
      <c r="K61" s="214"/>
      <c r="L61" s="214"/>
      <c r="M61" s="214"/>
      <c r="N61" s="214"/>
      <c r="O61" s="214"/>
      <c r="P61" s="214"/>
      <c r="Q61" s="214"/>
    </row>
    <row r="62" spans="1:17">
      <c r="A62" s="18"/>
      <c r="E62" s="214"/>
      <c r="F62" s="214"/>
      <c r="G62" s="214"/>
      <c r="H62" s="214"/>
      <c r="I62" s="214"/>
      <c r="J62" s="214"/>
      <c r="K62" s="214"/>
      <c r="L62" s="214"/>
      <c r="M62" s="214"/>
      <c r="N62" s="214"/>
      <c r="O62" s="214"/>
      <c r="P62" s="214"/>
      <c r="Q62" s="214"/>
    </row>
    <row r="63" spans="1:17">
      <c r="A63" s="18"/>
      <c r="E63" s="214"/>
      <c r="F63" s="214"/>
      <c r="G63" s="214"/>
      <c r="H63" s="214"/>
      <c r="I63" s="214"/>
      <c r="J63" s="214"/>
      <c r="K63" s="214"/>
      <c r="L63" s="214"/>
      <c r="M63" s="214"/>
      <c r="N63" s="214"/>
      <c r="O63" s="214"/>
      <c r="P63" s="214"/>
      <c r="Q63" s="214"/>
    </row>
    <row r="64" spans="1:17">
      <c r="A64" s="18"/>
      <c r="E64" s="216"/>
      <c r="F64" s="216"/>
      <c r="G64" s="216"/>
      <c r="H64" s="216"/>
      <c r="I64" s="216"/>
      <c r="J64" s="216"/>
      <c r="K64" s="216"/>
      <c r="L64" s="216"/>
      <c r="M64" s="216"/>
      <c r="N64" s="216"/>
      <c r="O64" s="216"/>
      <c r="P64" s="216"/>
      <c r="Q64" s="216"/>
    </row>
    <row r="65" spans="1:17">
      <c r="A65" s="18"/>
      <c r="E65" s="214"/>
      <c r="F65" s="214"/>
      <c r="G65" s="214"/>
      <c r="H65" s="214"/>
      <c r="I65" s="214"/>
      <c r="J65" s="214"/>
      <c r="K65" s="214"/>
      <c r="L65" s="214"/>
      <c r="M65" s="214"/>
      <c r="N65" s="214"/>
      <c r="O65" s="214"/>
      <c r="P65" s="214"/>
      <c r="Q65" s="214"/>
    </row>
    <row r="66" spans="1:17">
      <c r="A66" s="18"/>
    </row>
    <row r="67" spans="1:17">
      <c r="A67" s="18"/>
      <c r="E67" s="214"/>
      <c r="F67" s="214"/>
      <c r="G67" s="214"/>
      <c r="H67" s="214"/>
      <c r="I67" s="214"/>
      <c r="J67" s="214"/>
      <c r="K67" s="214"/>
      <c r="L67" s="214"/>
      <c r="M67" s="214"/>
      <c r="N67" s="214"/>
      <c r="O67" s="214"/>
      <c r="P67" s="214"/>
      <c r="Q67" s="214"/>
    </row>
    <row r="68" spans="1:17">
      <c r="A68" s="18"/>
      <c r="C68" s="17" t="s">
        <v>697</v>
      </c>
      <c r="D68" s="17"/>
    </row>
  </sheetData>
  <mergeCells count="6">
    <mergeCell ref="A6:Q6"/>
    <mergeCell ref="A5:Q5"/>
    <mergeCell ref="A1:Q1"/>
    <mergeCell ref="A2:Q2"/>
    <mergeCell ref="A3:Q3"/>
    <mergeCell ref="A4:Q4"/>
  </mergeCells>
  <pageMargins left="0.25" right="0.25" top="0.75" bottom="0.25" header="0.25" footer="0.25"/>
  <pageSetup scale="59" orientation="landscape" horizontalDpi="4294967293" r:id="rId1"/>
  <headerFooter alignWithMargins="0">
    <oddHeader>&amp;RGroen Direct Exhibit 1.1, Schedule 26
Page 4 of 13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U59"/>
  <sheetViews>
    <sheetView view="pageLayout" topLeftCell="F1" zoomScaleNormal="80" workbookViewId="0">
      <selection activeCell="J12" sqref="J12"/>
    </sheetView>
  </sheetViews>
  <sheetFormatPr defaultColWidth="9.140625" defaultRowHeight="15.75"/>
  <cols>
    <col min="1" max="1" width="5.140625" style="16" customWidth="1"/>
    <col min="2" max="2" width="9.28515625" style="16" bestFit="1" customWidth="1"/>
    <col min="3" max="3" width="32.7109375" style="16" customWidth="1"/>
    <col min="4" max="5" width="11.28515625" style="16" bestFit="1" customWidth="1"/>
    <col min="6" max="6" width="8.28515625" style="16" customWidth="1"/>
    <col min="7" max="7" width="16.7109375" style="16" bestFit="1" customWidth="1"/>
    <col min="8" max="12" width="15.5703125" style="16" customWidth="1"/>
    <col min="13" max="13" width="14.85546875" style="16" customWidth="1"/>
    <col min="14" max="15" width="14.42578125" style="16" customWidth="1"/>
    <col min="16" max="16" width="15" style="16" customWidth="1"/>
    <col min="17" max="17" width="14.42578125" style="16" customWidth="1"/>
    <col min="18" max="18" width="13.42578125" style="16" customWidth="1"/>
    <col min="19" max="19" width="13" style="16" customWidth="1"/>
    <col min="20" max="20" width="15.28515625" style="16" bestFit="1" customWidth="1"/>
    <col min="21" max="16384" width="9.140625" style="16"/>
  </cols>
  <sheetData>
    <row r="1" spans="1:21">
      <c r="A1" s="287" t="s">
        <v>787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</row>
    <row r="2" spans="1:21">
      <c r="A2" s="287" t="s">
        <v>791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</row>
    <row r="3" spans="1:21">
      <c r="A3" s="287" t="s">
        <v>792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  <c r="P3" s="287"/>
      <c r="Q3" s="287"/>
      <c r="R3" s="287"/>
      <c r="S3" s="287"/>
      <c r="T3" s="287"/>
    </row>
    <row r="4" spans="1:21">
      <c r="A4" s="287" t="s">
        <v>698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  <c r="R4" s="287"/>
      <c r="S4" s="287"/>
      <c r="T4" s="287"/>
    </row>
    <row r="5" spans="1:21">
      <c r="A5" s="305" t="str">
        <f>'Sch 25 - WACC'!A5</f>
        <v>FOR THE YEAR ENDING DECEMBER 31, 2025</v>
      </c>
      <c r="B5" s="305"/>
      <c r="C5" s="305"/>
      <c r="D5" s="305"/>
      <c r="E5" s="305"/>
      <c r="F5" s="305"/>
      <c r="G5" s="305"/>
      <c r="H5" s="305"/>
      <c r="I5" s="305"/>
      <c r="J5" s="305"/>
      <c r="K5" s="305"/>
      <c r="L5" s="305"/>
      <c r="M5" s="305"/>
      <c r="N5" s="305"/>
      <c r="O5" s="305"/>
      <c r="P5" s="305"/>
      <c r="Q5" s="305"/>
      <c r="R5" s="305"/>
      <c r="S5" s="305"/>
      <c r="T5" s="305"/>
    </row>
    <row r="6" spans="1:21">
      <c r="A6" s="289" t="s">
        <v>793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  <c r="R6" s="289"/>
      <c r="S6" s="289"/>
      <c r="T6" s="289"/>
    </row>
    <row r="7" spans="1:21">
      <c r="A7" s="2"/>
      <c r="B7" s="205"/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</row>
    <row r="8" spans="1:21">
      <c r="B8" s="18" t="s">
        <v>50</v>
      </c>
      <c r="C8" s="18" t="s">
        <v>51</v>
      </c>
      <c r="D8" s="18" t="s">
        <v>86</v>
      </c>
      <c r="E8" s="18" t="s">
        <v>87</v>
      </c>
      <c r="F8" s="18" t="s">
        <v>88</v>
      </c>
      <c r="G8" s="18"/>
      <c r="H8" s="18" t="s">
        <v>89</v>
      </c>
      <c r="I8" s="18" t="s">
        <v>140</v>
      </c>
      <c r="J8" s="18" t="s">
        <v>141</v>
      </c>
      <c r="K8" s="18" t="s">
        <v>142</v>
      </c>
      <c r="L8" s="18" t="s">
        <v>143</v>
      </c>
      <c r="M8" s="18" t="s">
        <v>144</v>
      </c>
      <c r="N8" s="18" t="s">
        <v>145</v>
      </c>
      <c r="O8" s="18" t="s">
        <v>146</v>
      </c>
      <c r="P8" s="18" t="s">
        <v>147</v>
      </c>
      <c r="Q8" s="18" t="s">
        <v>148</v>
      </c>
      <c r="R8" s="18" t="s">
        <v>149</v>
      </c>
      <c r="S8" s="18" t="s">
        <v>150</v>
      </c>
      <c r="T8" s="18" t="s">
        <v>230</v>
      </c>
      <c r="U8" s="18"/>
    </row>
    <row r="9" spans="1:21">
      <c r="D9" s="18" t="s">
        <v>636</v>
      </c>
      <c r="E9" s="18" t="s">
        <v>637</v>
      </c>
      <c r="F9" s="18" t="s">
        <v>116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spans="1:21">
      <c r="D10" s="18" t="s">
        <v>638</v>
      </c>
      <c r="E10" s="18" t="s">
        <v>638</v>
      </c>
      <c r="F10" s="18" t="s">
        <v>233</v>
      </c>
      <c r="G10" s="211">
        <v>45654</v>
      </c>
      <c r="H10" s="211">
        <v>45685</v>
      </c>
      <c r="I10" s="211">
        <v>45716</v>
      </c>
      <c r="J10" s="211">
        <v>45744</v>
      </c>
      <c r="K10" s="211">
        <v>45775</v>
      </c>
      <c r="L10" s="211">
        <v>45805</v>
      </c>
      <c r="M10" s="211">
        <v>45836</v>
      </c>
      <c r="N10" s="211">
        <v>45866</v>
      </c>
      <c r="O10" s="211">
        <v>45897</v>
      </c>
      <c r="P10" s="211">
        <v>45928</v>
      </c>
      <c r="Q10" s="211">
        <v>45958</v>
      </c>
      <c r="R10" s="211">
        <v>45989</v>
      </c>
      <c r="S10" s="211">
        <v>46019</v>
      </c>
      <c r="T10" s="211" t="s">
        <v>699</v>
      </c>
    </row>
    <row r="11" spans="1:21">
      <c r="C11" s="206" t="s">
        <v>640</v>
      </c>
      <c r="D11" s="18"/>
      <c r="E11" s="18"/>
      <c r="F11" s="18"/>
      <c r="G11" s="18"/>
      <c r="H11" s="243"/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18" t="s">
        <v>499</v>
      </c>
    </row>
    <row r="12" spans="1:21">
      <c r="A12" s="18"/>
    </row>
    <row r="13" spans="1:21">
      <c r="A13" s="18"/>
      <c r="H13" s="214"/>
      <c r="I13" s="214"/>
      <c r="J13" s="214"/>
      <c r="K13" s="214"/>
      <c r="L13" s="214"/>
      <c r="M13" s="214"/>
      <c r="N13" s="214"/>
      <c r="O13" s="214"/>
      <c r="P13" s="214"/>
      <c r="Q13" s="214"/>
      <c r="R13" s="214"/>
      <c r="S13" s="214"/>
      <c r="T13" s="214"/>
    </row>
    <row r="14" spans="1:21">
      <c r="A14" s="18"/>
      <c r="C14" s="206" t="s">
        <v>641</v>
      </c>
      <c r="D14" s="18"/>
      <c r="E14" s="18"/>
      <c r="F14" s="18"/>
      <c r="G14" s="18"/>
      <c r="H14" s="214"/>
      <c r="I14" s="214"/>
      <c r="J14" s="214"/>
      <c r="K14" s="214"/>
      <c r="L14" s="214"/>
      <c r="M14" s="214"/>
      <c r="N14" s="214"/>
      <c r="O14" s="214"/>
      <c r="P14" s="214"/>
      <c r="Q14" s="214"/>
      <c r="R14" s="214"/>
      <c r="S14" s="214"/>
      <c r="T14" s="214"/>
    </row>
    <row r="15" spans="1:21">
      <c r="A15" s="18">
        <v>1</v>
      </c>
      <c r="B15" s="18">
        <v>226080</v>
      </c>
      <c r="C15" s="219" t="s">
        <v>642</v>
      </c>
      <c r="D15" s="227">
        <v>41536</v>
      </c>
      <c r="E15" s="227">
        <v>52489</v>
      </c>
      <c r="F15" s="226">
        <v>4.8000000000000001E-2</v>
      </c>
      <c r="G15" s="214">
        <v>1030874.2099999995</v>
      </c>
      <c r="H15" s="214">
        <v>1026282.3399999995</v>
      </c>
      <c r="I15" s="214">
        <v>1021690.4699999995</v>
      </c>
      <c r="J15" s="214">
        <v>1017098.6099999995</v>
      </c>
      <c r="K15" s="214">
        <v>1012506.7399999995</v>
      </c>
      <c r="L15" s="214">
        <v>1007914.8699999995</v>
      </c>
      <c r="M15" s="214">
        <v>1003323.0099999995</v>
      </c>
      <c r="N15" s="214">
        <v>998731.13999999955</v>
      </c>
      <c r="O15" s="214">
        <v>994139.26999999955</v>
      </c>
      <c r="P15" s="214">
        <v>989547.39999999956</v>
      </c>
      <c r="Q15" s="214">
        <v>984955.53999999957</v>
      </c>
      <c r="R15" s="214">
        <v>980363.66999999946</v>
      </c>
      <c r="S15" s="214">
        <v>975771.79999999946</v>
      </c>
      <c r="T15" s="214">
        <f t="shared" ref="T15:T29" si="0">(SUM(G15:S15)/13)</f>
        <v>1003323.0053846149</v>
      </c>
    </row>
    <row r="16" spans="1:21">
      <c r="A16" s="18">
        <f>A15+1</f>
        <v>2</v>
      </c>
      <c r="B16" s="18">
        <v>226083</v>
      </c>
      <c r="C16" s="219" t="s">
        <v>643</v>
      </c>
      <c r="D16" s="227">
        <v>41732</v>
      </c>
      <c r="E16" s="227">
        <v>52885</v>
      </c>
      <c r="F16" s="226">
        <v>4.3999999999999997E-2</v>
      </c>
      <c r="G16" s="214">
        <v>1558553.8699999994</v>
      </c>
      <c r="H16" s="214">
        <v>1551991.5399999996</v>
      </c>
      <c r="I16" s="214">
        <v>1545429.2099999995</v>
      </c>
      <c r="J16" s="214">
        <v>1538866.8799999994</v>
      </c>
      <c r="K16" s="214">
        <v>1532304.5399999996</v>
      </c>
      <c r="L16" s="214">
        <v>1525742.2099999995</v>
      </c>
      <c r="M16" s="214">
        <v>1519179.8799999994</v>
      </c>
      <c r="N16" s="214">
        <v>1512617.5499999993</v>
      </c>
      <c r="O16" s="214">
        <v>1506055.2199999993</v>
      </c>
      <c r="P16" s="214">
        <v>1499492.8799999994</v>
      </c>
      <c r="Q16" s="214">
        <v>1492930.5499999993</v>
      </c>
      <c r="R16" s="214">
        <v>1486368.2199999993</v>
      </c>
      <c r="S16" s="214">
        <v>1479805.8899999992</v>
      </c>
      <c r="T16" s="214">
        <f t="shared" si="0"/>
        <v>1519179.8799999992</v>
      </c>
    </row>
    <row r="17" spans="1:20">
      <c r="A17" s="18">
        <f t="shared" ref="A17:A29" si="1">A16+1</f>
        <v>3</v>
      </c>
      <c r="B17" s="18">
        <v>226085</v>
      </c>
      <c r="C17" s="219" t="s">
        <v>644</v>
      </c>
      <c r="D17" s="227">
        <v>42292</v>
      </c>
      <c r="E17" s="227">
        <v>53448</v>
      </c>
      <c r="F17" s="226">
        <v>4.2500000000000003E-2</v>
      </c>
      <c r="G17" s="214">
        <v>433784.38</v>
      </c>
      <c r="H17" s="214">
        <v>432090.13</v>
      </c>
      <c r="I17" s="214">
        <v>430395.88</v>
      </c>
      <c r="J17" s="214">
        <v>428701.64</v>
      </c>
      <c r="K17" s="214">
        <v>427007.39</v>
      </c>
      <c r="L17" s="214">
        <v>425313.14</v>
      </c>
      <c r="M17" s="214">
        <v>423618.89</v>
      </c>
      <c r="N17" s="214">
        <v>421924.64</v>
      </c>
      <c r="O17" s="214">
        <v>420230.39</v>
      </c>
      <c r="P17" s="214">
        <v>418536.14</v>
      </c>
      <c r="Q17" s="214">
        <v>416841.89</v>
      </c>
      <c r="R17" s="214">
        <v>415147.64</v>
      </c>
      <c r="S17" s="214">
        <v>413453.39</v>
      </c>
      <c r="T17" s="214">
        <f t="shared" si="0"/>
        <v>423618.8876923077</v>
      </c>
    </row>
    <row r="18" spans="1:20">
      <c r="A18" s="18">
        <f t="shared" si="1"/>
        <v>4</v>
      </c>
      <c r="B18" s="18">
        <v>226087</v>
      </c>
      <c r="C18" s="219" t="s">
        <v>645</v>
      </c>
      <c r="D18" s="227">
        <v>42767</v>
      </c>
      <c r="E18" s="227">
        <v>46508</v>
      </c>
      <c r="F18" s="226">
        <v>3.1E-2</v>
      </c>
      <c r="G18" s="214">
        <v>27349.589999999997</v>
      </c>
      <c r="H18" s="214">
        <v>26373.979999999996</v>
      </c>
      <c r="I18" s="214">
        <v>25398.369999999995</v>
      </c>
      <c r="J18" s="214">
        <v>24422.759999999995</v>
      </c>
      <c r="K18" s="214">
        <v>23447.149999999994</v>
      </c>
      <c r="L18" s="214">
        <v>22471.539999999994</v>
      </c>
      <c r="M18" s="214">
        <v>21495.929999999993</v>
      </c>
      <c r="N18" s="214">
        <v>20520.330000000002</v>
      </c>
      <c r="O18" s="214">
        <v>19544.72</v>
      </c>
      <c r="P18" s="214">
        <v>18569.11</v>
      </c>
      <c r="Q18" s="214">
        <v>17593.5</v>
      </c>
      <c r="R18" s="214">
        <v>16617.89</v>
      </c>
      <c r="S18" s="214">
        <v>15642.279999999999</v>
      </c>
      <c r="T18" s="214">
        <f t="shared" si="0"/>
        <v>21495.934615384616</v>
      </c>
    </row>
    <row r="19" spans="1:20">
      <c r="A19" s="18">
        <f t="shared" si="1"/>
        <v>5</v>
      </c>
      <c r="B19" s="18">
        <v>226088</v>
      </c>
      <c r="C19" s="219" t="s">
        <v>646</v>
      </c>
      <c r="D19" s="227">
        <v>42767</v>
      </c>
      <c r="E19" s="227">
        <v>53905</v>
      </c>
      <c r="F19" s="226">
        <v>3.95E-2</v>
      </c>
      <c r="G19" s="214">
        <v>495968.78000000014</v>
      </c>
      <c r="H19" s="214">
        <v>494138.87000000011</v>
      </c>
      <c r="I19" s="214">
        <v>492308.95000000013</v>
      </c>
      <c r="J19" s="214">
        <v>490479.03000000014</v>
      </c>
      <c r="K19" s="214">
        <v>488649.1100000001</v>
      </c>
      <c r="L19" s="214">
        <v>486819.19000000012</v>
      </c>
      <c r="M19" s="214">
        <v>484989.28000000014</v>
      </c>
      <c r="N19" s="214">
        <v>483159.3600000001</v>
      </c>
      <c r="O19" s="214">
        <v>481329.44000000012</v>
      </c>
      <c r="P19" s="214">
        <v>479499.52000000014</v>
      </c>
      <c r="Q19" s="214">
        <v>477669.60000000015</v>
      </c>
      <c r="R19" s="214">
        <v>475839.69000000018</v>
      </c>
      <c r="S19" s="214">
        <v>474009.77000000014</v>
      </c>
      <c r="T19" s="214">
        <f t="shared" si="0"/>
        <v>484989.27615384635</v>
      </c>
    </row>
    <row r="20" spans="1:20">
      <c r="A20" s="18">
        <f t="shared" si="1"/>
        <v>6</v>
      </c>
      <c r="B20" s="18">
        <v>226089</v>
      </c>
      <c r="C20" s="219" t="s">
        <v>647</v>
      </c>
      <c r="D20" s="227">
        <v>43132</v>
      </c>
      <c r="E20" s="227">
        <v>54271</v>
      </c>
      <c r="F20" s="226">
        <v>3.6499999999999998E-2</v>
      </c>
      <c r="G20" s="214">
        <v>4725728.6900000013</v>
      </c>
      <c r="H20" s="214">
        <v>4709031.9700000016</v>
      </c>
      <c r="I20" s="214">
        <v>4692335.2500000019</v>
      </c>
      <c r="J20" s="214">
        <v>4675638.5200000014</v>
      </c>
      <c r="K20" s="214">
        <v>4658941.8000000017</v>
      </c>
      <c r="L20" s="214">
        <v>4642245.0800000019</v>
      </c>
      <c r="M20" s="214">
        <v>4625548.3600000022</v>
      </c>
      <c r="N20" s="214">
        <v>4608851.6400000025</v>
      </c>
      <c r="O20" s="214">
        <v>4592154.9200000027</v>
      </c>
      <c r="P20" s="214">
        <v>4575458.200000003</v>
      </c>
      <c r="Q20" s="214">
        <v>4558761.4800000032</v>
      </c>
      <c r="R20" s="214">
        <v>4542064.7500000037</v>
      </c>
      <c r="S20" s="214">
        <v>4525368.030000004</v>
      </c>
      <c r="T20" s="214">
        <f t="shared" si="0"/>
        <v>4625548.3607692327</v>
      </c>
    </row>
    <row r="21" spans="1:20">
      <c r="A21" s="18">
        <f t="shared" si="1"/>
        <v>7</v>
      </c>
      <c r="B21" s="18">
        <v>226090</v>
      </c>
      <c r="C21" s="219" t="s">
        <v>691</v>
      </c>
      <c r="D21" s="227">
        <v>43739</v>
      </c>
      <c r="E21" s="227">
        <v>47223</v>
      </c>
      <c r="F21" s="226">
        <v>3.6499999999999998E-2</v>
      </c>
      <c r="G21" s="214">
        <v>3182006.92</v>
      </c>
      <c r="H21" s="214">
        <v>3120220.38</v>
      </c>
      <c r="I21" s="214">
        <v>3058433.84</v>
      </c>
      <c r="J21" s="214">
        <v>2996647.3</v>
      </c>
      <c r="K21" s="214">
        <v>2934860.75</v>
      </c>
      <c r="L21" s="214">
        <v>2873074.21</v>
      </c>
      <c r="M21" s="214">
        <v>2811287.67</v>
      </c>
      <c r="N21" s="214">
        <v>2749501.13</v>
      </c>
      <c r="O21" s="214">
        <v>2687714.59</v>
      </c>
      <c r="P21" s="214">
        <v>2625928.04</v>
      </c>
      <c r="Q21" s="214">
        <v>2564141.5</v>
      </c>
      <c r="R21" s="214">
        <v>2502354.96</v>
      </c>
      <c r="S21" s="214">
        <v>2440568.42</v>
      </c>
      <c r="T21" s="214">
        <f>(SUM(G21:S21)/13)</f>
        <v>2811287.67</v>
      </c>
    </row>
    <row r="22" spans="1:20">
      <c r="A22" s="18">
        <f t="shared" si="1"/>
        <v>8</v>
      </c>
      <c r="B22" s="18">
        <v>226091</v>
      </c>
      <c r="C22" s="219" t="s">
        <v>649</v>
      </c>
      <c r="D22" s="227">
        <v>43472</v>
      </c>
      <c r="E22" s="227">
        <v>54619</v>
      </c>
      <c r="F22" s="226">
        <v>4.2500000000000003E-2</v>
      </c>
      <c r="G22" s="214">
        <v>16812475.030000005</v>
      </c>
      <c r="H22" s="214">
        <v>16755386.830000006</v>
      </c>
      <c r="I22" s="214">
        <v>16698298.630000006</v>
      </c>
      <c r="J22" s="214">
        <v>16641210.430000007</v>
      </c>
      <c r="K22" s="214">
        <v>16584122.230000008</v>
      </c>
      <c r="L22" s="214">
        <v>16527034.030000009</v>
      </c>
      <c r="M22" s="214">
        <v>16469945.830000009</v>
      </c>
      <c r="N22" s="214">
        <v>16412857.63000001</v>
      </c>
      <c r="O22" s="214">
        <v>16355769.430000011</v>
      </c>
      <c r="P22" s="214">
        <v>16298681.22000001</v>
      </c>
      <c r="Q22" s="214">
        <v>16241593.020000011</v>
      </c>
      <c r="R22" s="214">
        <v>16184504.820000011</v>
      </c>
      <c r="S22" s="214">
        <v>16127416.620000012</v>
      </c>
      <c r="T22" s="214">
        <f t="shared" si="0"/>
        <v>16469945.826923085</v>
      </c>
    </row>
    <row r="23" spans="1:20">
      <c r="A23" s="18">
        <f t="shared" si="1"/>
        <v>9</v>
      </c>
      <c r="B23" s="18">
        <v>226092</v>
      </c>
      <c r="C23" s="219" t="s">
        <v>700</v>
      </c>
      <c r="D23" s="227">
        <v>43739</v>
      </c>
      <c r="E23" s="227">
        <v>54893</v>
      </c>
      <c r="F23" s="226">
        <v>3.15E-2</v>
      </c>
      <c r="G23" s="214">
        <v>2806131.1500000004</v>
      </c>
      <c r="H23" s="214">
        <v>2796885.2500000005</v>
      </c>
      <c r="I23" s="214">
        <v>2787639.3400000003</v>
      </c>
      <c r="J23" s="214">
        <v>2778393.4400000004</v>
      </c>
      <c r="K23" s="214">
        <v>2769147.5400000005</v>
      </c>
      <c r="L23" s="214">
        <v>2759901.6400000006</v>
      </c>
      <c r="M23" s="214">
        <v>2750655.7400000007</v>
      </c>
      <c r="N23" s="214">
        <v>2741409.8400000008</v>
      </c>
      <c r="O23" s="214">
        <v>2732163.9300000006</v>
      </c>
      <c r="P23" s="214">
        <v>2722918.0300000007</v>
      </c>
      <c r="Q23" s="214">
        <v>2713672.1300000008</v>
      </c>
      <c r="R23" s="214">
        <v>2704426.2300000009</v>
      </c>
      <c r="S23" s="214">
        <v>2695180.330000001</v>
      </c>
      <c r="T23" s="214">
        <f t="shared" si="0"/>
        <v>2750655.7376923081</v>
      </c>
    </row>
    <row r="24" spans="1:20">
      <c r="A24" s="18">
        <f t="shared" si="1"/>
        <v>10</v>
      </c>
      <c r="B24" s="18">
        <v>226094</v>
      </c>
      <c r="C24" s="219" t="s">
        <v>701</v>
      </c>
      <c r="D24" s="227">
        <v>44378</v>
      </c>
      <c r="E24" s="227">
        <v>55732</v>
      </c>
      <c r="F24" s="226">
        <v>2.7E-2</v>
      </c>
      <c r="G24" s="214">
        <v>3158209.3999999994</v>
      </c>
      <c r="H24" s="214">
        <v>3148668.9399999995</v>
      </c>
      <c r="I24" s="214">
        <v>3139128.4799999995</v>
      </c>
      <c r="J24" s="214">
        <v>3129588.0299999993</v>
      </c>
      <c r="K24" s="214">
        <v>3120047.5699999994</v>
      </c>
      <c r="L24" s="214">
        <v>3110507.1099999994</v>
      </c>
      <c r="M24" s="214">
        <v>3100966.6599999992</v>
      </c>
      <c r="N24" s="214">
        <v>3091426.1999999993</v>
      </c>
      <c r="O24" s="214">
        <v>3081885.7399999993</v>
      </c>
      <c r="P24" s="214">
        <v>3072345.2799999993</v>
      </c>
      <c r="Q24" s="214">
        <v>3062804.8299999991</v>
      </c>
      <c r="R24" s="214">
        <v>3053264.3699999992</v>
      </c>
      <c r="S24" s="214">
        <v>3043723.9099999992</v>
      </c>
      <c r="T24" s="214">
        <f t="shared" si="0"/>
        <v>3100966.6553846146</v>
      </c>
    </row>
    <row r="25" spans="1:20">
      <c r="A25" s="18">
        <f t="shared" si="1"/>
        <v>11</v>
      </c>
      <c r="B25" s="18">
        <v>226095</v>
      </c>
      <c r="C25" s="219" t="s">
        <v>653</v>
      </c>
      <c r="D25" s="227">
        <v>45174</v>
      </c>
      <c r="E25" s="227">
        <v>48959</v>
      </c>
      <c r="F25" s="226">
        <v>5.3499999999999999E-2</v>
      </c>
      <c r="G25" s="214">
        <v>409494.36999999988</v>
      </c>
      <c r="H25" s="214">
        <v>405720.22999999986</v>
      </c>
      <c r="I25" s="214">
        <v>401946.07999999984</v>
      </c>
      <c r="J25" s="214">
        <v>398171.93999999983</v>
      </c>
      <c r="K25" s="214">
        <v>394397.79999999981</v>
      </c>
      <c r="L25" s="214">
        <v>390623.6599999998</v>
      </c>
      <c r="M25" s="214">
        <v>386849.51999999979</v>
      </c>
      <c r="N25" s="214">
        <v>383075.37999999977</v>
      </c>
      <c r="O25" s="214">
        <v>379301.22999999975</v>
      </c>
      <c r="P25" s="214">
        <v>375527.08999999973</v>
      </c>
      <c r="Q25" s="214">
        <v>371752.94999999972</v>
      </c>
      <c r="R25" s="214">
        <v>367978.80999999971</v>
      </c>
      <c r="S25" s="214">
        <v>364204.66999999969</v>
      </c>
      <c r="T25" s="214">
        <f t="shared" si="0"/>
        <v>386849.51769230753</v>
      </c>
    </row>
    <row r="26" spans="1:20">
      <c r="A26" s="18">
        <f t="shared" si="1"/>
        <v>12</v>
      </c>
      <c r="B26" s="18">
        <v>226096</v>
      </c>
      <c r="C26" s="219" t="s">
        <v>654</v>
      </c>
      <c r="D26" s="227">
        <v>45174</v>
      </c>
      <c r="E26" s="227">
        <v>56507</v>
      </c>
      <c r="F26" s="226">
        <v>5.8500000000000003E-2</v>
      </c>
      <c r="G26" s="214">
        <v>1110870.3299999996</v>
      </c>
      <c r="H26" s="214">
        <v>1107754.2899999996</v>
      </c>
      <c r="I26" s="214">
        <v>1104638.2399999995</v>
      </c>
      <c r="J26" s="214">
        <v>1101522.1999999995</v>
      </c>
      <c r="K26" s="214">
        <v>1098406.1499999994</v>
      </c>
      <c r="L26" s="214">
        <v>1095290.0999999994</v>
      </c>
      <c r="M26" s="214">
        <v>1092174.0599999994</v>
      </c>
      <c r="N26" s="214">
        <v>1089058.0099999993</v>
      </c>
      <c r="O26" s="214">
        <v>1085941.9699999993</v>
      </c>
      <c r="P26" s="214">
        <v>1082825.9199999992</v>
      </c>
      <c r="Q26" s="214">
        <v>1079709.8799999992</v>
      </c>
      <c r="R26" s="214">
        <v>1076593.8299999991</v>
      </c>
      <c r="S26" s="214">
        <v>1073477.7799999991</v>
      </c>
      <c r="T26" s="214">
        <f t="shared" si="0"/>
        <v>1092174.0584615378</v>
      </c>
    </row>
    <row r="27" spans="1:20">
      <c r="A27" s="18">
        <f t="shared" si="1"/>
        <v>13</v>
      </c>
      <c r="B27" s="18">
        <v>226097</v>
      </c>
      <c r="C27" s="219" t="s">
        <v>655</v>
      </c>
      <c r="D27" s="227">
        <v>45315</v>
      </c>
      <c r="E27" s="227">
        <v>56646</v>
      </c>
      <c r="F27" s="226">
        <v>5.2999999999999999E-2</v>
      </c>
      <c r="G27" s="214">
        <v>2467454.4700000002</v>
      </c>
      <c r="H27" s="214">
        <v>2460620.0500000003</v>
      </c>
      <c r="I27" s="214">
        <v>2453785.6300000004</v>
      </c>
      <c r="J27" s="214">
        <v>2446951.2100000004</v>
      </c>
      <c r="K27" s="214">
        <v>2440116.7800000003</v>
      </c>
      <c r="L27" s="214">
        <v>2433282.3600000003</v>
      </c>
      <c r="M27" s="214">
        <v>2426447.9400000004</v>
      </c>
      <c r="N27" s="214">
        <v>2419613.5100000002</v>
      </c>
      <c r="O27" s="214">
        <v>2412779.0900000003</v>
      </c>
      <c r="P27" s="214">
        <v>2405944.6700000004</v>
      </c>
      <c r="Q27" s="214">
        <v>2399110.2500000005</v>
      </c>
      <c r="R27" s="214">
        <v>2392275.8200000003</v>
      </c>
      <c r="S27" s="214">
        <v>2385441.4000000004</v>
      </c>
      <c r="T27" s="214">
        <f t="shared" si="0"/>
        <v>2426447.9369230773</v>
      </c>
    </row>
    <row r="28" spans="1:20">
      <c r="A28" s="18">
        <f t="shared" si="1"/>
        <v>14</v>
      </c>
      <c r="B28" s="18" t="s">
        <v>656</v>
      </c>
      <c r="C28" s="219" t="s">
        <v>657</v>
      </c>
      <c r="D28" s="227">
        <v>45964</v>
      </c>
      <c r="E28" s="227">
        <v>57299</v>
      </c>
      <c r="F28" s="226">
        <v>5.5E-2</v>
      </c>
      <c r="G28" s="225">
        <v>0</v>
      </c>
      <c r="H28" s="225">
        <v>0</v>
      </c>
      <c r="I28" s="225">
        <v>0</v>
      </c>
      <c r="J28" s="225">
        <v>0</v>
      </c>
      <c r="K28" s="225">
        <v>0</v>
      </c>
      <c r="L28" s="225">
        <v>0</v>
      </c>
      <c r="M28" s="225">
        <v>0</v>
      </c>
      <c r="N28" s="225">
        <v>0</v>
      </c>
      <c r="O28" s="225">
        <v>0</v>
      </c>
      <c r="P28" s="225">
        <v>0</v>
      </c>
      <c r="Q28" s="225">
        <v>0</v>
      </c>
      <c r="R28" s="225">
        <v>3065124.44</v>
      </c>
      <c r="S28" s="225">
        <v>3056873.77</v>
      </c>
      <c r="T28" s="225">
        <f t="shared" si="0"/>
        <v>470922.93923076923</v>
      </c>
    </row>
    <row r="29" spans="1:20">
      <c r="A29" s="18">
        <f t="shared" si="1"/>
        <v>15</v>
      </c>
      <c r="B29" s="18"/>
      <c r="C29" s="219" t="s">
        <v>658</v>
      </c>
      <c r="D29" s="227"/>
      <c r="E29" s="227"/>
      <c r="F29" s="226"/>
      <c r="G29" s="214">
        <f>SUM(G15:G28)</f>
        <v>38218901.189999998</v>
      </c>
      <c r="H29" s="214">
        <f>SUM(H15:H28)</f>
        <v>38035164.799999997</v>
      </c>
      <c r="I29" s="214">
        <f t="shared" ref="I29:S29" si="2">SUM(I15:I28)</f>
        <v>37851428.370000012</v>
      </c>
      <c r="J29" s="214">
        <f t="shared" si="2"/>
        <v>37667691.99000001</v>
      </c>
      <c r="K29" s="214">
        <f t="shared" si="2"/>
        <v>37483955.550000004</v>
      </c>
      <c r="L29" s="214">
        <f t="shared" si="2"/>
        <v>37300219.140000008</v>
      </c>
      <c r="M29" s="214">
        <f t="shared" si="2"/>
        <v>37116482.770000011</v>
      </c>
      <c r="N29" s="214">
        <f t="shared" si="2"/>
        <v>36932746.360000007</v>
      </c>
      <c r="O29" s="214">
        <f t="shared" si="2"/>
        <v>36749009.940000013</v>
      </c>
      <c r="P29" s="214">
        <f t="shared" si="2"/>
        <v>36565273.500000015</v>
      </c>
      <c r="Q29" s="214">
        <f t="shared" si="2"/>
        <v>36381537.120000012</v>
      </c>
      <c r="R29" s="214">
        <f t="shared" si="2"/>
        <v>39262925.140000015</v>
      </c>
      <c r="S29" s="214">
        <f t="shared" si="2"/>
        <v>39070938.060000017</v>
      </c>
      <c r="T29" s="214">
        <f t="shared" si="0"/>
        <v>37587405.686923087</v>
      </c>
    </row>
    <row r="30" spans="1:20">
      <c r="A30" s="18"/>
      <c r="B30" s="18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</row>
    <row r="31" spans="1:20">
      <c r="A31" s="18"/>
      <c r="B31" s="18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</row>
    <row r="32" spans="1:20">
      <c r="C32" s="206" t="s">
        <v>669</v>
      </c>
      <c r="D32" s="18"/>
      <c r="E32" s="18"/>
      <c r="F32" s="18"/>
      <c r="G32" s="18"/>
      <c r="H32" s="214"/>
      <c r="I32" s="214"/>
      <c r="J32" s="214"/>
      <c r="K32" s="214"/>
      <c r="L32" s="214"/>
      <c r="M32" s="214"/>
      <c r="N32" s="214"/>
      <c r="O32" s="214"/>
      <c r="P32" s="214"/>
      <c r="Q32" s="214"/>
      <c r="R32" s="214"/>
      <c r="S32" s="214"/>
      <c r="T32" s="214"/>
    </row>
    <row r="33" spans="1:20">
      <c r="A33" s="18">
        <f>A29+1</f>
        <v>16</v>
      </c>
      <c r="B33" s="18">
        <v>226050</v>
      </c>
      <c r="C33" s="16" t="s">
        <v>702</v>
      </c>
      <c r="D33" s="227">
        <v>44562</v>
      </c>
      <c r="E33" s="227">
        <v>51836</v>
      </c>
      <c r="F33" s="207">
        <v>7.1309999999999998E-2</v>
      </c>
      <c r="G33" s="214">
        <v>2357550.7800000007</v>
      </c>
      <c r="H33" s="214">
        <v>2338336.6000000006</v>
      </c>
      <c r="I33" s="214">
        <v>2319170.7800000007</v>
      </c>
      <c r="J33" s="214">
        <v>2300053.6100000008</v>
      </c>
      <c r="K33" s="214">
        <v>2280985.3800000008</v>
      </c>
      <c r="L33" s="214">
        <v>2261966.3800000008</v>
      </c>
      <c r="M33" s="214">
        <v>2242996.9100000006</v>
      </c>
      <c r="N33" s="214">
        <v>2270857.3200000008</v>
      </c>
      <c r="O33" s="214">
        <v>2251644.1200000006</v>
      </c>
      <c r="P33" s="214">
        <v>2232481.6200000006</v>
      </c>
      <c r="Q33" s="214">
        <v>2213370.1200000006</v>
      </c>
      <c r="R33" s="214">
        <v>2194309.9400000004</v>
      </c>
      <c r="S33" s="214">
        <v>2175301.3800000004</v>
      </c>
      <c r="T33" s="214">
        <f>(SUM(G33:S33)/13)</f>
        <v>2264540.3800000008</v>
      </c>
    </row>
    <row r="34" spans="1:20">
      <c r="A34" s="18">
        <f>A33+1</f>
        <v>17</v>
      </c>
      <c r="B34" s="18" t="s">
        <v>703</v>
      </c>
      <c r="C34" s="16" t="s">
        <v>671</v>
      </c>
      <c r="D34" s="227">
        <v>44743</v>
      </c>
      <c r="E34" s="227">
        <v>52018</v>
      </c>
      <c r="F34" s="207">
        <v>7.8399999999999997E-2</v>
      </c>
      <c r="G34" s="214">
        <v>3179471.3600000008</v>
      </c>
      <c r="H34" s="214">
        <v>3155137.3600000008</v>
      </c>
      <c r="I34" s="214">
        <v>3130856.2400000012</v>
      </c>
      <c r="J34" s="214">
        <v>3106628.350000001</v>
      </c>
      <c r="K34" s="214">
        <v>3082454.0400000014</v>
      </c>
      <c r="L34" s="214">
        <v>3058333.6600000011</v>
      </c>
      <c r="M34" s="214">
        <v>3034267.5700000012</v>
      </c>
      <c r="N34" s="214">
        <v>4245463.540000001</v>
      </c>
      <c r="O34" s="214">
        <v>4211616.4700000007</v>
      </c>
      <c r="P34" s="214">
        <v>4177848.3</v>
      </c>
      <c r="Q34" s="214">
        <v>4144075.6699999995</v>
      </c>
      <c r="R34" s="214">
        <v>4110466.8799999994</v>
      </c>
      <c r="S34" s="214">
        <v>4076938.5699999994</v>
      </c>
      <c r="T34" s="214">
        <f t="shared" ref="T34:T43" si="3">(SUM(G34:S34)/13)</f>
        <v>3593350.6161538465</v>
      </c>
    </row>
    <row r="35" spans="1:20">
      <c r="A35" s="18">
        <f t="shared" ref="A35:A39" si="4">A34+1</f>
        <v>18</v>
      </c>
      <c r="B35" s="18">
        <v>226052</v>
      </c>
      <c r="C35" s="16" t="s">
        <v>672</v>
      </c>
      <c r="D35" s="227">
        <v>44805</v>
      </c>
      <c r="E35" s="227">
        <v>52079</v>
      </c>
      <c r="F35" s="207">
        <v>7.8409999999999994E-2</v>
      </c>
      <c r="G35" s="214">
        <v>381564.53000000009</v>
      </c>
      <c r="H35" s="214">
        <v>378636.31000000011</v>
      </c>
      <c r="I35" s="214">
        <v>375714.4800000001</v>
      </c>
      <c r="J35" s="214">
        <v>372799.08000000007</v>
      </c>
      <c r="K35" s="214">
        <v>369890.15000000008</v>
      </c>
      <c r="L35" s="214">
        <v>366987.74000000011</v>
      </c>
      <c r="M35" s="214">
        <v>364091.88000000012</v>
      </c>
      <c r="N35" s="214">
        <v>356701.46000000014</v>
      </c>
      <c r="O35" s="214">
        <v>353849.67000000016</v>
      </c>
      <c r="P35" s="214">
        <v>351004.56000000017</v>
      </c>
      <c r="Q35" s="214">
        <v>348166.16000000015</v>
      </c>
      <c r="R35" s="214">
        <v>345334.53000000014</v>
      </c>
      <c r="S35" s="214">
        <v>342509.70000000013</v>
      </c>
      <c r="T35" s="214">
        <f t="shared" si="3"/>
        <v>362096.17307692312</v>
      </c>
    </row>
    <row r="36" spans="1:20">
      <c r="A36" s="18">
        <f t="shared" si="4"/>
        <v>19</v>
      </c>
      <c r="B36" s="18">
        <v>226053</v>
      </c>
      <c r="C36" s="16" t="s">
        <v>673</v>
      </c>
      <c r="D36" s="227">
        <v>45078</v>
      </c>
      <c r="E36" s="227">
        <v>52352</v>
      </c>
      <c r="F36" s="207">
        <v>7.8380000000000005E-2</v>
      </c>
      <c r="G36" s="214">
        <v>11222677.460000001</v>
      </c>
      <c r="H36" s="214">
        <v>11140991.520000001</v>
      </c>
      <c r="I36" s="214">
        <v>11059469.450000001</v>
      </c>
      <c r="J36" s="214">
        <v>10978112.340000002</v>
      </c>
      <c r="K36" s="214">
        <v>10896921.270000001</v>
      </c>
      <c r="L36" s="214">
        <v>10815897.330000002</v>
      </c>
      <c r="M36" s="214">
        <v>10735041.620000001</v>
      </c>
      <c r="N36" s="214">
        <v>10524596.330000002</v>
      </c>
      <c r="O36" s="214">
        <v>10444918.230000002</v>
      </c>
      <c r="P36" s="214">
        <v>10365411.430000002</v>
      </c>
      <c r="Q36" s="214">
        <v>10286077.040000001</v>
      </c>
      <c r="R36" s="214">
        <v>10206916.180000002</v>
      </c>
      <c r="S36" s="214">
        <v>10127929.980000002</v>
      </c>
      <c r="T36" s="214">
        <f>(SUM(G36:S36)/13)</f>
        <v>10677304.629230771</v>
      </c>
    </row>
    <row r="37" spans="1:20">
      <c r="A37" s="18">
        <f t="shared" si="4"/>
        <v>20</v>
      </c>
      <c r="B37" s="18">
        <v>226065</v>
      </c>
      <c r="C37" s="16" t="s">
        <v>674</v>
      </c>
      <c r="D37" s="227">
        <v>37295</v>
      </c>
      <c r="E37" s="227">
        <v>48212</v>
      </c>
      <c r="F37" s="207">
        <v>6.7500000000000004E-2</v>
      </c>
      <c r="G37" s="214">
        <v>1178018.9899999998</v>
      </c>
      <c r="H37" s="214">
        <v>1163994.9499999997</v>
      </c>
      <c r="I37" s="214">
        <v>1149970.9199999995</v>
      </c>
      <c r="J37" s="214">
        <v>1135946.8799999994</v>
      </c>
      <c r="K37" s="214">
        <v>1121922.8499999996</v>
      </c>
      <c r="L37" s="214">
        <v>1107898.8099999996</v>
      </c>
      <c r="M37" s="214">
        <v>1093874.7699999996</v>
      </c>
      <c r="N37" s="214">
        <v>1079850.7399999998</v>
      </c>
      <c r="O37" s="214">
        <v>1065826.6999999997</v>
      </c>
      <c r="P37" s="214">
        <v>1051802.6699999995</v>
      </c>
      <c r="Q37" s="214">
        <v>1037778.6299999994</v>
      </c>
      <c r="R37" s="214">
        <v>1023754.5999999996</v>
      </c>
      <c r="S37" s="214">
        <v>1009730.5599999996</v>
      </c>
      <c r="T37" s="214">
        <f t="shared" si="3"/>
        <v>1093874.7746153842</v>
      </c>
    </row>
    <row r="38" spans="1:20">
      <c r="A38" s="18">
        <f t="shared" si="4"/>
        <v>21</v>
      </c>
      <c r="B38" s="18">
        <v>226069</v>
      </c>
      <c r="C38" s="16" t="s">
        <v>675</v>
      </c>
      <c r="D38" s="227">
        <v>38657</v>
      </c>
      <c r="E38" s="227">
        <v>49614</v>
      </c>
      <c r="F38" s="207">
        <v>5.7500000000000002E-2</v>
      </c>
      <c r="G38" s="214">
        <v>93190.74</v>
      </c>
      <c r="H38" s="214">
        <v>92474.069999999992</v>
      </c>
      <c r="I38" s="214">
        <v>91757.409999999989</v>
      </c>
      <c r="J38" s="214">
        <v>91040.74</v>
      </c>
      <c r="K38" s="214">
        <v>90324.069999999992</v>
      </c>
      <c r="L38" s="214">
        <v>89607.400000000009</v>
      </c>
      <c r="M38" s="214">
        <v>88890.73</v>
      </c>
      <c r="N38" s="214">
        <v>88174.069999999992</v>
      </c>
      <c r="O38" s="214">
        <v>87457.400000000009</v>
      </c>
      <c r="P38" s="214">
        <v>86740.73</v>
      </c>
      <c r="Q38" s="214">
        <v>86024.059999999983</v>
      </c>
      <c r="R38" s="214">
        <v>85307.39</v>
      </c>
      <c r="S38" s="214">
        <v>84590.73</v>
      </c>
      <c r="T38" s="214">
        <f t="shared" si="3"/>
        <v>88890.733846153831</v>
      </c>
    </row>
    <row r="39" spans="1:20">
      <c r="A39" s="18">
        <f t="shared" si="4"/>
        <v>22</v>
      </c>
      <c r="B39" s="18">
        <v>226072</v>
      </c>
      <c r="C39" s="16" t="s">
        <v>676</v>
      </c>
      <c r="D39" s="227">
        <v>38996</v>
      </c>
      <c r="E39" s="227">
        <v>49963</v>
      </c>
      <c r="F39" s="207">
        <v>5.8000000000000003E-2</v>
      </c>
      <c r="G39" s="214">
        <v>219724.55000000002</v>
      </c>
      <c r="H39" s="214">
        <v>218171.73000000007</v>
      </c>
      <c r="I39" s="214">
        <v>216618.90000000005</v>
      </c>
      <c r="J39" s="214">
        <v>215066.08000000005</v>
      </c>
      <c r="K39" s="214">
        <v>213513.26000000004</v>
      </c>
      <c r="L39" s="214">
        <v>211960.43000000002</v>
      </c>
      <c r="M39" s="214">
        <v>210407.61000000002</v>
      </c>
      <c r="N39" s="214">
        <v>208854.79000000007</v>
      </c>
      <c r="O39" s="214">
        <v>207301.96000000005</v>
      </c>
      <c r="P39" s="214">
        <v>205749.14000000004</v>
      </c>
      <c r="Q39" s="214">
        <v>204196.31000000003</v>
      </c>
      <c r="R39" s="214">
        <v>202643.49000000002</v>
      </c>
      <c r="S39" s="214">
        <v>201090.67000000007</v>
      </c>
      <c r="T39" s="214">
        <f t="shared" si="3"/>
        <v>210407.60923076927</v>
      </c>
    </row>
    <row r="40" spans="1:20">
      <c r="A40" s="18">
        <f t="shared" ref="A40:A45" si="5">A39+1</f>
        <v>23</v>
      </c>
      <c r="B40" s="18">
        <v>226175</v>
      </c>
      <c r="C40" s="16" t="s">
        <v>677</v>
      </c>
      <c r="D40" s="227">
        <v>44454</v>
      </c>
      <c r="E40" s="227">
        <v>50284</v>
      </c>
      <c r="F40" s="207">
        <v>7.8280000000000002E-2</v>
      </c>
      <c r="G40" s="214">
        <v>2371753.5400000005</v>
      </c>
      <c r="H40" s="214">
        <v>2345266.7100000004</v>
      </c>
      <c r="I40" s="214">
        <v>2318880.9500000007</v>
      </c>
      <c r="J40" s="214">
        <v>2292596.9200000009</v>
      </c>
      <c r="K40" s="214">
        <v>2266415.290000001</v>
      </c>
      <c r="L40" s="214">
        <v>2240336.7200000011</v>
      </c>
      <c r="M40" s="214">
        <v>2214361.9000000013</v>
      </c>
      <c r="N40" s="214">
        <v>2152849.1300000013</v>
      </c>
      <c r="O40" s="214">
        <v>2127455.7800000012</v>
      </c>
      <c r="P40" s="214">
        <v>2102167.5300000012</v>
      </c>
      <c r="Q40" s="214">
        <v>2076985.0500000012</v>
      </c>
      <c r="R40" s="214">
        <v>2051909.0300000012</v>
      </c>
      <c r="S40" s="214">
        <v>2026940.1600000011</v>
      </c>
      <c r="T40" s="214">
        <f>(SUM(G40:S40)/13)</f>
        <v>2199070.6700000009</v>
      </c>
    </row>
    <row r="41" spans="1:20">
      <c r="A41" s="18">
        <f t="shared" si="5"/>
        <v>24</v>
      </c>
      <c r="B41" s="18">
        <v>226076</v>
      </c>
      <c r="C41" s="16" t="s">
        <v>678</v>
      </c>
      <c r="D41" s="227">
        <v>44270</v>
      </c>
      <c r="E41" s="227">
        <v>51592</v>
      </c>
      <c r="F41" s="207">
        <v>7.7590000000000006E-2</v>
      </c>
      <c r="G41" s="214">
        <v>7718035.2799999993</v>
      </c>
      <c r="H41" s="214">
        <v>7653035.5599999996</v>
      </c>
      <c r="I41" s="214">
        <v>7588200.6199999992</v>
      </c>
      <c r="J41" s="214">
        <v>7523531.5299999993</v>
      </c>
      <c r="K41" s="214">
        <v>7459029.3699999992</v>
      </c>
      <c r="L41" s="214">
        <v>7394695.2299999995</v>
      </c>
      <c r="M41" s="214">
        <v>7330530.1999999993</v>
      </c>
      <c r="N41" s="214">
        <v>7170178.5499999989</v>
      </c>
      <c r="O41" s="214">
        <v>7107087.6899999985</v>
      </c>
      <c r="P41" s="214">
        <v>7044168.7199999988</v>
      </c>
      <c r="Q41" s="214">
        <v>6981422.7499999991</v>
      </c>
      <c r="R41" s="214">
        <v>6918850.8899999987</v>
      </c>
      <c r="S41" s="214">
        <v>6856454.2599999988</v>
      </c>
      <c r="T41" s="214">
        <f t="shared" si="3"/>
        <v>7288093.8961538458</v>
      </c>
    </row>
    <row r="42" spans="1:20">
      <c r="A42" s="18">
        <f t="shared" si="5"/>
        <v>25</v>
      </c>
      <c r="B42" s="18">
        <v>226077</v>
      </c>
      <c r="C42" s="16" t="s">
        <v>679</v>
      </c>
      <c r="D42" s="227">
        <v>43983</v>
      </c>
      <c r="E42" s="227">
        <v>51288</v>
      </c>
      <c r="F42" s="207">
        <v>7.7270000000000005E-2</v>
      </c>
      <c r="G42" s="214">
        <v>52498.000000000007</v>
      </c>
      <c r="H42" s="214">
        <v>52028.160000000011</v>
      </c>
      <c r="I42" s="214">
        <v>51559.62000000001</v>
      </c>
      <c r="J42" s="214">
        <v>51092.400000000009</v>
      </c>
      <c r="K42" s="214">
        <v>50626.500000000007</v>
      </c>
      <c r="L42" s="214">
        <v>50161.94000000001</v>
      </c>
      <c r="M42" s="214">
        <v>49698.720000000008</v>
      </c>
      <c r="N42" s="214">
        <v>48701.210000000006</v>
      </c>
      <c r="O42" s="214">
        <v>48245.060000000005</v>
      </c>
      <c r="P42" s="214">
        <v>47790.270000000004</v>
      </c>
      <c r="Q42" s="214">
        <v>47336.850000000006</v>
      </c>
      <c r="R42" s="214">
        <v>46884.810000000005</v>
      </c>
      <c r="S42" s="214">
        <v>46434.16</v>
      </c>
      <c r="T42" s="214">
        <f t="shared" si="3"/>
        <v>49465.976923076938</v>
      </c>
    </row>
    <row r="43" spans="1:20">
      <c r="A43" s="18">
        <f t="shared" si="5"/>
        <v>26</v>
      </c>
      <c r="B43" s="18">
        <v>226084</v>
      </c>
      <c r="C43" s="16" t="s">
        <v>680</v>
      </c>
      <c r="D43" s="227">
        <v>42036</v>
      </c>
      <c r="E43" s="227">
        <v>49980</v>
      </c>
      <c r="F43" s="207">
        <v>4.2849999999999999E-2</v>
      </c>
      <c r="G43" s="214">
        <v>420667.12000000005</v>
      </c>
      <c r="H43" s="214">
        <v>414503.98000000004</v>
      </c>
      <c r="I43" s="214">
        <v>408379.72000000003</v>
      </c>
      <c r="J43" s="214">
        <v>402294.48000000004</v>
      </c>
      <c r="K43" s="214">
        <v>396248.4</v>
      </c>
      <c r="L43" s="214">
        <v>390241.62</v>
      </c>
      <c r="M43" s="214">
        <v>384274.27999999997</v>
      </c>
      <c r="N43" s="214">
        <v>367633.81</v>
      </c>
      <c r="O43" s="214">
        <v>361903.24</v>
      </c>
      <c r="P43" s="214">
        <v>356211.72</v>
      </c>
      <c r="Q43" s="214">
        <v>350559.37</v>
      </c>
      <c r="R43" s="214">
        <v>344946.33999999997</v>
      </c>
      <c r="S43" s="214">
        <v>339372.76999999996</v>
      </c>
      <c r="T43" s="214">
        <f t="shared" si="3"/>
        <v>379787.44999999995</v>
      </c>
    </row>
    <row r="44" spans="1:20">
      <c r="A44" s="18">
        <f t="shared" si="5"/>
        <v>27</v>
      </c>
      <c r="B44" s="18">
        <v>226086</v>
      </c>
      <c r="C44" s="16" t="s">
        <v>681</v>
      </c>
      <c r="D44" s="227">
        <v>42660</v>
      </c>
      <c r="E44" s="227">
        <v>49949</v>
      </c>
      <c r="F44" s="207">
        <v>3.2410000000000001E-2</v>
      </c>
      <c r="G44" s="225">
        <v>291243.26</v>
      </c>
      <c r="H44" s="225">
        <v>287416.46000000002</v>
      </c>
      <c r="I44" s="225">
        <v>283611.73000000004</v>
      </c>
      <c r="J44" s="225">
        <v>279829.12000000005</v>
      </c>
      <c r="K44" s="225">
        <v>276068.69000000006</v>
      </c>
      <c r="L44" s="225">
        <v>272330.51000000007</v>
      </c>
      <c r="M44" s="225">
        <v>268614.63000000006</v>
      </c>
      <c r="N44" s="225">
        <v>256330.47000000009</v>
      </c>
      <c r="O44" s="225">
        <v>252772.1700000001</v>
      </c>
      <c r="P44" s="225">
        <v>249235.8000000001</v>
      </c>
      <c r="Q44" s="225">
        <v>245721.4200000001</v>
      </c>
      <c r="R44" s="225">
        <v>242229.09000000011</v>
      </c>
      <c r="S44" s="225">
        <v>238758.8600000001</v>
      </c>
      <c r="T44" s="214">
        <f>(SUM(G44:S44)/13)</f>
        <v>264935.55461538467</v>
      </c>
    </row>
    <row r="45" spans="1:20">
      <c r="A45" s="18">
        <f t="shared" si="5"/>
        <v>28</v>
      </c>
      <c r="B45" s="18"/>
      <c r="C45" s="16" t="s">
        <v>682</v>
      </c>
      <c r="D45" s="240"/>
      <c r="E45" s="240"/>
      <c r="F45" s="236"/>
      <c r="G45" s="214">
        <f>SUM(G33:G44)</f>
        <v>29486395.609999999</v>
      </c>
      <c r="H45" s="214">
        <f>SUM(H33:H44)</f>
        <v>29239993.410000004</v>
      </c>
      <c r="I45" s="214">
        <f t="shared" ref="I45:S45" si="6">SUM(I33:I44)</f>
        <v>28994190.82</v>
      </c>
      <c r="J45" s="214">
        <f t="shared" si="6"/>
        <v>28748991.530000001</v>
      </c>
      <c r="K45" s="214">
        <f t="shared" si="6"/>
        <v>28504399.270000007</v>
      </c>
      <c r="L45" s="214">
        <f t="shared" si="6"/>
        <v>28260417.770000007</v>
      </c>
      <c r="M45" s="214">
        <f t="shared" si="6"/>
        <v>28017050.820000004</v>
      </c>
      <c r="N45" s="214">
        <f t="shared" si="6"/>
        <v>28770191.419999998</v>
      </c>
      <c r="O45" s="214">
        <f t="shared" si="6"/>
        <v>28520078.489999998</v>
      </c>
      <c r="P45" s="214">
        <f t="shared" si="6"/>
        <v>28270612.490000002</v>
      </c>
      <c r="Q45" s="214">
        <f t="shared" si="6"/>
        <v>28021713.430000003</v>
      </c>
      <c r="R45" s="214">
        <f t="shared" si="6"/>
        <v>27773553.169999998</v>
      </c>
      <c r="S45" s="214">
        <f t="shared" si="6"/>
        <v>27526051.800000001</v>
      </c>
      <c r="T45" s="241">
        <f>SUM(T33:T44)</f>
        <v>28471818.463846158</v>
      </c>
    </row>
    <row r="46" spans="1:20">
      <c r="A46" s="18"/>
      <c r="B46" s="18"/>
      <c r="D46" s="240"/>
      <c r="E46" s="240"/>
      <c r="F46" s="236"/>
      <c r="G46" s="236"/>
      <c r="H46" s="214"/>
      <c r="I46" s="214"/>
      <c r="J46" s="214"/>
      <c r="K46" s="214"/>
      <c r="L46" s="214"/>
      <c r="M46" s="214"/>
      <c r="N46" s="214"/>
      <c r="O46" s="214"/>
      <c r="P46" s="214"/>
      <c r="Q46" s="214"/>
      <c r="R46" s="214"/>
      <c r="S46" s="214"/>
      <c r="T46" s="214"/>
    </row>
    <row r="47" spans="1:20">
      <c r="A47" s="18"/>
      <c r="B47" s="18"/>
      <c r="D47" s="240"/>
      <c r="E47" s="240"/>
      <c r="F47" s="236"/>
      <c r="G47" s="236"/>
      <c r="H47" s="214"/>
      <c r="I47" s="214"/>
      <c r="J47" s="214"/>
      <c r="K47" s="214"/>
      <c r="L47" s="214"/>
      <c r="M47" s="214"/>
      <c r="N47" s="214"/>
      <c r="O47" s="214"/>
      <c r="P47" s="214"/>
      <c r="Q47" s="214"/>
      <c r="R47" s="214"/>
      <c r="S47" s="214"/>
      <c r="T47" s="214"/>
    </row>
    <row r="48" spans="1:20">
      <c r="A48" s="18"/>
      <c r="B48" s="18"/>
      <c r="C48" s="206" t="s">
        <v>683</v>
      </c>
      <c r="D48" s="240"/>
      <c r="E48" s="240"/>
      <c r="F48" s="236"/>
      <c r="G48" s="236"/>
      <c r="H48" s="214"/>
      <c r="I48" s="214"/>
      <c r="J48" s="214"/>
      <c r="K48" s="214"/>
      <c r="L48" s="214"/>
      <c r="M48" s="214"/>
      <c r="N48" s="214"/>
      <c r="O48" s="214"/>
      <c r="P48" s="214"/>
      <c r="Q48" s="214"/>
      <c r="R48" s="214"/>
      <c r="S48" s="214"/>
      <c r="T48" s="214"/>
    </row>
    <row r="49" spans="1:20">
      <c r="A49" s="18">
        <f>A45+1</f>
        <v>29</v>
      </c>
      <c r="B49" s="18"/>
      <c r="D49" s="231"/>
      <c r="E49" s="231"/>
      <c r="F49" s="207"/>
      <c r="G49" s="207"/>
      <c r="H49" s="214"/>
      <c r="I49" s="214"/>
      <c r="J49" s="214"/>
      <c r="K49" s="214"/>
      <c r="L49" s="214"/>
      <c r="M49" s="214"/>
      <c r="N49" s="214"/>
      <c r="O49" s="214"/>
      <c r="P49" s="214"/>
      <c r="Q49" s="214"/>
      <c r="R49" s="214"/>
      <c r="S49" s="214"/>
      <c r="T49" s="214"/>
    </row>
    <row r="50" spans="1:20" ht="18">
      <c r="A50" s="18">
        <f>A49+1</f>
        <v>30</v>
      </c>
      <c r="B50" s="18"/>
      <c r="D50" s="231"/>
      <c r="E50" s="231"/>
      <c r="F50" s="207"/>
      <c r="G50" s="207"/>
      <c r="H50" s="217"/>
      <c r="I50" s="217"/>
      <c r="J50" s="217"/>
      <c r="K50" s="217"/>
      <c r="L50" s="217"/>
      <c r="M50" s="217"/>
      <c r="N50" s="217"/>
      <c r="O50" s="217"/>
      <c r="P50" s="217"/>
      <c r="Q50" s="217"/>
      <c r="R50" s="217"/>
      <c r="S50" s="217"/>
      <c r="T50" s="217"/>
    </row>
    <row r="51" spans="1:20">
      <c r="A51" s="18">
        <f>A50+1</f>
        <v>31</v>
      </c>
      <c r="B51" s="18"/>
      <c r="C51" s="16" t="s">
        <v>687</v>
      </c>
      <c r="D51" s="231"/>
      <c r="E51" s="231"/>
      <c r="F51" s="207"/>
      <c r="G51" s="207"/>
      <c r="H51" s="214">
        <f t="shared" ref="H51:T51" si="7">SUM(H49:H50)</f>
        <v>0</v>
      </c>
      <c r="I51" s="214">
        <f t="shared" si="7"/>
        <v>0</v>
      </c>
      <c r="J51" s="214">
        <f t="shared" si="7"/>
        <v>0</v>
      </c>
      <c r="K51" s="214">
        <f t="shared" si="7"/>
        <v>0</v>
      </c>
      <c r="L51" s="214">
        <f t="shared" si="7"/>
        <v>0</v>
      </c>
      <c r="M51" s="214">
        <f t="shared" si="7"/>
        <v>0</v>
      </c>
      <c r="N51" s="214">
        <f t="shared" si="7"/>
        <v>0</v>
      </c>
      <c r="O51" s="214">
        <f t="shared" si="7"/>
        <v>0</v>
      </c>
      <c r="P51" s="214">
        <f t="shared" si="7"/>
        <v>0</v>
      </c>
      <c r="Q51" s="214">
        <f t="shared" si="7"/>
        <v>0</v>
      </c>
      <c r="R51" s="214">
        <f t="shared" si="7"/>
        <v>0</v>
      </c>
      <c r="S51" s="214">
        <f t="shared" si="7"/>
        <v>0</v>
      </c>
      <c r="T51" s="214">
        <f t="shared" si="7"/>
        <v>0</v>
      </c>
    </row>
    <row r="52" spans="1:20" ht="18">
      <c r="A52" s="18"/>
      <c r="B52" s="18"/>
      <c r="D52" s="231"/>
      <c r="E52" s="231"/>
      <c r="F52" s="207"/>
      <c r="G52" s="207"/>
      <c r="H52" s="217"/>
      <c r="I52" s="217"/>
      <c r="J52" s="217"/>
      <c r="K52" s="217"/>
      <c r="L52" s="217"/>
      <c r="M52" s="217"/>
      <c r="N52" s="217"/>
      <c r="O52" s="217"/>
      <c r="P52" s="217"/>
      <c r="Q52" s="217"/>
      <c r="R52" s="217"/>
      <c r="S52" s="217"/>
      <c r="T52" s="217"/>
    </row>
    <row r="53" spans="1:20">
      <c r="A53" s="18"/>
      <c r="B53" s="18"/>
      <c r="D53" s="231"/>
      <c r="E53" s="231"/>
      <c r="F53" s="236"/>
      <c r="G53" s="236"/>
      <c r="H53" s="214"/>
      <c r="I53" s="214"/>
      <c r="J53" s="214"/>
      <c r="K53" s="214"/>
      <c r="L53" s="214"/>
      <c r="M53" s="214"/>
      <c r="N53" s="214"/>
      <c r="O53" s="214"/>
      <c r="P53" s="214"/>
      <c r="Q53" s="214"/>
      <c r="R53" s="214"/>
      <c r="S53" s="214"/>
      <c r="T53" s="214"/>
    </row>
    <row r="54" spans="1:20">
      <c r="A54" s="18">
        <f>A51+1</f>
        <v>32</v>
      </c>
      <c r="C54" s="16" t="s">
        <v>704</v>
      </c>
      <c r="D54" s="240"/>
      <c r="G54" s="214">
        <f>G29+G45+G51</f>
        <v>67705296.799999997</v>
      </c>
      <c r="H54" s="214">
        <f>H29+H45+H51</f>
        <v>67275158.210000008</v>
      </c>
      <c r="I54" s="214">
        <f t="shared" ref="I54:T54" si="8">I29+I45+I51</f>
        <v>66845619.190000013</v>
      </c>
      <c r="J54" s="214">
        <f t="shared" si="8"/>
        <v>66416683.520000011</v>
      </c>
      <c r="K54" s="214">
        <f t="shared" si="8"/>
        <v>65988354.820000008</v>
      </c>
      <c r="L54" s="214">
        <f t="shared" si="8"/>
        <v>65560636.910000011</v>
      </c>
      <c r="M54" s="214">
        <f t="shared" si="8"/>
        <v>65133533.590000018</v>
      </c>
      <c r="N54" s="214">
        <f t="shared" si="8"/>
        <v>65702937.780000001</v>
      </c>
      <c r="O54" s="214">
        <f t="shared" si="8"/>
        <v>65269088.430000007</v>
      </c>
      <c r="P54" s="214">
        <f t="shared" si="8"/>
        <v>64835885.990000017</v>
      </c>
      <c r="Q54" s="214">
        <f t="shared" si="8"/>
        <v>64403250.550000012</v>
      </c>
      <c r="R54" s="214">
        <f t="shared" si="8"/>
        <v>67036478.310000017</v>
      </c>
      <c r="S54" s="214">
        <f t="shared" si="8"/>
        <v>66596989.860000014</v>
      </c>
      <c r="T54" s="214">
        <f t="shared" si="8"/>
        <v>66059224.150769249</v>
      </c>
    </row>
    <row r="55" spans="1:20">
      <c r="A55" s="18"/>
      <c r="H55" s="214"/>
      <c r="I55" s="214"/>
      <c r="J55" s="214"/>
      <c r="K55" s="214"/>
      <c r="L55" s="214"/>
      <c r="M55" s="214"/>
      <c r="N55" s="214"/>
      <c r="O55" s="214"/>
      <c r="P55" s="214"/>
      <c r="Q55" s="214"/>
      <c r="R55" s="214"/>
      <c r="S55" s="214"/>
      <c r="T55" s="214"/>
    </row>
    <row r="56" spans="1:20">
      <c r="B56" s="219" t="s">
        <v>689</v>
      </c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218"/>
    </row>
    <row r="57" spans="1:20">
      <c r="T57" s="214"/>
    </row>
    <row r="58" spans="1:20">
      <c r="T58" s="218"/>
    </row>
    <row r="59" spans="1:20">
      <c r="T59" s="218"/>
    </row>
  </sheetData>
  <mergeCells count="6">
    <mergeCell ref="A6:T6"/>
    <mergeCell ref="A5:T5"/>
    <mergeCell ref="A1:T1"/>
    <mergeCell ref="A2:T2"/>
    <mergeCell ref="A3:T3"/>
    <mergeCell ref="A4:T4"/>
  </mergeCells>
  <pageMargins left="0.25" right="0.25" top="0.75" bottom="0.5" header="0.25" footer="0.25"/>
  <pageSetup scale="46" orientation="landscape" r:id="rId1"/>
  <headerFooter alignWithMargins="0">
    <oddHeader>&amp;RGroen Direct Exhibit 1.1, Schedule 26
Page 5 of 13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U57"/>
  <sheetViews>
    <sheetView view="pageLayout" topLeftCell="D1" zoomScaleNormal="80" workbookViewId="0">
      <selection activeCell="E15" sqref="E15"/>
    </sheetView>
  </sheetViews>
  <sheetFormatPr defaultColWidth="9.140625" defaultRowHeight="15.75"/>
  <cols>
    <col min="1" max="1" width="5.140625" style="16" customWidth="1"/>
    <col min="2" max="2" width="10.28515625" style="16" customWidth="1"/>
    <col min="3" max="3" width="39.5703125" style="16" customWidth="1"/>
    <col min="4" max="5" width="11.28515625" style="16" bestFit="1" customWidth="1"/>
    <col min="6" max="6" width="8.42578125" style="16" bestFit="1" customWidth="1"/>
    <col min="7" max="7" width="12.7109375" style="16" bestFit="1" customWidth="1"/>
    <col min="8" max="13" width="15.5703125" style="16" customWidth="1"/>
    <col min="14" max="19" width="16.42578125" style="16" customWidth="1"/>
    <col min="20" max="20" width="15.42578125" style="16" customWidth="1"/>
    <col min="21" max="21" width="7.140625" style="16" customWidth="1"/>
    <col min="22" max="16384" width="9.140625" style="16"/>
  </cols>
  <sheetData>
    <row r="1" spans="1:21">
      <c r="A1" s="287" t="s">
        <v>787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</row>
    <row r="2" spans="1:21">
      <c r="A2" s="287" t="s">
        <v>791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</row>
    <row r="3" spans="1:21">
      <c r="A3" s="287" t="s">
        <v>792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  <c r="P3" s="287"/>
      <c r="Q3" s="287"/>
      <c r="R3" s="287"/>
      <c r="S3" s="287"/>
      <c r="T3" s="287"/>
    </row>
    <row r="4" spans="1:21">
      <c r="A4" s="287" t="s">
        <v>705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  <c r="R4" s="287"/>
      <c r="S4" s="287"/>
      <c r="T4" s="287"/>
    </row>
    <row r="5" spans="1:21">
      <c r="A5" s="305" t="str">
        <f>'Sch 25 - WACC'!A5</f>
        <v>FOR THE YEAR ENDING DECEMBER 31, 2025</v>
      </c>
      <c r="B5" s="305"/>
      <c r="C5" s="305"/>
      <c r="D5" s="305"/>
      <c r="E5" s="305"/>
      <c r="F5" s="305"/>
      <c r="G5" s="305"/>
      <c r="H5" s="305"/>
      <c r="I5" s="305"/>
      <c r="J5" s="305"/>
      <c r="K5" s="305"/>
      <c r="L5" s="305"/>
      <c r="M5" s="305"/>
      <c r="N5" s="305"/>
      <c r="O5" s="305"/>
      <c r="P5" s="305"/>
      <c r="Q5" s="305"/>
      <c r="R5" s="305"/>
      <c r="S5" s="305"/>
      <c r="T5" s="305"/>
    </row>
    <row r="6" spans="1:21">
      <c r="A6" s="289" t="s">
        <v>793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  <c r="R6" s="289"/>
      <c r="S6" s="289"/>
      <c r="T6" s="289"/>
    </row>
    <row r="7" spans="1:21">
      <c r="A7" s="2"/>
      <c r="B7" s="205"/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</row>
    <row r="8" spans="1:21">
      <c r="B8" s="18" t="s">
        <v>50</v>
      </c>
      <c r="C8" s="18" t="s">
        <v>51</v>
      </c>
      <c r="D8" s="18" t="s">
        <v>86</v>
      </c>
      <c r="E8" s="18" t="s">
        <v>87</v>
      </c>
      <c r="F8" s="18" t="s">
        <v>88</v>
      </c>
      <c r="G8" s="18" t="s">
        <v>89</v>
      </c>
      <c r="H8" s="18" t="s">
        <v>140</v>
      </c>
      <c r="I8" s="18" t="s">
        <v>141</v>
      </c>
      <c r="J8" s="18" t="s">
        <v>142</v>
      </c>
      <c r="K8" s="18" t="s">
        <v>143</v>
      </c>
      <c r="L8" s="18" t="s">
        <v>144</v>
      </c>
      <c r="M8" s="18" t="s">
        <v>145</v>
      </c>
      <c r="N8" s="18" t="s">
        <v>146</v>
      </c>
      <c r="O8" s="18" t="s">
        <v>147</v>
      </c>
      <c r="P8" s="18" t="s">
        <v>148</v>
      </c>
      <c r="Q8" s="18" t="s">
        <v>149</v>
      </c>
      <c r="R8" s="18" t="s">
        <v>150</v>
      </c>
      <c r="S8" s="18" t="s">
        <v>230</v>
      </c>
      <c r="T8" s="18" t="s">
        <v>231</v>
      </c>
      <c r="U8" s="18"/>
    </row>
    <row r="9" spans="1:21">
      <c r="D9" s="18" t="s">
        <v>636</v>
      </c>
      <c r="E9" s="18" t="s">
        <v>637</v>
      </c>
      <c r="F9" s="18" t="s">
        <v>116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spans="1:21">
      <c r="D10" s="18" t="s">
        <v>638</v>
      </c>
      <c r="E10" s="18" t="s">
        <v>638</v>
      </c>
      <c r="F10" s="18" t="s">
        <v>233</v>
      </c>
      <c r="G10" s="211">
        <v>45654</v>
      </c>
      <c r="H10" s="211">
        <v>45685</v>
      </c>
      <c r="I10" s="211">
        <v>45716</v>
      </c>
      <c r="J10" s="211">
        <v>45744</v>
      </c>
      <c r="K10" s="211">
        <v>45775</v>
      </c>
      <c r="L10" s="211">
        <v>45805</v>
      </c>
      <c r="M10" s="211">
        <v>45836</v>
      </c>
      <c r="N10" s="211">
        <v>45866</v>
      </c>
      <c r="O10" s="211">
        <v>45897</v>
      </c>
      <c r="P10" s="211">
        <v>45928</v>
      </c>
      <c r="Q10" s="211">
        <v>45958</v>
      </c>
      <c r="R10" s="211">
        <v>45989</v>
      </c>
      <c r="S10" s="211">
        <v>46019</v>
      </c>
      <c r="T10" s="205" t="s">
        <v>639</v>
      </c>
    </row>
    <row r="11" spans="1:21">
      <c r="C11" s="206" t="s">
        <v>640</v>
      </c>
      <c r="D11" s="18"/>
      <c r="E11" s="18"/>
      <c r="F11" s="18"/>
      <c r="G11" s="18"/>
      <c r="T11" s="18" t="s">
        <v>499</v>
      </c>
    </row>
    <row r="12" spans="1:21">
      <c r="C12" s="206"/>
      <c r="D12" s="18"/>
      <c r="E12" s="18"/>
      <c r="F12" s="18"/>
      <c r="G12" s="18"/>
      <c r="T12" s="18"/>
    </row>
    <row r="13" spans="1:21">
      <c r="C13" s="206"/>
      <c r="D13" s="18"/>
      <c r="E13" s="18"/>
      <c r="F13" s="18"/>
      <c r="G13" s="18"/>
      <c r="T13" s="18"/>
    </row>
    <row r="14" spans="1:21">
      <c r="C14" s="206" t="s">
        <v>641</v>
      </c>
      <c r="D14" s="18"/>
      <c r="E14" s="18"/>
      <c r="F14" s="18"/>
      <c r="G14" s="18"/>
      <c r="J14" s="214"/>
      <c r="K14" s="214"/>
      <c r="L14" s="214"/>
      <c r="M14" s="214"/>
      <c r="N14" s="214"/>
      <c r="O14" s="214"/>
      <c r="P14" s="214"/>
      <c r="Q14" s="214"/>
      <c r="R14" s="214"/>
      <c r="S14" s="214"/>
      <c r="T14" s="239"/>
    </row>
    <row r="15" spans="1:21">
      <c r="A15" s="18">
        <v>1</v>
      </c>
      <c r="B15" s="18">
        <v>181080</v>
      </c>
      <c r="C15" s="219" t="s">
        <v>642</v>
      </c>
      <c r="D15" s="227">
        <v>41732</v>
      </c>
      <c r="E15" s="227">
        <v>52885</v>
      </c>
      <c r="F15" s="226">
        <v>4.3999999999999997E-2</v>
      </c>
      <c r="G15" s="214">
        <v>2087981.1300000008</v>
      </c>
      <c r="H15" s="214">
        <v>2078680.550000001</v>
      </c>
      <c r="I15" s="214">
        <v>2069379.9600000009</v>
      </c>
      <c r="J15" s="214">
        <v>2060079.3800000008</v>
      </c>
      <c r="K15" s="214">
        <v>2050778.790000001</v>
      </c>
      <c r="L15" s="214">
        <v>2041478.2100000009</v>
      </c>
      <c r="M15" s="214">
        <v>2032177.6300000008</v>
      </c>
      <c r="N15" s="214">
        <v>2022877.040000001</v>
      </c>
      <c r="O15" s="214">
        <v>2013576.4600000009</v>
      </c>
      <c r="P15" s="214">
        <v>2004275.8700000008</v>
      </c>
      <c r="Q15" s="214">
        <v>1994975.290000001</v>
      </c>
      <c r="R15" s="214">
        <v>1985674.7000000009</v>
      </c>
      <c r="S15" s="214">
        <v>1976374.1200000008</v>
      </c>
      <c r="T15" s="214">
        <f t="shared" ref="T15:T24" si="0">(SUM(G15:S15)/13)</f>
        <v>2032177.6253846162</v>
      </c>
    </row>
    <row r="16" spans="1:21">
      <c r="A16" s="18">
        <v>2</v>
      </c>
      <c r="B16" s="18">
        <v>181083</v>
      </c>
      <c r="C16" s="219" t="s">
        <v>643</v>
      </c>
      <c r="D16" s="227">
        <v>42292</v>
      </c>
      <c r="E16" s="227">
        <v>53448</v>
      </c>
      <c r="F16" s="226">
        <v>4.2500000000000003E-2</v>
      </c>
      <c r="G16" s="214">
        <v>2615570.4899999988</v>
      </c>
      <c r="H16" s="214">
        <v>2604557.5599999987</v>
      </c>
      <c r="I16" s="214">
        <v>2593544.6299999985</v>
      </c>
      <c r="J16" s="214">
        <v>2582531.7099999986</v>
      </c>
      <c r="K16" s="214">
        <v>2571518.7799999984</v>
      </c>
      <c r="L16" s="214">
        <v>2560505.8499999982</v>
      </c>
      <c r="M16" s="214">
        <v>2549492.9199999981</v>
      </c>
      <c r="N16" s="214">
        <v>2538479.9899999984</v>
      </c>
      <c r="O16" s="214">
        <v>2527467.0599999987</v>
      </c>
      <c r="P16" s="214">
        <v>2516454.1399999987</v>
      </c>
      <c r="Q16" s="214">
        <v>2505441.209999999</v>
      </c>
      <c r="R16" s="214">
        <v>2494428.2799999993</v>
      </c>
      <c r="S16" s="214">
        <v>2483415.3499999992</v>
      </c>
      <c r="T16" s="214">
        <f t="shared" si="0"/>
        <v>2549492.92076923</v>
      </c>
    </row>
    <row r="17" spans="1:20">
      <c r="A17" s="18">
        <v>3</v>
      </c>
      <c r="B17" s="18">
        <v>181085</v>
      </c>
      <c r="C17" s="219" t="s">
        <v>644</v>
      </c>
      <c r="D17" s="227">
        <v>42767</v>
      </c>
      <c r="E17" s="227">
        <v>46508</v>
      </c>
      <c r="F17" s="226">
        <v>3.1E-2</v>
      </c>
      <c r="G17" s="214">
        <v>3473432.6599999992</v>
      </c>
      <c r="H17" s="214">
        <v>3459866.3299999991</v>
      </c>
      <c r="I17" s="214">
        <v>3446299.9999999991</v>
      </c>
      <c r="J17" s="214">
        <v>3432733.669999999</v>
      </c>
      <c r="K17" s="214">
        <v>3419167.3399999989</v>
      </c>
      <c r="L17" s="214">
        <v>3405601.0099999988</v>
      </c>
      <c r="M17" s="214">
        <v>3392034.6799999988</v>
      </c>
      <c r="N17" s="214">
        <v>3378468.3499999987</v>
      </c>
      <c r="O17" s="214">
        <v>3364902.0199999986</v>
      </c>
      <c r="P17" s="214">
        <v>3351335.6899999985</v>
      </c>
      <c r="Q17" s="214">
        <v>3337769.3599999985</v>
      </c>
      <c r="R17" s="214">
        <v>3324203.0299999984</v>
      </c>
      <c r="S17" s="214">
        <v>3310636.6999999983</v>
      </c>
      <c r="T17" s="214">
        <f t="shared" si="0"/>
        <v>3392034.6799999992</v>
      </c>
    </row>
    <row r="18" spans="1:20">
      <c r="A18" s="18">
        <v>4</v>
      </c>
      <c r="B18" s="18">
        <v>181087</v>
      </c>
      <c r="C18" s="219" t="s">
        <v>645</v>
      </c>
      <c r="D18" s="227">
        <v>42767</v>
      </c>
      <c r="E18" s="227">
        <v>53905</v>
      </c>
      <c r="F18" s="226">
        <v>3.95E-2</v>
      </c>
      <c r="G18" s="214">
        <v>707697.81</v>
      </c>
      <c r="H18" s="214">
        <v>682452.94</v>
      </c>
      <c r="I18" s="214">
        <v>657208.06999999983</v>
      </c>
      <c r="J18" s="214">
        <v>631963.20000000019</v>
      </c>
      <c r="K18" s="214">
        <v>606718.33000000007</v>
      </c>
      <c r="L18" s="214">
        <v>581473.46</v>
      </c>
      <c r="M18" s="214">
        <v>556228.60000000009</v>
      </c>
      <c r="N18" s="214">
        <v>530983.73</v>
      </c>
      <c r="O18" s="214">
        <v>505738.85999999987</v>
      </c>
      <c r="P18" s="214">
        <v>480493.99000000022</v>
      </c>
      <c r="Q18" s="214">
        <v>455249.12000000011</v>
      </c>
      <c r="R18" s="214">
        <v>430004.26000000024</v>
      </c>
      <c r="S18" s="214">
        <v>404759.39000000013</v>
      </c>
      <c r="T18" s="214">
        <f t="shared" si="0"/>
        <v>556228.59692307701</v>
      </c>
    </row>
    <row r="19" spans="1:20">
      <c r="A19" s="18">
        <v>5</v>
      </c>
      <c r="B19" s="18">
        <v>181088</v>
      </c>
      <c r="C19" s="219" t="s">
        <v>646</v>
      </c>
      <c r="D19" s="227">
        <v>43132</v>
      </c>
      <c r="E19" s="227">
        <v>54271</v>
      </c>
      <c r="F19" s="226">
        <v>3.6499999999999998E-2</v>
      </c>
      <c r="G19" s="214">
        <v>3587880.4800000004</v>
      </c>
      <c r="H19" s="214">
        <v>3574642.7</v>
      </c>
      <c r="I19" s="214">
        <v>3561404.91</v>
      </c>
      <c r="J19" s="214">
        <v>3548167.13</v>
      </c>
      <c r="K19" s="214">
        <v>3534929.3499999996</v>
      </c>
      <c r="L19" s="214">
        <v>3521691.5599999996</v>
      </c>
      <c r="M19" s="214">
        <v>3508453.7799999993</v>
      </c>
      <c r="N19" s="214">
        <v>3495215.9999999991</v>
      </c>
      <c r="O19" s="214">
        <v>3481978.209999999</v>
      </c>
      <c r="P19" s="214">
        <v>3468740.4299999988</v>
      </c>
      <c r="Q19" s="214">
        <v>3455502.6499999985</v>
      </c>
      <c r="R19" s="214">
        <v>3442264.8599999985</v>
      </c>
      <c r="S19" s="214">
        <v>3429027.0799999982</v>
      </c>
      <c r="T19" s="214">
        <f t="shared" si="0"/>
        <v>3508453.7799999993</v>
      </c>
    </row>
    <row r="20" spans="1:20">
      <c r="A20" s="18">
        <v>6</v>
      </c>
      <c r="B20" s="18">
        <v>181089</v>
      </c>
      <c r="C20" s="219" t="s">
        <v>647</v>
      </c>
      <c r="D20" s="227">
        <v>43472</v>
      </c>
      <c r="E20" s="227">
        <v>47223</v>
      </c>
      <c r="F20" s="226">
        <v>3.6499999999999998E-2</v>
      </c>
      <c r="G20" s="214">
        <v>5051739.0799999991</v>
      </c>
      <c r="H20" s="214">
        <v>5033890.5199999996</v>
      </c>
      <c r="I20" s="214">
        <v>5016041.9499999993</v>
      </c>
      <c r="J20" s="214">
        <v>4998193.3899999987</v>
      </c>
      <c r="K20" s="214">
        <v>4980344.8199999984</v>
      </c>
      <c r="L20" s="214">
        <v>4962496.2599999979</v>
      </c>
      <c r="M20" s="214">
        <v>4944647.6899999976</v>
      </c>
      <c r="N20" s="214">
        <v>4926799.1199999973</v>
      </c>
      <c r="O20" s="214">
        <v>4908950.5599999968</v>
      </c>
      <c r="P20" s="214">
        <v>4891101.9899999965</v>
      </c>
      <c r="Q20" s="214">
        <v>4873253.4299999969</v>
      </c>
      <c r="R20" s="214">
        <v>4855404.8599999966</v>
      </c>
      <c r="S20" s="214">
        <v>4837556.2899999963</v>
      </c>
      <c r="T20" s="214">
        <f t="shared" si="0"/>
        <v>4944647.689230768</v>
      </c>
    </row>
    <row r="21" spans="1:20">
      <c r="A21" s="18">
        <v>7</v>
      </c>
      <c r="B21" s="18">
        <v>181090</v>
      </c>
      <c r="C21" s="219" t="s">
        <v>648</v>
      </c>
      <c r="D21" s="227">
        <v>43472</v>
      </c>
      <c r="E21" s="227">
        <v>54619</v>
      </c>
      <c r="F21" s="226">
        <v>4.2500000000000003E-2</v>
      </c>
      <c r="G21" s="214">
        <v>1417369.26</v>
      </c>
      <c r="H21" s="214">
        <v>1389847.53</v>
      </c>
      <c r="I21" s="214">
        <v>1362325.8</v>
      </c>
      <c r="J21" s="214">
        <v>1334804.06</v>
      </c>
      <c r="K21" s="214">
        <v>1307282.33</v>
      </c>
      <c r="L21" s="214">
        <v>1279760.5999999999</v>
      </c>
      <c r="M21" s="214">
        <v>1252238.8600000001</v>
      </c>
      <c r="N21" s="214">
        <v>1224717.1300000001</v>
      </c>
      <c r="O21" s="214">
        <v>1197195.4000000001</v>
      </c>
      <c r="P21" s="214">
        <v>1169673.6599999999</v>
      </c>
      <c r="Q21" s="214">
        <v>1142151.93</v>
      </c>
      <c r="R21" s="214">
        <v>1114630.1900000002</v>
      </c>
      <c r="S21" s="214">
        <v>1087108.4600000002</v>
      </c>
      <c r="T21" s="214">
        <f t="shared" si="0"/>
        <v>1252238.8623076924</v>
      </c>
    </row>
    <row r="22" spans="1:20">
      <c r="A22" s="18">
        <v>8</v>
      </c>
      <c r="B22" s="18">
        <v>181091</v>
      </c>
      <c r="C22" s="219" t="s">
        <v>649</v>
      </c>
      <c r="D22" s="227">
        <v>43739</v>
      </c>
      <c r="E22" s="227">
        <v>54893</v>
      </c>
      <c r="F22" s="226">
        <v>3.15E-2</v>
      </c>
      <c r="G22" s="214">
        <v>6443753.3599999985</v>
      </c>
      <c r="H22" s="214">
        <v>6421873.0399999982</v>
      </c>
      <c r="I22" s="214">
        <v>6399992.7199999979</v>
      </c>
      <c r="J22" s="214">
        <v>6378112.4099999983</v>
      </c>
      <c r="K22" s="214">
        <v>6356232.089999998</v>
      </c>
      <c r="L22" s="214">
        <v>6334351.7699999977</v>
      </c>
      <c r="M22" s="214">
        <v>6312471.4599999981</v>
      </c>
      <c r="N22" s="214">
        <v>6290591.1399999978</v>
      </c>
      <c r="O22" s="214">
        <v>6268710.8199999975</v>
      </c>
      <c r="P22" s="214">
        <v>6246830.4999999972</v>
      </c>
      <c r="Q22" s="214">
        <v>6224950.1899999976</v>
      </c>
      <c r="R22" s="214">
        <v>6203069.8699999973</v>
      </c>
      <c r="S22" s="214">
        <v>6181189.549999997</v>
      </c>
      <c r="T22" s="214">
        <f t="shared" si="0"/>
        <v>6312471.455384613</v>
      </c>
    </row>
    <row r="23" spans="1:20">
      <c r="A23" s="18">
        <v>9</v>
      </c>
      <c r="B23" s="18">
        <v>181092</v>
      </c>
      <c r="C23" s="219" t="s">
        <v>700</v>
      </c>
      <c r="D23" s="227">
        <v>43739</v>
      </c>
      <c r="E23" s="227">
        <v>47223</v>
      </c>
      <c r="F23" s="226">
        <v>3.6499999999999998E-2</v>
      </c>
      <c r="G23" s="214">
        <v>4449701.5699999994</v>
      </c>
      <c r="H23" s="214">
        <v>4435040.2799999993</v>
      </c>
      <c r="I23" s="214">
        <v>4420378.9899999993</v>
      </c>
      <c r="J23" s="214">
        <v>4405717.6999999993</v>
      </c>
      <c r="K23" s="214">
        <v>4391056.4099999992</v>
      </c>
      <c r="L23" s="214">
        <v>4376395.1199999992</v>
      </c>
      <c r="M23" s="214">
        <v>4361733.8299999991</v>
      </c>
      <c r="N23" s="214">
        <v>4347072.5399999991</v>
      </c>
      <c r="O23" s="214">
        <v>4332411.2499999991</v>
      </c>
      <c r="P23" s="214">
        <v>4317749.959999999</v>
      </c>
      <c r="Q23" s="214">
        <v>4303088.669999999</v>
      </c>
      <c r="R23" s="214">
        <v>4288427.379999999</v>
      </c>
      <c r="S23" s="214">
        <v>4273766.0899999989</v>
      </c>
      <c r="T23" s="214">
        <f t="shared" si="0"/>
        <v>4361733.8299999991</v>
      </c>
    </row>
    <row r="24" spans="1:20">
      <c r="A24" s="18">
        <v>10</v>
      </c>
      <c r="B24" s="18">
        <v>181093</v>
      </c>
      <c r="C24" s="219" t="s">
        <v>691</v>
      </c>
      <c r="D24" s="227">
        <v>44378</v>
      </c>
      <c r="E24" s="227">
        <v>55732</v>
      </c>
      <c r="F24" s="226">
        <v>2.7E-2</v>
      </c>
      <c r="G24" s="214">
        <v>642984.84999999986</v>
      </c>
      <c r="H24" s="214">
        <v>630499.70999999985</v>
      </c>
      <c r="I24" s="214">
        <v>618014.55999999982</v>
      </c>
      <c r="J24" s="214">
        <v>605529.41999999981</v>
      </c>
      <c r="K24" s="214">
        <v>593044.2799999998</v>
      </c>
      <c r="L24" s="214">
        <v>580559.12999999977</v>
      </c>
      <c r="M24" s="214">
        <v>568073.98999999976</v>
      </c>
      <c r="N24" s="214">
        <v>555588.84999999986</v>
      </c>
      <c r="O24" s="214">
        <v>543103.69999999984</v>
      </c>
      <c r="P24" s="214">
        <v>530618.55999999982</v>
      </c>
      <c r="Q24" s="214">
        <v>518133.41999999981</v>
      </c>
      <c r="R24" s="214">
        <v>505648.26999999979</v>
      </c>
      <c r="S24" s="214">
        <v>493163.12999999977</v>
      </c>
      <c r="T24" s="214">
        <f t="shared" si="0"/>
        <v>568073.98999999976</v>
      </c>
    </row>
    <row r="25" spans="1:20">
      <c r="A25" s="18">
        <v>11</v>
      </c>
      <c r="B25" s="18">
        <v>181094</v>
      </c>
      <c r="C25" s="219" t="s">
        <v>701</v>
      </c>
      <c r="D25" s="227">
        <v>45174</v>
      </c>
      <c r="E25" s="227">
        <v>48959</v>
      </c>
      <c r="F25" s="226">
        <v>5.3499999999999999E-2</v>
      </c>
      <c r="G25" s="214">
        <v>4146610.4600000014</v>
      </c>
      <c r="H25" s="214">
        <v>4134084.2000000011</v>
      </c>
      <c r="I25" s="214">
        <v>4121557.9300000011</v>
      </c>
      <c r="J25" s="214">
        <v>4109031.6700000009</v>
      </c>
      <c r="K25" s="214">
        <v>4096505.4100000011</v>
      </c>
      <c r="L25" s="214">
        <v>4083979.1500000013</v>
      </c>
      <c r="M25" s="214">
        <v>4071452.8800000013</v>
      </c>
      <c r="N25" s="214">
        <v>4058926.6200000015</v>
      </c>
      <c r="O25" s="214">
        <v>4046400.3600000013</v>
      </c>
      <c r="P25" s="214">
        <v>4033874.1000000015</v>
      </c>
      <c r="Q25" s="214">
        <v>4021347.8300000015</v>
      </c>
      <c r="R25" s="214">
        <v>4008821.5700000012</v>
      </c>
      <c r="S25" s="214">
        <v>3996295.3100000015</v>
      </c>
      <c r="T25" s="214">
        <f>(SUM(G25:S25)/13)</f>
        <v>4071452.8838461554</v>
      </c>
    </row>
    <row r="26" spans="1:20">
      <c r="A26" s="18">
        <v>12</v>
      </c>
      <c r="B26" s="18">
        <v>181095</v>
      </c>
      <c r="C26" s="219" t="s">
        <v>653</v>
      </c>
      <c r="D26" s="227">
        <v>45174</v>
      </c>
      <c r="E26" s="227">
        <v>56507</v>
      </c>
      <c r="F26" s="226">
        <v>5.8500000000000003E-2</v>
      </c>
      <c r="G26" s="214">
        <v>1952949.7899999996</v>
      </c>
      <c r="H26" s="214">
        <v>1934950.2499999995</v>
      </c>
      <c r="I26" s="214">
        <v>1916950.7099999995</v>
      </c>
      <c r="J26" s="214">
        <v>1898951.1699999995</v>
      </c>
      <c r="K26" s="214">
        <v>1880951.6399999994</v>
      </c>
      <c r="L26" s="214">
        <v>1862952.0999999994</v>
      </c>
      <c r="M26" s="214">
        <v>1844952.5599999994</v>
      </c>
      <c r="N26" s="214">
        <v>1826953.0199999993</v>
      </c>
      <c r="O26" s="214">
        <v>1808953.4899999993</v>
      </c>
      <c r="P26" s="214">
        <v>1790953.9499999993</v>
      </c>
      <c r="Q26" s="214">
        <v>1772954.4099999992</v>
      </c>
      <c r="R26" s="214">
        <v>1754954.8799999992</v>
      </c>
      <c r="S26" s="214">
        <v>1736955.3399999992</v>
      </c>
      <c r="T26" s="214">
        <f t="shared" ref="T26:T29" si="1">(SUM(G26:S26)/13)</f>
        <v>1844952.5623076917</v>
      </c>
    </row>
    <row r="27" spans="1:20">
      <c r="A27" s="18">
        <v>13</v>
      </c>
      <c r="B27" s="18">
        <v>181096</v>
      </c>
      <c r="C27" s="219" t="s">
        <v>654</v>
      </c>
      <c r="D27" s="227">
        <v>45315</v>
      </c>
      <c r="E27" s="227">
        <v>56646</v>
      </c>
      <c r="F27" s="226">
        <v>5.2999999999999999E-2</v>
      </c>
      <c r="G27" s="214">
        <v>9113182.3900000006</v>
      </c>
      <c r="H27" s="214">
        <v>9087619.4700000007</v>
      </c>
      <c r="I27" s="214">
        <v>9062056.540000001</v>
      </c>
      <c r="J27" s="214">
        <v>9036493.620000001</v>
      </c>
      <c r="K27" s="214">
        <v>9010930.6900000013</v>
      </c>
      <c r="L27" s="214">
        <v>8985367.7700000014</v>
      </c>
      <c r="M27" s="214">
        <v>8959804.8500000015</v>
      </c>
      <c r="N27" s="214">
        <v>8934241.9200000018</v>
      </c>
      <c r="O27" s="214">
        <v>8908679.0000000019</v>
      </c>
      <c r="P27" s="214">
        <v>8883116.0700000022</v>
      </c>
      <c r="Q27" s="214">
        <v>8857553.1500000022</v>
      </c>
      <c r="R27" s="214">
        <v>8831990.2300000023</v>
      </c>
      <c r="S27" s="214">
        <v>8806427.3000000026</v>
      </c>
      <c r="T27" s="214">
        <f t="shared" si="1"/>
        <v>8959804.8461538479</v>
      </c>
    </row>
    <row r="28" spans="1:20">
      <c r="A28" s="18">
        <v>14</v>
      </c>
      <c r="B28" s="18">
        <v>181097</v>
      </c>
      <c r="C28" s="219" t="s">
        <v>655</v>
      </c>
      <c r="D28" s="227">
        <v>45964</v>
      </c>
      <c r="E28" s="227">
        <v>57299</v>
      </c>
      <c r="F28" s="226">
        <v>5.5E-2</v>
      </c>
      <c r="G28" s="214">
        <v>5369399.3199999994</v>
      </c>
      <c r="H28" s="214">
        <v>5354455.4999999991</v>
      </c>
      <c r="I28" s="214">
        <v>5339511.7199999988</v>
      </c>
      <c r="J28" s="214">
        <v>5324567.9099999992</v>
      </c>
      <c r="K28" s="214">
        <v>5309624.0999999996</v>
      </c>
      <c r="L28" s="214">
        <v>5294680.3199999994</v>
      </c>
      <c r="M28" s="214">
        <v>5279736.51</v>
      </c>
      <c r="N28" s="214">
        <v>5264792.72</v>
      </c>
      <c r="O28" s="214">
        <v>5249848.91</v>
      </c>
      <c r="P28" s="214">
        <v>5234905.1000000006</v>
      </c>
      <c r="Q28" s="214">
        <v>5219961.290000001</v>
      </c>
      <c r="R28" s="214">
        <v>5205017.5200000005</v>
      </c>
      <c r="S28" s="214">
        <v>5190073.7100000009</v>
      </c>
      <c r="T28" s="214">
        <f t="shared" si="1"/>
        <v>5279736.51</v>
      </c>
    </row>
    <row r="29" spans="1:20">
      <c r="A29" s="18">
        <f>A28+1</f>
        <v>15</v>
      </c>
      <c r="B29" s="219" t="s">
        <v>656</v>
      </c>
      <c r="C29" s="219" t="s">
        <v>657</v>
      </c>
      <c r="D29" s="227">
        <v>45964</v>
      </c>
      <c r="E29" s="227">
        <v>57299</v>
      </c>
      <c r="F29" s="207">
        <v>5.5E-2</v>
      </c>
      <c r="G29" s="225">
        <v>0</v>
      </c>
      <c r="H29" s="225">
        <v>0</v>
      </c>
      <c r="I29" s="225">
        <v>0</v>
      </c>
      <c r="J29" s="225">
        <v>0</v>
      </c>
      <c r="K29" s="225">
        <v>0</v>
      </c>
      <c r="L29" s="225">
        <v>0</v>
      </c>
      <c r="M29" s="225">
        <v>0</v>
      </c>
      <c r="N29" s="225">
        <v>0</v>
      </c>
      <c r="O29" s="225">
        <v>0</v>
      </c>
      <c r="P29" s="225">
        <v>0</v>
      </c>
      <c r="Q29" s="225">
        <v>0</v>
      </c>
      <c r="R29" s="225">
        <v>3849130.6500000004</v>
      </c>
      <c r="S29" s="225">
        <v>3981477.4400000004</v>
      </c>
      <c r="T29" s="225">
        <f t="shared" si="1"/>
        <v>602354.46846153855</v>
      </c>
    </row>
    <row r="30" spans="1:20">
      <c r="A30" s="18">
        <f>A29+1</f>
        <v>16</v>
      </c>
      <c r="B30" s="18"/>
      <c r="C30" s="219" t="s">
        <v>658</v>
      </c>
      <c r="D30" s="227"/>
      <c r="E30" s="227"/>
      <c r="F30" s="226"/>
      <c r="G30" s="214">
        <f t="shared" ref="G30:R30" si="2">SUM(G15:G29)</f>
        <v>51060252.650000006</v>
      </c>
      <c r="H30" s="214">
        <f t="shared" si="2"/>
        <v>50822460.579999998</v>
      </c>
      <c r="I30" s="214">
        <f t="shared" si="2"/>
        <v>50584668.489999995</v>
      </c>
      <c r="J30" s="214">
        <f t="shared" si="2"/>
        <v>50346876.439999998</v>
      </c>
      <c r="K30" s="214">
        <f t="shared" si="2"/>
        <v>50109084.359999992</v>
      </c>
      <c r="L30" s="214">
        <f t="shared" si="2"/>
        <v>49871292.309999995</v>
      </c>
      <c r="M30" s="214">
        <f t="shared" si="2"/>
        <v>49633500.239999995</v>
      </c>
      <c r="N30" s="214">
        <f t="shared" si="2"/>
        <v>49395708.169999987</v>
      </c>
      <c r="O30" s="214">
        <f t="shared" si="2"/>
        <v>49157916.099999994</v>
      </c>
      <c r="P30" s="214">
        <f t="shared" si="2"/>
        <v>48920124.00999999</v>
      </c>
      <c r="Q30" s="214">
        <f t="shared" si="2"/>
        <v>48682331.949999996</v>
      </c>
      <c r="R30" s="214">
        <f t="shared" si="2"/>
        <v>52293670.549999997</v>
      </c>
      <c r="S30" s="214">
        <f>SUM(S15:S29)</f>
        <v>52188225.25999999</v>
      </c>
      <c r="T30" s="214">
        <f>SUM(T15:T29)</f>
        <v>50235854.700769223</v>
      </c>
    </row>
    <row r="31" spans="1:20">
      <c r="A31" s="18"/>
      <c r="D31" s="18"/>
      <c r="E31" s="18"/>
      <c r="F31" s="18"/>
      <c r="G31" s="18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</row>
    <row r="32" spans="1:20">
      <c r="A32" s="18"/>
      <c r="B32" s="18"/>
      <c r="H32" s="214"/>
      <c r="I32" s="214"/>
      <c r="J32" s="214"/>
      <c r="K32" s="214"/>
      <c r="L32" s="214"/>
      <c r="M32" s="214"/>
      <c r="N32" s="214"/>
      <c r="O32" s="214"/>
      <c r="P32" s="214"/>
      <c r="Q32" s="214"/>
      <c r="R32" s="214"/>
      <c r="S32" s="214"/>
      <c r="T32" s="214"/>
    </row>
    <row r="33" spans="1:20">
      <c r="A33" s="18"/>
      <c r="B33" s="18"/>
      <c r="C33" s="206" t="s">
        <v>659</v>
      </c>
      <c r="D33" s="18"/>
      <c r="E33" s="18"/>
      <c r="F33" s="18"/>
      <c r="G33" s="18"/>
      <c r="H33" s="214"/>
      <c r="I33" s="214"/>
      <c r="J33" s="214"/>
      <c r="K33" s="214"/>
      <c r="L33" s="214"/>
      <c r="M33" s="214"/>
      <c r="N33" s="214"/>
      <c r="O33" s="214"/>
      <c r="P33" s="214"/>
      <c r="Q33" s="214"/>
      <c r="R33" s="214"/>
      <c r="S33" s="214"/>
      <c r="T33" s="214"/>
    </row>
    <row r="34" spans="1:20">
      <c r="A34" s="18">
        <f>A30+1</f>
        <v>17</v>
      </c>
      <c r="B34" s="18">
        <v>181017</v>
      </c>
      <c r="C34" s="16" t="s">
        <v>706</v>
      </c>
      <c r="D34" s="38">
        <v>42614</v>
      </c>
      <c r="E34" s="38">
        <v>49919</v>
      </c>
      <c r="F34" s="18" t="s">
        <v>661</v>
      </c>
      <c r="G34" s="214">
        <v>257208.22999999998</v>
      </c>
      <c r="H34" s="214">
        <v>255336.75</v>
      </c>
      <c r="I34" s="214">
        <v>253646.24</v>
      </c>
      <c r="J34" s="214">
        <v>251774.59999999998</v>
      </c>
      <c r="K34" s="214">
        <v>249963.34</v>
      </c>
      <c r="L34" s="214">
        <v>248091.69999999998</v>
      </c>
      <c r="M34" s="214">
        <v>246280.43</v>
      </c>
      <c r="N34" s="214">
        <v>244408.8</v>
      </c>
      <c r="O34" s="214">
        <v>242537.16</v>
      </c>
      <c r="P34" s="214">
        <v>240725.88999999998</v>
      </c>
      <c r="Q34" s="214">
        <v>238854.25</v>
      </c>
      <c r="R34" s="214">
        <v>237042.99</v>
      </c>
      <c r="S34" s="214">
        <v>235171.34999999998</v>
      </c>
      <c r="T34" s="214">
        <f t="shared" ref="T34:T37" si="3">(SUM(G34:S34)/13)</f>
        <v>246233.97923076924</v>
      </c>
    </row>
    <row r="35" spans="1:20">
      <c r="A35" s="18">
        <f>A34+1</f>
        <v>18</v>
      </c>
      <c r="B35" s="18">
        <v>181019</v>
      </c>
      <c r="C35" s="16" t="s">
        <v>707</v>
      </c>
      <c r="D35" s="38">
        <v>42705</v>
      </c>
      <c r="E35" s="38">
        <v>53662</v>
      </c>
      <c r="F35" s="18" t="s">
        <v>661</v>
      </c>
      <c r="G35" s="214">
        <v>371688.96999999986</v>
      </c>
      <c r="H35" s="214">
        <v>370248.94999999984</v>
      </c>
      <c r="I35" s="214">
        <v>368948.17999999982</v>
      </c>
      <c r="J35" s="214">
        <v>367508.0399999998</v>
      </c>
      <c r="K35" s="214">
        <v>366114.3499999998</v>
      </c>
      <c r="L35" s="214">
        <v>364674.20999999979</v>
      </c>
      <c r="M35" s="214">
        <v>363280.51999999979</v>
      </c>
      <c r="N35" s="214">
        <v>361840.37999999977</v>
      </c>
      <c r="O35" s="214">
        <v>360400.22999999975</v>
      </c>
      <c r="P35" s="214">
        <v>359006.54999999976</v>
      </c>
      <c r="Q35" s="214">
        <v>357566.39999999973</v>
      </c>
      <c r="R35" s="214">
        <v>356172.71999999974</v>
      </c>
      <c r="S35" s="214">
        <v>354732.56999999972</v>
      </c>
      <c r="T35" s="214">
        <f t="shared" si="3"/>
        <v>363244.77461538441</v>
      </c>
    </row>
    <row r="36" spans="1:20">
      <c r="A36" s="18">
        <f t="shared" ref="A36:A38" si="4">A35+1</f>
        <v>19</v>
      </c>
      <c r="B36" s="18">
        <v>181020</v>
      </c>
      <c r="C36" s="16" t="s">
        <v>708</v>
      </c>
      <c r="D36" s="231" t="s">
        <v>664</v>
      </c>
      <c r="E36" s="231" t="s">
        <v>665</v>
      </c>
      <c r="F36" s="18" t="s">
        <v>661</v>
      </c>
      <c r="G36" s="214">
        <v>789295.66</v>
      </c>
      <c r="H36" s="214">
        <v>786371.10000000009</v>
      </c>
      <c r="I36" s="214">
        <v>783729.34000000008</v>
      </c>
      <c r="J36" s="214">
        <v>780804.52</v>
      </c>
      <c r="K36" s="214">
        <v>777974.06</v>
      </c>
      <c r="L36" s="214">
        <v>775049.24</v>
      </c>
      <c r="M36" s="214">
        <v>772218.78</v>
      </c>
      <c r="N36" s="214">
        <v>769293.96</v>
      </c>
      <c r="O36" s="214">
        <v>766369.14999999991</v>
      </c>
      <c r="P36" s="214">
        <v>763538.69</v>
      </c>
      <c r="Q36" s="214">
        <v>760613.86999999988</v>
      </c>
      <c r="R36" s="214">
        <v>757783.40999999992</v>
      </c>
      <c r="S36" s="214">
        <v>754858.58999999985</v>
      </c>
      <c r="T36" s="214">
        <f t="shared" si="3"/>
        <v>772146.18230769224</v>
      </c>
    </row>
    <row r="37" spans="1:20">
      <c r="A37" s="18">
        <f t="shared" si="4"/>
        <v>20</v>
      </c>
      <c r="B37" s="18">
        <v>181076</v>
      </c>
      <c r="C37" s="16" t="s">
        <v>709</v>
      </c>
      <c r="D37" s="38">
        <v>39630</v>
      </c>
      <c r="E37" s="38" t="s">
        <v>667</v>
      </c>
      <c r="F37" s="18" t="s">
        <v>661</v>
      </c>
      <c r="G37" s="225">
        <v>169973.52</v>
      </c>
      <c r="H37" s="225">
        <v>168904.31</v>
      </c>
      <c r="I37" s="225">
        <v>167938.49</v>
      </c>
      <c r="J37" s="225">
        <v>166869.19</v>
      </c>
      <c r="K37" s="225">
        <v>165834.37999999998</v>
      </c>
      <c r="L37" s="225">
        <v>164765.07999999999</v>
      </c>
      <c r="M37" s="225">
        <v>163730.28</v>
      </c>
      <c r="N37" s="225">
        <v>162660.97999999998</v>
      </c>
      <c r="O37" s="225">
        <v>161591.66999999998</v>
      </c>
      <c r="P37" s="225">
        <v>160556.87</v>
      </c>
      <c r="Q37" s="225">
        <v>159487.56999999998</v>
      </c>
      <c r="R37" s="225">
        <v>158452.75999999998</v>
      </c>
      <c r="S37" s="225">
        <v>157383.46</v>
      </c>
      <c r="T37" s="225">
        <f t="shared" si="3"/>
        <v>163703.7353846154</v>
      </c>
    </row>
    <row r="38" spans="1:20">
      <c r="A38" s="18">
        <f t="shared" si="4"/>
        <v>21</v>
      </c>
      <c r="C38" s="16" t="s">
        <v>668</v>
      </c>
      <c r="G38" s="214">
        <f t="shared" ref="G38:T38" si="5">SUM(G34:G37)</f>
        <v>1588166.38</v>
      </c>
      <c r="H38" s="214">
        <f t="shared" si="5"/>
        <v>1580861.1099999999</v>
      </c>
      <c r="I38" s="214">
        <f t="shared" si="5"/>
        <v>1574262.2499999998</v>
      </c>
      <c r="J38" s="214">
        <f t="shared" si="5"/>
        <v>1566956.3499999996</v>
      </c>
      <c r="K38" s="214">
        <f t="shared" si="5"/>
        <v>1559886.13</v>
      </c>
      <c r="L38" s="214">
        <f t="shared" si="5"/>
        <v>1552580.23</v>
      </c>
      <c r="M38" s="214">
        <f t="shared" si="5"/>
        <v>1545510.0099999998</v>
      </c>
      <c r="N38" s="214">
        <f t="shared" si="5"/>
        <v>1538204.1199999996</v>
      </c>
      <c r="O38" s="214">
        <f t="shared" si="5"/>
        <v>1530898.2099999995</v>
      </c>
      <c r="P38" s="214">
        <f t="shared" si="5"/>
        <v>1523827.9999999995</v>
      </c>
      <c r="Q38" s="214">
        <f t="shared" si="5"/>
        <v>1516522.0899999996</v>
      </c>
      <c r="R38" s="214">
        <f t="shared" si="5"/>
        <v>1509451.8799999997</v>
      </c>
      <c r="S38" s="214">
        <f t="shared" si="5"/>
        <v>1502145.9699999995</v>
      </c>
      <c r="T38" s="214">
        <f t="shared" si="5"/>
        <v>1545328.6715384612</v>
      </c>
    </row>
    <row r="39" spans="1:20">
      <c r="H39" s="214"/>
      <c r="I39" s="214"/>
      <c r="J39" s="214"/>
      <c r="K39" s="214"/>
      <c r="L39" s="214"/>
      <c r="M39" s="214"/>
      <c r="N39" s="214"/>
      <c r="O39" s="214"/>
      <c r="P39" s="214"/>
      <c r="Q39" s="214"/>
      <c r="R39" s="214"/>
      <c r="S39" s="214"/>
      <c r="T39" s="214"/>
    </row>
    <row r="40" spans="1:20">
      <c r="H40" s="214"/>
      <c r="I40" s="214"/>
      <c r="J40" s="214"/>
      <c r="K40" s="214"/>
      <c r="L40" s="214"/>
      <c r="M40" s="214"/>
      <c r="N40" s="214"/>
      <c r="O40" s="214"/>
      <c r="P40" s="214"/>
      <c r="Q40" s="214"/>
      <c r="R40" s="214"/>
      <c r="S40" s="214"/>
      <c r="T40" s="214"/>
    </row>
    <row r="41" spans="1:20">
      <c r="C41" s="206" t="s">
        <v>669</v>
      </c>
      <c r="D41" s="18"/>
      <c r="E41" s="18"/>
      <c r="F41" s="18"/>
      <c r="G41" s="18"/>
      <c r="T41" s="214"/>
    </row>
    <row r="42" spans="1:20">
      <c r="A42" s="18">
        <f>A38+1</f>
        <v>22</v>
      </c>
      <c r="B42" s="18">
        <v>181065</v>
      </c>
      <c r="C42" s="16" t="s">
        <v>674</v>
      </c>
      <c r="D42" s="232">
        <v>38657</v>
      </c>
      <c r="E42" s="232">
        <v>49614</v>
      </c>
      <c r="F42" s="207">
        <v>5.7500000000000002E-2</v>
      </c>
      <c r="G42" s="214">
        <v>897456.46</v>
      </c>
      <c r="H42" s="214">
        <v>886772.45000000019</v>
      </c>
      <c r="I42" s="214">
        <v>876088.45000000019</v>
      </c>
      <c r="J42" s="214">
        <v>865404.44</v>
      </c>
      <c r="K42" s="214">
        <v>854720.44</v>
      </c>
      <c r="L42" s="214">
        <v>844036.43000000017</v>
      </c>
      <c r="M42" s="214">
        <v>833352.43000000017</v>
      </c>
      <c r="N42" s="214">
        <v>822668.42000000039</v>
      </c>
      <c r="O42" s="214">
        <v>811984.42000000039</v>
      </c>
      <c r="P42" s="214">
        <v>801300.41000000015</v>
      </c>
      <c r="Q42" s="214">
        <v>790616.40000000037</v>
      </c>
      <c r="R42" s="214">
        <v>779932.40000000037</v>
      </c>
      <c r="S42" s="214">
        <v>769248.39000000013</v>
      </c>
      <c r="T42" s="214">
        <f>(SUM(G42:S42)/13)</f>
        <v>833352.4261538462</v>
      </c>
    </row>
    <row r="43" spans="1:20">
      <c r="A43" s="18">
        <f>A42+1</f>
        <v>23</v>
      </c>
      <c r="B43" s="18">
        <v>181069</v>
      </c>
      <c r="C43" s="16" t="s">
        <v>675</v>
      </c>
      <c r="D43" s="232">
        <v>38996</v>
      </c>
      <c r="E43" s="232">
        <v>49963</v>
      </c>
      <c r="F43" s="207">
        <v>5.8000000000000003E-2</v>
      </c>
      <c r="G43" s="214">
        <v>1187736.4199999992</v>
      </c>
      <c r="H43" s="214">
        <v>1178602.3199999996</v>
      </c>
      <c r="I43" s="214">
        <v>1169468.2299999993</v>
      </c>
      <c r="J43" s="214">
        <v>1160334.1399999994</v>
      </c>
      <c r="K43" s="214">
        <v>1151200.0499999996</v>
      </c>
      <c r="L43" s="214">
        <v>1142065.9599999993</v>
      </c>
      <c r="M43" s="214">
        <v>1132931.8599999996</v>
      </c>
      <c r="N43" s="214">
        <v>1123797.7699999993</v>
      </c>
      <c r="O43" s="214">
        <v>1114663.6799999995</v>
      </c>
      <c r="P43" s="214">
        <v>1105529.5899999996</v>
      </c>
      <c r="Q43" s="214">
        <v>1096395.4999999993</v>
      </c>
      <c r="R43" s="214">
        <v>1087261.3999999992</v>
      </c>
      <c r="S43" s="214">
        <v>1078127.3099999994</v>
      </c>
      <c r="T43" s="214">
        <f t="shared" ref="T43:T44" si="6">(SUM(G43:S43)/13)</f>
        <v>1132931.8638461533</v>
      </c>
    </row>
    <row r="44" spans="1:20">
      <c r="A44" s="18">
        <f t="shared" ref="A44:A45" si="7">A43+1</f>
        <v>24</v>
      </c>
      <c r="B44" s="18">
        <v>181072</v>
      </c>
      <c r="C44" s="16" t="s">
        <v>676</v>
      </c>
      <c r="D44" s="232">
        <v>44454</v>
      </c>
      <c r="E44" s="232">
        <v>50284</v>
      </c>
      <c r="F44" s="207">
        <v>7.8280000000000002E-2</v>
      </c>
      <c r="G44" s="225">
        <v>1301711.0899999992</v>
      </c>
      <c r="H44" s="225">
        <v>1292511.7099999993</v>
      </c>
      <c r="I44" s="225">
        <v>1283312.3399999992</v>
      </c>
      <c r="J44" s="225">
        <v>1274112.9699999993</v>
      </c>
      <c r="K44" s="225">
        <v>1264913.5999999992</v>
      </c>
      <c r="L44" s="225">
        <v>1255714.2299999991</v>
      </c>
      <c r="M44" s="225">
        <v>1246514.8599999992</v>
      </c>
      <c r="N44" s="225">
        <v>1237315.4799999991</v>
      </c>
      <c r="O44" s="225">
        <v>1228116.1099999992</v>
      </c>
      <c r="P44" s="225">
        <v>1218916.7399999991</v>
      </c>
      <c r="Q44" s="225">
        <v>1209717.3699999992</v>
      </c>
      <c r="R44" s="225">
        <v>1200517.9999999991</v>
      </c>
      <c r="S44" s="225">
        <v>1191318.629999999</v>
      </c>
      <c r="T44" s="225">
        <f t="shared" si="6"/>
        <v>1246514.8561538453</v>
      </c>
    </row>
    <row r="45" spans="1:20">
      <c r="A45" s="18">
        <f t="shared" si="7"/>
        <v>25</v>
      </c>
      <c r="B45" s="18"/>
      <c r="C45" s="16" t="s">
        <v>682</v>
      </c>
      <c r="D45" s="240"/>
      <c r="E45" s="240"/>
      <c r="F45" s="18"/>
      <c r="G45" s="214">
        <f t="shared" ref="G45:T45" si="8">SUM(G42:G44)</f>
        <v>3386903.9699999983</v>
      </c>
      <c r="H45" s="214">
        <f t="shared" si="8"/>
        <v>3357886.4799999991</v>
      </c>
      <c r="I45" s="214">
        <f t="shared" si="8"/>
        <v>3328869.0199999986</v>
      </c>
      <c r="J45" s="214">
        <f t="shared" si="8"/>
        <v>3299851.5499999989</v>
      </c>
      <c r="K45" s="214">
        <f t="shared" si="8"/>
        <v>3270834.0899999989</v>
      </c>
      <c r="L45" s="214">
        <f t="shared" si="8"/>
        <v>3241816.6199999982</v>
      </c>
      <c r="M45" s="214">
        <f t="shared" si="8"/>
        <v>3212799.149999999</v>
      </c>
      <c r="N45" s="214">
        <f t="shared" si="8"/>
        <v>3183781.669999999</v>
      </c>
      <c r="O45" s="214">
        <f t="shared" si="8"/>
        <v>3154764.209999999</v>
      </c>
      <c r="P45" s="214">
        <f t="shared" si="8"/>
        <v>3125746.7399999988</v>
      </c>
      <c r="Q45" s="214">
        <f t="shared" si="8"/>
        <v>3096729.2699999986</v>
      </c>
      <c r="R45" s="214">
        <f t="shared" si="8"/>
        <v>3067711.7999999989</v>
      </c>
      <c r="S45" s="214">
        <f t="shared" si="8"/>
        <v>3038694.3299999982</v>
      </c>
      <c r="T45" s="214">
        <f t="shared" si="8"/>
        <v>3212799.1461538449</v>
      </c>
    </row>
    <row r="46" spans="1:20">
      <c r="A46" s="18"/>
      <c r="B46" s="18"/>
      <c r="D46" s="240"/>
      <c r="E46" s="240"/>
      <c r="F46" s="18"/>
      <c r="G46" s="18"/>
      <c r="H46" s="214"/>
      <c r="I46" s="214"/>
      <c r="J46" s="214"/>
      <c r="K46" s="214"/>
      <c r="L46" s="214"/>
      <c r="M46" s="214"/>
      <c r="N46" s="214"/>
      <c r="O46" s="214"/>
      <c r="P46" s="214"/>
      <c r="Q46" s="214"/>
      <c r="R46" s="214"/>
      <c r="S46" s="214"/>
      <c r="T46" s="214"/>
    </row>
    <row r="47" spans="1:20">
      <c r="A47" s="18"/>
      <c r="B47" s="18"/>
      <c r="D47" s="240"/>
      <c r="E47" s="240"/>
      <c r="F47" s="207"/>
      <c r="G47" s="207"/>
      <c r="H47" s="214"/>
      <c r="I47" s="214"/>
      <c r="J47" s="214"/>
      <c r="K47" s="214"/>
      <c r="L47" s="214"/>
      <c r="M47" s="214"/>
      <c r="N47" s="214"/>
      <c r="O47" s="214"/>
      <c r="P47" s="214"/>
      <c r="Q47" s="214"/>
      <c r="R47" s="214"/>
      <c r="S47" s="214"/>
      <c r="T47" s="214"/>
    </row>
    <row r="48" spans="1:20">
      <c r="A48" s="18"/>
      <c r="B48" s="18"/>
      <c r="C48" s="206" t="s">
        <v>683</v>
      </c>
      <c r="D48" s="240"/>
      <c r="E48" s="240"/>
      <c r="F48" s="207"/>
      <c r="G48" s="207"/>
      <c r="H48" s="214"/>
      <c r="I48" s="214"/>
      <c r="J48" s="214"/>
      <c r="K48" s="214"/>
      <c r="L48" s="214"/>
      <c r="M48" s="214"/>
      <c r="N48" s="214"/>
      <c r="O48" s="214"/>
      <c r="P48" s="214"/>
      <c r="Q48" s="214"/>
      <c r="R48" s="214"/>
      <c r="S48" s="214"/>
      <c r="T48" s="214"/>
    </row>
    <row r="49" spans="1:21">
      <c r="A49" s="18">
        <v>26</v>
      </c>
      <c r="B49" s="18">
        <v>181042</v>
      </c>
      <c r="C49" s="16" t="s">
        <v>684</v>
      </c>
      <c r="D49" s="227">
        <v>41536</v>
      </c>
      <c r="E49" s="227">
        <v>45184</v>
      </c>
      <c r="F49" s="226">
        <v>3.6999999999999998E-2</v>
      </c>
      <c r="G49" s="214">
        <v>35.959999999999013</v>
      </c>
      <c r="H49" s="214">
        <v>-9.8765440270653926E-13</v>
      </c>
      <c r="I49" s="214">
        <v>-9.8765440270653926E-13</v>
      </c>
      <c r="J49" s="214">
        <v>-1.0231815394945443E-12</v>
      </c>
      <c r="K49" s="214">
        <v>-1.0231815394945443E-12</v>
      </c>
      <c r="L49" s="214">
        <v>-1.0231815394945443E-12</v>
      </c>
      <c r="M49" s="214">
        <v>-1.0231815394945443E-12</v>
      </c>
      <c r="N49" s="214">
        <v>-1.0231815394945443E-12</v>
      </c>
      <c r="O49" s="214">
        <v>-1.0231815394945443E-12</v>
      </c>
      <c r="P49" s="214">
        <v>-1.0231815394945443E-12</v>
      </c>
      <c r="Q49" s="214">
        <v>-1.0231815394945443E-12</v>
      </c>
      <c r="R49" s="214">
        <v>-1.0231815394945443E-12</v>
      </c>
      <c r="S49" s="214">
        <v>-1.0231815394945443E-12</v>
      </c>
      <c r="T49" s="214">
        <f>(SUM(G49:S49)/13)</f>
        <v>2.7661538461528314</v>
      </c>
    </row>
    <row r="50" spans="1:21">
      <c r="A50" s="18"/>
      <c r="B50" s="18"/>
      <c r="C50" s="16" t="s">
        <v>687</v>
      </c>
      <c r="D50" s="240"/>
      <c r="E50" s="240"/>
      <c r="F50" s="207"/>
      <c r="G50" s="241">
        <v>35.95999999998476</v>
      </c>
      <c r="H50" s="241">
        <v>-1.5241141682054149E-11</v>
      </c>
      <c r="I50" s="241">
        <v>-1.5241141682054149E-11</v>
      </c>
      <c r="J50" s="241">
        <v>-1.5276668818842154E-11</v>
      </c>
      <c r="K50" s="241">
        <v>-1.5276668818842154E-11</v>
      </c>
      <c r="L50" s="241">
        <v>-1.5276668818842154E-11</v>
      </c>
      <c r="M50" s="241">
        <v>-1.5276668818842154E-11</v>
      </c>
      <c r="N50" s="241">
        <v>-1.5276668818842154E-11</v>
      </c>
      <c r="O50" s="241">
        <v>-1.5276668818842154E-11</v>
      </c>
      <c r="P50" s="241">
        <v>-1.5276668818842154E-11</v>
      </c>
      <c r="Q50" s="241">
        <v>-1.5276668818842154E-11</v>
      </c>
      <c r="R50" s="241">
        <v>-1.5276668818842154E-11</v>
      </c>
      <c r="S50" s="241">
        <f>SUM(S47:S49)</f>
        <v>-1.0231815394945443E-12</v>
      </c>
      <c r="T50" s="241">
        <f>SUM(T47:T49)</f>
        <v>2.7661538461528314</v>
      </c>
    </row>
    <row r="51" spans="1:21">
      <c r="A51" s="18"/>
      <c r="H51" s="214"/>
      <c r="I51" s="214"/>
      <c r="J51" s="214"/>
      <c r="K51" s="214"/>
      <c r="L51" s="214"/>
      <c r="M51" s="214"/>
      <c r="N51" s="214"/>
      <c r="O51" s="214"/>
      <c r="P51" s="214"/>
      <c r="Q51" s="214"/>
      <c r="R51" s="214"/>
      <c r="S51" s="214"/>
      <c r="T51" s="214"/>
    </row>
    <row r="52" spans="1:21">
      <c r="A52" s="18">
        <v>27</v>
      </c>
      <c r="C52" s="16" t="s">
        <v>710</v>
      </c>
      <c r="G52" s="214">
        <f>G30+G38+G45+G50</f>
        <v>56035358.960000008</v>
      </c>
      <c r="H52" s="214">
        <f t="shared" ref="H52:T52" si="9">H30+H38+H45+H50</f>
        <v>55761208.169999994</v>
      </c>
      <c r="I52" s="214">
        <f t="shared" si="9"/>
        <v>55487799.75999999</v>
      </c>
      <c r="J52" s="214">
        <f t="shared" si="9"/>
        <v>55213684.339999996</v>
      </c>
      <c r="K52" s="214">
        <f t="shared" si="9"/>
        <v>54939804.579999991</v>
      </c>
      <c r="L52" s="214">
        <f t="shared" si="9"/>
        <v>54665689.159999989</v>
      </c>
      <c r="M52" s="214">
        <f t="shared" si="9"/>
        <v>54391809.399999991</v>
      </c>
      <c r="N52" s="214">
        <f t="shared" si="9"/>
        <v>54117693.959999986</v>
      </c>
      <c r="O52" s="214">
        <f t="shared" si="9"/>
        <v>53843578.519999996</v>
      </c>
      <c r="P52" s="214">
        <f t="shared" si="9"/>
        <v>53569698.749999993</v>
      </c>
      <c r="Q52" s="214">
        <f t="shared" si="9"/>
        <v>53295583.309999987</v>
      </c>
      <c r="R52" s="214">
        <f t="shared" si="9"/>
        <v>56870834.229999997</v>
      </c>
      <c r="S52" s="214">
        <f t="shared" si="9"/>
        <v>56729065.559999987</v>
      </c>
      <c r="T52" s="214">
        <f t="shared" si="9"/>
        <v>54993985.284615383</v>
      </c>
      <c r="U52" s="214"/>
    </row>
    <row r="53" spans="1:21">
      <c r="A53" s="18"/>
      <c r="H53" s="218"/>
      <c r="I53" s="218"/>
      <c r="J53" s="218"/>
      <c r="K53" s="218"/>
      <c r="L53" s="218"/>
      <c r="M53" s="218"/>
      <c r="N53" s="218"/>
      <c r="O53" s="218"/>
      <c r="P53" s="218"/>
      <c r="Q53" s="218"/>
      <c r="R53" s="218"/>
      <c r="S53" s="218"/>
      <c r="T53" s="214"/>
    </row>
    <row r="54" spans="1:21">
      <c r="A54" s="18"/>
      <c r="B54" s="219" t="s">
        <v>689</v>
      </c>
      <c r="H54" s="218"/>
      <c r="I54" s="218"/>
      <c r="J54" s="218"/>
      <c r="K54" s="218"/>
      <c r="L54" s="218"/>
      <c r="M54" s="218"/>
      <c r="N54" s="218"/>
      <c r="O54" s="218"/>
      <c r="P54" s="218"/>
      <c r="Q54" s="218"/>
      <c r="R54" s="218"/>
      <c r="S54" s="218"/>
      <c r="T54" s="214"/>
    </row>
    <row r="55" spans="1:21">
      <c r="A55" s="18"/>
      <c r="T55" s="214"/>
    </row>
    <row r="56" spans="1:21">
      <c r="A56" s="18"/>
      <c r="H56" s="211"/>
      <c r="I56" s="211"/>
      <c r="J56" s="211"/>
      <c r="K56" s="211"/>
      <c r="L56" s="211"/>
      <c r="M56" s="211"/>
      <c r="N56" s="211"/>
      <c r="O56" s="211"/>
      <c r="P56" s="211"/>
      <c r="Q56" s="211"/>
      <c r="R56" s="242"/>
      <c r="S56" s="242"/>
    </row>
    <row r="57" spans="1:21">
      <c r="H57" s="218"/>
      <c r="I57" s="218"/>
      <c r="J57" s="218"/>
      <c r="K57" s="218"/>
      <c r="L57" s="218"/>
      <c r="M57" s="218"/>
      <c r="N57" s="218"/>
      <c r="O57" s="218"/>
      <c r="P57" s="218"/>
      <c r="Q57" s="218"/>
      <c r="R57" s="218"/>
      <c r="S57" s="218"/>
      <c r="T57" s="214"/>
    </row>
  </sheetData>
  <mergeCells count="6">
    <mergeCell ref="A6:T6"/>
    <mergeCell ref="A5:T5"/>
    <mergeCell ref="A1:T1"/>
    <mergeCell ref="A2:T2"/>
    <mergeCell ref="A3:T3"/>
    <mergeCell ref="A4:T4"/>
  </mergeCells>
  <conditionalFormatting sqref="C29">
    <cfRule type="duplicateValues" dxfId="1" priority="1"/>
  </conditionalFormatting>
  <pageMargins left="0.25" right="0.25" top="0.75" bottom="0.25" header="0.25" footer="0.25"/>
  <pageSetup scale="43" orientation="landscape" horizontalDpi="4294967293" r:id="rId1"/>
  <headerFooter alignWithMargins="0">
    <oddHeader>&amp;RGroen Direct Exhibit 1.1, Schedule 26
Page 6 of 13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W53"/>
  <sheetViews>
    <sheetView view="pageLayout" zoomScaleNormal="80" workbookViewId="0">
      <selection activeCell="S16" sqref="S16"/>
    </sheetView>
  </sheetViews>
  <sheetFormatPr defaultColWidth="9.140625" defaultRowHeight="15.75"/>
  <cols>
    <col min="1" max="1" width="5.140625" style="16" customWidth="1"/>
    <col min="2" max="2" width="7.85546875" style="16" customWidth="1"/>
    <col min="3" max="3" width="30.85546875" style="16" customWidth="1"/>
    <col min="4" max="4" width="10.85546875" style="16" customWidth="1"/>
    <col min="5" max="5" width="11.28515625" style="16" bestFit="1" customWidth="1"/>
    <col min="6" max="6" width="8.85546875" style="16" bestFit="1" customWidth="1"/>
    <col min="7" max="7" width="15.85546875" style="16" customWidth="1"/>
    <col min="8" max="20" width="15.5703125" style="16" customWidth="1"/>
    <col min="21" max="21" width="5" style="16" customWidth="1"/>
    <col min="22" max="16384" width="9.140625" style="16"/>
  </cols>
  <sheetData>
    <row r="1" spans="1:23">
      <c r="A1" s="287" t="s">
        <v>787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</row>
    <row r="2" spans="1:23">
      <c r="A2" s="287" t="s">
        <v>791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</row>
    <row r="3" spans="1:23">
      <c r="A3" s="287" t="s">
        <v>792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  <c r="P3" s="287"/>
      <c r="Q3" s="287"/>
      <c r="R3" s="287"/>
      <c r="S3" s="287"/>
      <c r="T3" s="287"/>
    </row>
    <row r="4" spans="1:23">
      <c r="A4" s="287" t="s">
        <v>711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  <c r="R4" s="287"/>
      <c r="S4" s="287"/>
      <c r="T4" s="287"/>
    </row>
    <row r="5" spans="1:23">
      <c r="A5" s="305" t="str">
        <f>'Sch 25 - WACC'!A5</f>
        <v>FOR THE YEAR ENDING DECEMBER 31, 2025</v>
      </c>
      <c r="B5" s="305"/>
      <c r="C5" s="305"/>
      <c r="D5" s="305"/>
      <c r="E5" s="305"/>
      <c r="F5" s="305"/>
      <c r="G5" s="305"/>
      <c r="H5" s="305"/>
      <c r="I5" s="305"/>
      <c r="J5" s="305"/>
      <c r="K5" s="305"/>
      <c r="L5" s="305"/>
      <c r="M5" s="305"/>
      <c r="N5" s="305"/>
      <c r="O5" s="305"/>
      <c r="P5" s="305"/>
      <c r="Q5" s="305"/>
      <c r="R5" s="305"/>
      <c r="S5" s="305"/>
      <c r="T5" s="305"/>
    </row>
    <row r="6" spans="1:23">
      <c r="A6" s="289" t="s">
        <v>793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  <c r="R6" s="289"/>
      <c r="S6" s="289"/>
      <c r="T6" s="289"/>
    </row>
    <row r="7" spans="1:23">
      <c r="A7" s="2"/>
      <c r="B7" s="205"/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</row>
    <row r="8" spans="1:23">
      <c r="B8" s="18" t="s">
        <v>50</v>
      </c>
      <c r="C8" s="18" t="s">
        <v>51</v>
      </c>
      <c r="D8" s="18" t="s">
        <v>86</v>
      </c>
      <c r="E8" s="18" t="s">
        <v>87</v>
      </c>
      <c r="F8" s="18" t="s">
        <v>88</v>
      </c>
      <c r="G8" s="18" t="s">
        <v>89</v>
      </c>
      <c r="H8" s="18" t="s">
        <v>140</v>
      </c>
      <c r="I8" s="18" t="s">
        <v>141</v>
      </c>
      <c r="J8" s="18" t="s">
        <v>142</v>
      </c>
      <c r="K8" s="18" t="s">
        <v>143</v>
      </c>
      <c r="L8" s="18" t="s">
        <v>144</v>
      </c>
      <c r="M8" s="18" t="s">
        <v>145</v>
      </c>
      <c r="N8" s="18" t="s">
        <v>146</v>
      </c>
      <c r="O8" s="18" t="s">
        <v>147</v>
      </c>
      <c r="P8" s="18" t="s">
        <v>148</v>
      </c>
      <c r="Q8" s="18" t="s">
        <v>149</v>
      </c>
      <c r="R8" s="18" t="s">
        <v>150</v>
      </c>
      <c r="S8" s="18" t="s">
        <v>230</v>
      </c>
      <c r="T8" s="18" t="s">
        <v>231</v>
      </c>
      <c r="U8" s="18"/>
    </row>
    <row r="9" spans="1:23">
      <c r="D9" s="18" t="s">
        <v>636</v>
      </c>
      <c r="E9" s="18" t="s">
        <v>637</v>
      </c>
      <c r="F9" s="18" t="s">
        <v>116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 t="s">
        <v>699</v>
      </c>
    </row>
    <row r="10" spans="1:23">
      <c r="D10" s="18" t="s">
        <v>638</v>
      </c>
      <c r="E10" s="18" t="s">
        <v>638</v>
      </c>
      <c r="F10" s="18" t="s">
        <v>233</v>
      </c>
      <c r="G10" s="211">
        <v>45654</v>
      </c>
      <c r="H10" s="211">
        <v>45685</v>
      </c>
      <c r="I10" s="211">
        <v>45716</v>
      </c>
      <c r="J10" s="211">
        <v>45744</v>
      </c>
      <c r="K10" s="211">
        <v>45775</v>
      </c>
      <c r="L10" s="211">
        <v>45805</v>
      </c>
      <c r="M10" s="211">
        <v>45836</v>
      </c>
      <c r="N10" s="211">
        <v>45866</v>
      </c>
      <c r="O10" s="211">
        <v>45897</v>
      </c>
      <c r="P10" s="211">
        <v>45928</v>
      </c>
      <c r="Q10" s="211">
        <v>45958</v>
      </c>
      <c r="R10" s="211">
        <v>45989</v>
      </c>
      <c r="S10" s="211">
        <v>46019</v>
      </c>
      <c r="T10" s="205" t="s">
        <v>499</v>
      </c>
    </row>
    <row r="11" spans="1:23">
      <c r="C11" s="206" t="s">
        <v>640</v>
      </c>
      <c r="D11" s="18"/>
      <c r="E11" s="18"/>
      <c r="F11" s="18"/>
      <c r="G11" s="18"/>
      <c r="T11" s="18"/>
    </row>
    <row r="13" spans="1:23">
      <c r="A13" s="18"/>
      <c r="H13" s="214"/>
      <c r="I13" s="214"/>
      <c r="J13" s="214"/>
      <c r="K13" s="214"/>
      <c r="L13" s="214"/>
      <c r="M13" s="214"/>
      <c r="N13" s="214"/>
      <c r="O13" s="214"/>
      <c r="P13" s="214"/>
      <c r="Q13" s="214"/>
      <c r="R13" s="214"/>
      <c r="S13" s="214"/>
      <c r="T13" s="214"/>
    </row>
    <row r="14" spans="1:23">
      <c r="A14" s="18"/>
      <c r="H14" s="214"/>
      <c r="I14" s="214"/>
      <c r="J14" s="214"/>
      <c r="K14" s="214"/>
      <c r="L14" s="214"/>
      <c r="M14" s="214"/>
      <c r="N14" s="214"/>
      <c r="O14" s="214"/>
      <c r="P14" s="214"/>
      <c r="Q14" s="214"/>
      <c r="R14" s="214"/>
      <c r="S14" s="214"/>
      <c r="T14" s="214"/>
    </row>
    <row r="15" spans="1:23">
      <c r="A15" s="18"/>
      <c r="B15" s="18"/>
      <c r="C15" s="206" t="s">
        <v>641</v>
      </c>
      <c r="D15" s="18"/>
      <c r="E15" s="18"/>
      <c r="F15" s="18"/>
      <c r="G15" s="18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4"/>
      <c r="T15" s="214"/>
      <c r="V15" s="21" t="s">
        <v>712</v>
      </c>
      <c r="W15" s="21"/>
    </row>
    <row r="16" spans="1:23">
      <c r="A16" s="18">
        <v>1</v>
      </c>
      <c r="B16" s="18">
        <v>189087</v>
      </c>
      <c r="C16" s="16" t="s">
        <v>713</v>
      </c>
      <c r="D16" s="38">
        <v>42767</v>
      </c>
      <c r="E16" s="38">
        <v>46508</v>
      </c>
      <c r="F16" s="207">
        <v>3.1E-2</v>
      </c>
      <c r="G16" s="214">
        <v>503065.77999999991</v>
      </c>
      <c r="H16" s="214">
        <v>485099.1399999999</v>
      </c>
      <c r="I16" s="214">
        <v>467132.50999999989</v>
      </c>
      <c r="J16" s="214">
        <v>449165.86999999988</v>
      </c>
      <c r="K16" s="214">
        <v>431199.23999999987</v>
      </c>
      <c r="L16" s="214">
        <v>413232.59999999986</v>
      </c>
      <c r="M16" s="214">
        <v>395265.96999999986</v>
      </c>
      <c r="N16" s="214">
        <v>377299.32999999984</v>
      </c>
      <c r="O16" s="214">
        <v>359332.69999999984</v>
      </c>
      <c r="P16" s="214">
        <v>341366.05999999982</v>
      </c>
      <c r="Q16" s="214">
        <v>323399.42999999982</v>
      </c>
      <c r="R16" s="214">
        <v>305432.7899999998</v>
      </c>
      <c r="S16" s="214">
        <v>287466.1599999998</v>
      </c>
      <c r="T16" s="159">
        <f>SUM(G16:S16)/13</f>
        <v>395265.9676923076</v>
      </c>
      <c r="U16" s="214"/>
      <c r="V16" s="16" t="s">
        <v>714</v>
      </c>
    </row>
    <row r="17" spans="1:22">
      <c r="A17" s="18">
        <v>2</v>
      </c>
      <c r="B17" s="18">
        <v>189088</v>
      </c>
      <c r="C17" s="16" t="s">
        <v>715</v>
      </c>
      <c r="D17" s="38">
        <v>42767</v>
      </c>
      <c r="E17" s="38">
        <v>53905</v>
      </c>
      <c r="F17" s="207">
        <v>3.95E-2</v>
      </c>
      <c r="G17" s="214">
        <v>2061585.3499999992</v>
      </c>
      <c r="H17" s="214">
        <v>2053978.0199999991</v>
      </c>
      <c r="I17" s="214">
        <v>2046370.689999999</v>
      </c>
      <c r="J17" s="214">
        <v>2038763.3599999989</v>
      </c>
      <c r="K17" s="214">
        <v>2031156.0299999989</v>
      </c>
      <c r="L17" s="214">
        <v>2023548.6999999988</v>
      </c>
      <c r="M17" s="214">
        <v>2015941.3699999987</v>
      </c>
      <c r="N17" s="214">
        <v>2008334.0399999986</v>
      </c>
      <c r="O17" s="214">
        <v>2000726.7099999986</v>
      </c>
      <c r="P17" s="214">
        <v>1993119.3799999985</v>
      </c>
      <c r="Q17" s="214">
        <v>1985512.0499999984</v>
      </c>
      <c r="R17" s="214">
        <v>1977904.7199999983</v>
      </c>
      <c r="S17" s="214">
        <v>1970297.3899999983</v>
      </c>
      <c r="T17" s="160">
        <f>SUM(G17:S17)/13</f>
        <v>2015941.3699999987</v>
      </c>
      <c r="U17" s="214"/>
      <c r="V17" s="16" t="s">
        <v>684</v>
      </c>
    </row>
    <row r="18" spans="1:22">
      <c r="A18" s="18">
        <v>3</v>
      </c>
      <c r="B18" s="18">
        <v>189090</v>
      </c>
      <c r="C18" s="16" t="s">
        <v>716</v>
      </c>
      <c r="D18" s="38">
        <v>43472</v>
      </c>
      <c r="E18" s="38">
        <v>47223</v>
      </c>
      <c r="F18" s="207">
        <v>3.6499999999999998E-2</v>
      </c>
      <c r="G18" s="214">
        <v>12514.869999999997</v>
      </c>
      <c r="H18" s="214">
        <v>12271.859999999997</v>
      </c>
      <c r="I18" s="214">
        <v>12028.849999999997</v>
      </c>
      <c r="J18" s="214">
        <v>11785.839999999997</v>
      </c>
      <c r="K18" s="214">
        <v>11542.829999999996</v>
      </c>
      <c r="L18" s="214">
        <v>11299.819999999996</v>
      </c>
      <c r="M18" s="214">
        <v>11056.809999999996</v>
      </c>
      <c r="N18" s="214">
        <v>10813.799999999996</v>
      </c>
      <c r="O18" s="214">
        <v>10570.789999999995</v>
      </c>
      <c r="P18" s="214">
        <v>10327.779999999995</v>
      </c>
      <c r="Q18" s="214">
        <v>10084.769999999995</v>
      </c>
      <c r="R18" s="214">
        <v>9841.7599999999948</v>
      </c>
      <c r="S18" s="214">
        <v>9598.7499999999945</v>
      </c>
      <c r="T18" s="160">
        <f>SUM(G18:S18)/13</f>
        <v>11056.809999999996</v>
      </c>
      <c r="U18" s="214"/>
      <c r="V18" s="16" t="s">
        <v>717</v>
      </c>
    </row>
    <row r="19" spans="1:22">
      <c r="A19" s="18">
        <v>4</v>
      </c>
      <c r="B19" s="18">
        <v>189091</v>
      </c>
      <c r="C19" s="16" t="s">
        <v>718</v>
      </c>
      <c r="D19" s="38">
        <v>43472</v>
      </c>
      <c r="E19" s="38">
        <v>54619</v>
      </c>
      <c r="F19" s="207">
        <v>4.2500000000000003E-2</v>
      </c>
      <c r="G19" s="225">
        <v>35879.609999999986</v>
      </c>
      <c r="H19" s="225">
        <v>35757.779999999984</v>
      </c>
      <c r="I19" s="225">
        <v>35635.949999999983</v>
      </c>
      <c r="J19" s="225">
        <v>35514.119999999981</v>
      </c>
      <c r="K19" s="225">
        <v>35392.289999999979</v>
      </c>
      <c r="L19" s="225">
        <v>35270.459999999977</v>
      </c>
      <c r="M19" s="225">
        <v>35148.629999999976</v>
      </c>
      <c r="N19" s="225">
        <v>35026.799999999974</v>
      </c>
      <c r="O19" s="225">
        <v>34904.969999999972</v>
      </c>
      <c r="P19" s="225">
        <v>34783.13999999997</v>
      </c>
      <c r="Q19" s="225">
        <v>34661.309999999969</v>
      </c>
      <c r="R19" s="225">
        <v>34539.479999999967</v>
      </c>
      <c r="S19" s="225">
        <v>34417.649999999965</v>
      </c>
      <c r="T19" s="162">
        <f>SUM(G19:S19)/13</f>
        <v>35148.629999999976</v>
      </c>
      <c r="U19" s="214"/>
      <c r="V19" s="16" t="s">
        <v>719</v>
      </c>
    </row>
    <row r="20" spans="1:22">
      <c r="A20" s="18">
        <v>5</v>
      </c>
      <c r="B20" s="18"/>
      <c r="C20" s="16" t="s">
        <v>658</v>
      </c>
      <c r="G20" s="214">
        <f t="shared" ref="G20:S20" si="0">SUM(G16:G19)</f>
        <v>2613045.6099999989</v>
      </c>
      <c r="H20" s="214">
        <f t="shared" si="0"/>
        <v>2587106.7999999989</v>
      </c>
      <c r="I20" s="214">
        <f t="shared" si="0"/>
        <v>2561167.9999999991</v>
      </c>
      <c r="J20" s="214">
        <f t="shared" si="0"/>
        <v>2535229.1899999985</v>
      </c>
      <c r="K20" s="214">
        <f t="shared" si="0"/>
        <v>2509290.3899999987</v>
      </c>
      <c r="L20" s="214">
        <f t="shared" si="0"/>
        <v>2483351.5799999987</v>
      </c>
      <c r="M20" s="214">
        <f t="shared" si="0"/>
        <v>2457412.7799999984</v>
      </c>
      <c r="N20" s="214">
        <f t="shared" si="0"/>
        <v>2431473.9699999979</v>
      </c>
      <c r="O20" s="214">
        <f t="shared" si="0"/>
        <v>2405535.1699999981</v>
      </c>
      <c r="P20" s="214">
        <f t="shared" si="0"/>
        <v>2379596.3599999985</v>
      </c>
      <c r="Q20" s="214">
        <f t="shared" si="0"/>
        <v>2353657.5599999982</v>
      </c>
      <c r="R20" s="214">
        <f t="shared" si="0"/>
        <v>2327718.7499999977</v>
      </c>
      <c r="S20" s="214">
        <f t="shared" si="0"/>
        <v>2301779.9499999979</v>
      </c>
      <c r="T20" s="27">
        <f t="shared" ref="T20" si="1">SUM(T16:T19)</f>
        <v>2457412.7776923063</v>
      </c>
      <c r="U20" s="214"/>
    </row>
    <row r="21" spans="1:22">
      <c r="A21" s="18"/>
      <c r="B21" s="18"/>
      <c r="H21" s="214"/>
      <c r="I21" s="214"/>
      <c r="J21" s="214"/>
      <c r="K21" s="214"/>
      <c r="L21" s="214"/>
      <c r="M21" s="214"/>
      <c r="N21" s="214"/>
      <c r="O21" s="214"/>
      <c r="P21" s="214"/>
      <c r="Q21" s="214"/>
      <c r="R21" s="214"/>
      <c r="S21" s="214"/>
      <c r="T21" s="214"/>
      <c r="U21" s="214"/>
    </row>
    <row r="22" spans="1:22">
      <c r="A22" s="18"/>
      <c r="B22" s="18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</row>
    <row r="23" spans="1:22">
      <c r="A23" s="18"/>
      <c r="C23" s="206" t="s">
        <v>669</v>
      </c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</row>
    <row r="24" spans="1:22">
      <c r="A24" s="18">
        <v>6</v>
      </c>
      <c r="B24" s="18">
        <v>189065</v>
      </c>
      <c r="C24" s="16" t="s">
        <v>720</v>
      </c>
      <c r="D24" s="232">
        <v>44805</v>
      </c>
      <c r="E24" s="232">
        <v>52079</v>
      </c>
      <c r="F24" s="207">
        <v>7.8409999999999994E-2</v>
      </c>
      <c r="G24" s="27">
        <v>741190.65000000037</v>
      </c>
      <c r="H24" s="27">
        <v>732366.95000000042</v>
      </c>
      <c r="I24" s="27">
        <v>723543.25000000047</v>
      </c>
      <c r="J24" s="27">
        <v>714719.55000000051</v>
      </c>
      <c r="K24" s="27">
        <v>705895.85000000056</v>
      </c>
      <c r="L24" s="27">
        <v>697072.15000000061</v>
      </c>
      <c r="M24" s="27">
        <v>688248.45000000065</v>
      </c>
      <c r="N24" s="27">
        <v>679424.7500000007</v>
      </c>
      <c r="O24" s="27">
        <v>670601.05000000075</v>
      </c>
      <c r="P24" s="27">
        <v>661777.35000000079</v>
      </c>
      <c r="Q24" s="27">
        <v>652953.65000000084</v>
      </c>
      <c r="R24" s="27">
        <v>644129.95000000088</v>
      </c>
      <c r="S24" s="27">
        <v>635306.25000000093</v>
      </c>
      <c r="T24" s="27">
        <f>SUM(G24:S24)/13</f>
        <v>688248.45000000065</v>
      </c>
      <c r="U24" s="214"/>
      <c r="V24" s="16" t="s">
        <v>721</v>
      </c>
    </row>
    <row r="25" spans="1:22">
      <c r="A25" s="18">
        <v>7</v>
      </c>
      <c r="B25" s="18">
        <v>189083</v>
      </c>
      <c r="C25" s="16" t="s">
        <v>643</v>
      </c>
      <c r="D25" s="232">
        <v>41732</v>
      </c>
      <c r="E25" s="232">
        <v>52885</v>
      </c>
      <c r="F25" s="207">
        <v>4.3999999999999997E-2</v>
      </c>
      <c r="G25" s="154">
        <v>1959331.0599999994</v>
      </c>
      <c r="H25" s="154">
        <v>1951081.2499999993</v>
      </c>
      <c r="I25" s="154">
        <v>1942831.4299999992</v>
      </c>
      <c r="J25" s="154">
        <v>1934581.6199999992</v>
      </c>
      <c r="K25" s="154">
        <v>1926331.7999999991</v>
      </c>
      <c r="L25" s="154">
        <v>1918081.9899999991</v>
      </c>
      <c r="M25" s="154">
        <v>1909832.169999999</v>
      </c>
      <c r="N25" s="154">
        <v>1901582.3599999989</v>
      </c>
      <c r="O25" s="154">
        <v>1893332.5399999989</v>
      </c>
      <c r="P25" s="154">
        <v>1885082.7299999988</v>
      </c>
      <c r="Q25" s="154">
        <v>1876832.9099999988</v>
      </c>
      <c r="R25" s="154">
        <v>1868583.0999999987</v>
      </c>
      <c r="S25" s="154">
        <v>1860333.2799999986</v>
      </c>
      <c r="T25" s="154">
        <f>SUM(G25:S25)/13</f>
        <v>1909832.1723076913</v>
      </c>
      <c r="U25" s="214"/>
      <c r="V25" s="16" t="s">
        <v>722</v>
      </c>
    </row>
    <row r="26" spans="1:22">
      <c r="A26" s="18">
        <v>8</v>
      </c>
      <c r="B26" s="18"/>
      <c r="C26" s="16" t="s">
        <v>723</v>
      </c>
      <c r="G26" s="214">
        <f t="shared" ref="G26:T26" si="2">SUM(G24:G25)</f>
        <v>2700521.71</v>
      </c>
      <c r="H26" s="214">
        <f t="shared" si="2"/>
        <v>2683448.1999999997</v>
      </c>
      <c r="I26" s="214">
        <f t="shared" si="2"/>
        <v>2666374.6799999997</v>
      </c>
      <c r="J26" s="214">
        <f t="shared" si="2"/>
        <v>2649301.17</v>
      </c>
      <c r="K26" s="214">
        <f t="shared" si="2"/>
        <v>2632227.6499999994</v>
      </c>
      <c r="L26" s="214">
        <f t="shared" si="2"/>
        <v>2615154.1399999997</v>
      </c>
      <c r="M26" s="214">
        <f t="shared" si="2"/>
        <v>2598080.6199999996</v>
      </c>
      <c r="N26" s="214">
        <f t="shared" si="2"/>
        <v>2581007.1099999994</v>
      </c>
      <c r="O26" s="214">
        <f t="shared" si="2"/>
        <v>2563933.59</v>
      </c>
      <c r="P26" s="214">
        <f t="shared" si="2"/>
        <v>2546860.0799999996</v>
      </c>
      <c r="Q26" s="214">
        <f t="shared" si="2"/>
        <v>2529786.5599999996</v>
      </c>
      <c r="R26" s="214">
        <f t="shared" si="2"/>
        <v>2512713.0499999998</v>
      </c>
      <c r="S26" s="214">
        <f t="shared" si="2"/>
        <v>2495639.5299999993</v>
      </c>
      <c r="T26" s="214">
        <f t="shared" si="2"/>
        <v>2598080.6223076917</v>
      </c>
      <c r="U26" s="214"/>
    </row>
    <row r="27" spans="1:22">
      <c r="A27" s="18"/>
      <c r="B27" s="18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</row>
    <row r="28" spans="1:22">
      <c r="A28" s="18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</row>
    <row r="29" spans="1:22">
      <c r="A29" s="18"/>
      <c r="C29" s="206" t="s">
        <v>724</v>
      </c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</row>
    <row r="30" spans="1:22">
      <c r="A30" s="18">
        <v>9</v>
      </c>
      <c r="B30" s="18">
        <v>189056</v>
      </c>
      <c r="C30" s="16" t="s">
        <v>695</v>
      </c>
      <c r="D30" s="228">
        <v>34257</v>
      </c>
      <c r="E30" s="228">
        <v>45945</v>
      </c>
      <c r="F30" s="207">
        <v>6.9500000000000006E-2</v>
      </c>
      <c r="G30" s="27">
        <v>77027.09</v>
      </c>
      <c r="H30" s="27">
        <v>68468.51999999999</v>
      </c>
      <c r="I30" s="27">
        <v>59909.959999999992</v>
      </c>
      <c r="J30" s="27">
        <v>51351.389999999992</v>
      </c>
      <c r="K30" s="27">
        <v>42792.829999999994</v>
      </c>
      <c r="L30" s="27">
        <v>34234.259999999995</v>
      </c>
      <c r="M30" s="27">
        <v>25675.699999999997</v>
      </c>
      <c r="N30" s="27">
        <v>17117.129999999997</v>
      </c>
      <c r="O30" s="27">
        <v>8558.5699999999979</v>
      </c>
      <c r="P30" s="27">
        <v>0</v>
      </c>
      <c r="Q30" s="27">
        <v>0</v>
      </c>
      <c r="R30" s="27">
        <v>0</v>
      </c>
      <c r="S30" s="27">
        <v>0</v>
      </c>
      <c r="T30" s="159">
        <f>SUM(G30:S30)/13</f>
        <v>29625.803846153845</v>
      </c>
      <c r="U30" s="214"/>
    </row>
    <row r="31" spans="1:22">
      <c r="A31" s="18">
        <v>10</v>
      </c>
      <c r="C31" s="219" t="s">
        <v>687</v>
      </c>
      <c r="H31" s="214">
        <f t="shared" ref="H31:T31" si="3">SUM(H30:H30)</f>
        <v>68468.51999999999</v>
      </c>
      <c r="I31" s="214">
        <f t="shared" si="3"/>
        <v>59909.959999999992</v>
      </c>
      <c r="J31" s="214">
        <f t="shared" ref="J31:N31" si="4">SUM(J30:J30)</f>
        <v>51351.389999999992</v>
      </c>
      <c r="K31" s="214">
        <f t="shared" si="4"/>
        <v>42792.829999999994</v>
      </c>
      <c r="L31" s="214">
        <f t="shared" si="4"/>
        <v>34234.259999999995</v>
      </c>
      <c r="M31" s="214">
        <f t="shared" si="4"/>
        <v>25675.699999999997</v>
      </c>
      <c r="N31" s="214">
        <f t="shared" si="4"/>
        <v>17117.129999999997</v>
      </c>
      <c r="O31" s="214">
        <f t="shared" ref="O31:S31" si="5">SUM(O30:O30)</f>
        <v>8558.5699999999979</v>
      </c>
      <c r="P31" s="214">
        <f t="shared" si="5"/>
        <v>0</v>
      </c>
      <c r="Q31" s="214">
        <f t="shared" si="5"/>
        <v>0</v>
      </c>
      <c r="R31" s="214">
        <f t="shared" si="5"/>
        <v>0</v>
      </c>
      <c r="S31" s="214">
        <f t="shared" si="5"/>
        <v>0</v>
      </c>
      <c r="T31" s="214">
        <f t="shared" si="3"/>
        <v>29625.803846153845</v>
      </c>
      <c r="U31" s="214"/>
    </row>
    <row r="32" spans="1:22">
      <c r="A32" s="18"/>
      <c r="C32" s="206"/>
      <c r="H32" s="214"/>
      <c r="I32" s="214"/>
      <c r="J32" s="214"/>
      <c r="K32" s="214"/>
      <c r="L32" s="214"/>
      <c r="M32" s="214"/>
      <c r="N32" s="214"/>
      <c r="O32" s="214"/>
      <c r="P32" s="214"/>
      <c r="Q32" s="214"/>
      <c r="R32" s="214"/>
      <c r="S32" s="214"/>
      <c r="T32" s="214"/>
      <c r="U32" s="214"/>
    </row>
    <row r="33" spans="1:21">
      <c r="A33" s="18"/>
      <c r="B33" s="18"/>
      <c r="D33" s="38"/>
      <c r="E33" s="38"/>
      <c r="F33" s="18"/>
      <c r="G33" s="18"/>
      <c r="H33" s="214"/>
      <c r="I33" s="214"/>
      <c r="J33" s="214"/>
      <c r="K33" s="214"/>
      <c r="L33" s="214"/>
      <c r="M33" s="214"/>
      <c r="N33" s="214"/>
      <c r="O33" s="214"/>
      <c r="P33" s="214"/>
      <c r="Q33" s="214"/>
      <c r="R33" s="214"/>
      <c r="S33" s="214"/>
      <c r="T33" s="214"/>
      <c r="U33" s="214"/>
    </row>
    <row r="34" spans="1:21">
      <c r="A34" s="18">
        <v>11</v>
      </c>
      <c r="C34" s="16" t="s">
        <v>725</v>
      </c>
      <c r="G34" s="214">
        <f>G20+G26+G31</f>
        <v>5313567.3199999984</v>
      </c>
      <c r="H34" s="214">
        <f>H20+H26+H31</f>
        <v>5339023.5199999977</v>
      </c>
      <c r="I34" s="214">
        <f t="shared" ref="I34:T34" si="6">I20+I26+I31</f>
        <v>5287452.6399999987</v>
      </c>
      <c r="J34" s="214">
        <f t="shared" si="6"/>
        <v>5235881.7499999981</v>
      </c>
      <c r="K34" s="214">
        <f t="shared" si="6"/>
        <v>5184310.8699999982</v>
      </c>
      <c r="L34" s="214">
        <f t="shared" si="6"/>
        <v>5132739.9799999986</v>
      </c>
      <c r="M34" s="214">
        <f t="shared" si="6"/>
        <v>5081169.0999999987</v>
      </c>
      <c r="N34" s="214">
        <f t="shared" si="6"/>
        <v>5029598.2099999972</v>
      </c>
      <c r="O34" s="214">
        <f t="shared" si="6"/>
        <v>4978027.3299999982</v>
      </c>
      <c r="P34" s="214">
        <f t="shared" si="6"/>
        <v>4926456.4399999976</v>
      </c>
      <c r="Q34" s="214">
        <f t="shared" si="6"/>
        <v>4883444.1199999973</v>
      </c>
      <c r="R34" s="214">
        <f t="shared" si="6"/>
        <v>4840431.799999997</v>
      </c>
      <c r="S34" s="214">
        <f t="shared" si="6"/>
        <v>4797419.4799999967</v>
      </c>
      <c r="T34" s="214">
        <f t="shared" si="6"/>
        <v>5085119.2038461519</v>
      </c>
      <c r="U34" s="214"/>
    </row>
    <row r="35" spans="1:21">
      <c r="A35" s="18"/>
      <c r="C35" s="17" t="s">
        <v>697</v>
      </c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4"/>
      <c r="T35" s="214"/>
      <c r="U35" s="214"/>
    </row>
    <row r="36" spans="1:21">
      <c r="A36" s="18"/>
      <c r="C36" s="17"/>
      <c r="H36" s="214"/>
      <c r="I36" s="214"/>
      <c r="J36" s="214"/>
      <c r="K36" s="214"/>
      <c r="L36" s="214"/>
      <c r="M36" s="214"/>
      <c r="N36" s="214"/>
      <c r="O36" s="214"/>
      <c r="P36" s="214"/>
      <c r="Q36" s="214"/>
      <c r="R36" s="214"/>
      <c r="S36" s="214"/>
      <c r="T36" s="214"/>
      <c r="U36" s="214"/>
    </row>
    <row r="37" spans="1:21">
      <c r="H37" s="214"/>
      <c r="I37" s="214"/>
      <c r="J37" s="214"/>
      <c r="K37" s="214"/>
      <c r="L37" s="214"/>
      <c r="M37" s="214"/>
      <c r="N37" s="214"/>
      <c r="O37" s="214"/>
      <c r="P37" s="214"/>
      <c r="Q37" s="214"/>
      <c r="R37" s="214"/>
      <c r="S37" s="214"/>
      <c r="T37" s="214"/>
      <c r="U37" s="214"/>
    </row>
    <row r="38" spans="1:21">
      <c r="A38" s="18"/>
      <c r="B38" s="219" t="s">
        <v>726</v>
      </c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214"/>
      <c r="U38" s="214"/>
    </row>
    <row r="39" spans="1:21">
      <c r="A39" s="18"/>
      <c r="H39" s="238"/>
      <c r="I39" s="238"/>
      <c r="J39" s="238"/>
      <c r="K39" s="238"/>
      <c r="L39" s="238"/>
      <c r="M39" s="238"/>
      <c r="N39" s="238"/>
      <c r="O39" s="238"/>
      <c r="P39" s="238"/>
      <c r="Q39" s="238"/>
      <c r="R39" s="238"/>
      <c r="S39" s="238"/>
      <c r="T39" s="238"/>
      <c r="U39" s="214"/>
    </row>
    <row r="40" spans="1:21">
      <c r="H40" s="238"/>
      <c r="I40" s="238"/>
      <c r="J40" s="238"/>
      <c r="K40" s="238"/>
      <c r="L40" s="238"/>
      <c r="M40" s="238"/>
      <c r="N40" s="238"/>
      <c r="O40" s="238"/>
      <c r="P40" s="238"/>
      <c r="Q40" s="238"/>
      <c r="R40" s="238"/>
      <c r="S40" s="238"/>
      <c r="T40" s="35"/>
    </row>
    <row r="41" spans="1:21">
      <c r="H41" s="211"/>
      <c r="I41" s="211"/>
      <c r="J41" s="211"/>
      <c r="K41" s="211"/>
      <c r="L41" s="211"/>
      <c r="M41" s="211"/>
      <c r="N41" s="211"/>
      <c r="O41" s="211"/>
      <c r="P41" s="211"/>
      <c r="Q41" s="211"/>
      <c r="R41" s="211"/>
      <c r="S41" s="211"/>
    </row>
    <row r="42" spans="1:21">
      <c r="H42" s="238"/>
      <c r="I42" s="238"/>
      <c r="J42" s="238"/>
      <c r="K42" s="238"/>
      <c r="L42" s="238"/>
      <c r="M42" s="238"/>
      <c r="N42" s="238"/>
      <c r="O42" s="238"/>
      <c r="P42" s="238"/>
      <c r="Q42" s="238"/>
      <c r="R42" s="238"/>
      <c r="S42" s="238"/>
    </row>
    <row r="43" spans="1:21">
      <c r="B43" s="18"/>
      <c r="C43" s="18"/>
      <c r="D43" s="18"/>
      <c r="E43" s="18"/>
      <c r="F43" s="18"/>
      <c r="G43" s="18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</row>
    <row r="44" spans="1:21">
      <c r="A44" s="18"/>
      <c r="B44" s="18"/>
      <c r="D44" s="17"/>
      <c r="E44" s="17"/>
      <c r="F44" s="236"/>
      <c r="G44" s="236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214"/>
    </row>
    <row r="45" spans="1:21">
      <c r="A45" s="18"/>
      <c r="B45" s="18"/>
      <c r="F45" s="236"/>
      <c r="G45" s="236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</row>
    <row r="46" spans="1:21">
      <c r="A46" s="18"/>
      <c r="B46" s="18"/>
      <c r="F46" s="236"/>
      <c r="G46" s="236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</row>
    <row r="47" spans="1:21">
      <c r="A47" s="18"/>
      <c r="B47" s="18"/>
      <c r="F47" s="236"/>
      <c r="G47" s="236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</row>
    <row r="48" spans="1:21">
      <c r="A48" s="18"/>
      <c r="B48" s="18"/>
      <c r="F48" s="236"/>
      <c r="G48" s="236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</row>
    <row r="49" spans="1:20">
      <c r="A49" s="18"/>
      <c r="B49" s="18"/>
      <c r="F49" s="236"/>
      <c r="G49" s="236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</row>
    <row r="50" spans="1:20">
      <c r="A50" s="18"/>
      <c r="B50" s="18"/>
      <c r="F50" s="236"/>
      <c r="G50" s="236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</row>
    <row r="51" spans="1:20">
      <c r="A51" s="18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</row>
    <row r="52" spans="1:20">
      <c r="A52" s="18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</row>
    <row r="53" spans="1:20"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</row>
  </sheetData>
  <mergeCells count="6">
    <mergeCell ref="A6:T6"/>
    <mergeCell ref="A5:T5"/>
    <mergeCell ref="A1:T1"/>
    <mergeCell ref="A2:T2"/>
    <mergeCell ref="A3:T3"/>
    <mergeCell ref="A4:T4"/>
  </mergeCells>
  <pageMargins left="0.25" right="0.25" top="0.75" bottom="0.25" header="0.25" footer="0.25"/>
  <pageSetup scale="39" orientation="landscape" r:id="rId1"/>
  <headerFooter alignWithMargins="0">
    <oddHeader>&amp;RGroen Direct Exhibit 1.1, Schedule 26
Page 7 of 13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H67"/>
  <sheetViews>
    <sheetView view="pageLayout" zoomScaleNormal="100" workbookViewId="0">
      <selection activeCell="E9" sqref="E9"/>
    </sheetView>
  </sheetViews>
  <sheetFormatPr defaultColWidth="9.140625" defaultRowHeight="15.75"/>
  <cols>
    <col min="1" max="1" width="4.7109375" style="16" customWidth="1"/>
    <col min="2" max="2" width="9.28515625" style="16" customWidth="1"/>
    <col min="3" max="3" width="33.28515625" style="16" customWidth="1"/>
    <col min="4" max="4" width="9.28515625" style="16" customWidth="1"/>
    <col min="5" max="5" width="15.7109375" style="16" bestFit="1" customWidth="1"/>
    <col min="6" max="6" width="12" style="16" customWidth="1"/>
    <col min="7" max="7" width="14" style="16" bestFit="1" customWidth="1"/>
    <col min="8" max="8" width="13.28515625" style="16" customWidth="1"/>
    <col min="9" max="16384" width="9.140625" style="16"/>
  </cols>
  <sheetData>
    <row r="1" spans="1:8">
      <c r="A1" s="287" t="s">
        <v>787</v>
      </c>
      <c r="B1" s="287"/>
      <c r="C1" s="287"/>
      <c r="D1" s="287"/>
      <c r="E1" s="287"/>
      <c r="F1" s="287"/>
      <c r="G1" s="287"/>
      <c r="H1" s="219"/>
    </row>
    <row r="2" spans="1:8">
      <c r="A2" s="287" t="s">
        <v>791</v>
      </c>
      <c r="B2" s="287"/>
      <c r="C2" s="287"/>
      <c r="D2" s="287"/>
      <c r="E2" s="287"/>
      <c r="F2" s="287"/>
      <c r="G2" s="287"/>
      <c r="H2" s="275"/>
    </row>
    <row r="3" spans="1:8">
      <c r="A3" s="287" t="s">
        <v>792</v>
      </c>
      <c r="B3" s="287"/>
      <c r="C3" s="287"/>
      <c r="D3" s="287"/>
      <c r="E3" s="287"/>
      <c r="F3" s="287"/>
      <c r="G3" s="287"/>
      <c r="H3" s="275"/>
    </row>
    <row r="4" spans="1:8">
      <c r="A4" s="287" t="s">
        <v>727</v>
      </c>
      <c r="B4" s="287"/>
      <c r="C4" s="287"/>
      <c r="D4" s="287"/>
      <c r="E4" s="287"/>
      <c r="F4" s="287"/>
      <c r="G4" s="287"/>
      <c r="H4" s="219"/>
    </row>
    <row r="5" spans="1:8">
      <c r="A5" s="306" t="str">
        <f>'Sch 25 - WACC'!A5</f>
        <v>FOR THE YEAR ENDING DECEMBER 31, 2025</v>
      </c>
      <c r="B5" s="306"/>
      <c r="C5" s="306"/>
      <c r="D5" s="306"/>
      <c r="E5" s="306"/>
      <c r="F5" s="306"/>
      <c r="G5" s="306"/>
      <c r="H5" s="219"/>
    </row>
    <row r="6" spans="1:8">
      <c r="A6" s="289" t="s">
        <v>793</v>
      </c>
      <c r="B6" s="289"/>
      <c r="C6" s="289"/>
      <c r="D6" s="289"/>
      <c r="E6" s="289"/>
      <c r="F6" s="289"/>
      <c r="G6" s="289"/>
      <c r="H6" s="205"/>
    </row>
    <row r="7" spans="1:8">
      <c r="A7" s="2"/>
      <c r="B7" s="205"/>
      <c r="C7" s="205"/>
      <c r="D7" s="205"/>
      <c r="E7" s="205"/>
      <c r="F7" s="205"/>
      <c r="G7" s="205"/>
      <c r="H7" s="205"/>
    </row>
    <row r="8" spans="1:8">
      <c r="A8" s="18"/>
      <c r="B8" s="18" t="s">
        <v>50</v>
      </c>
      <c r="C8" s="18" t="s">
        <v>51</v>
      </c>
      <c r="E8" s="18" t="s">
        <v>86</v>
      </c>
      <c r="F8" s="18" t="s">
        <v>87</v>
      </c>
      <c r="G8" s="18" t="s">
        <v>88</v>
      </c>
    </row>
    <row r="9" spans="1:8">
      <c r="E9" s="205" t="s">
        <v>639</v>
      </c>
      <c r="G9" s="18"/>
    </row>
    <row r="10" spans="1:8">
      <c r="E10" s="18" t="s">
        <v>499</v>
      </c>
      <c r="F10" s="18" t="s">
        <v>116</v>
      </c>
      <c r="G10" s="18" t="s">
        <v>116</v>
      </c>
    </row>
    <row r="11" spans="1:8">
      <c r="E11" s="18" t="s">
        <v>728</v>
      </c>
      <c r="F11" s="18" t="s">
        <v>233</v>
      </c>
      <c r="G11" s="18" t="s">
        <v>135</v>
      </c>
      <c r="H11" s="18"/>
    </row>
    <row r="12" spans="1:8">
      <c r="C12" s="206" t="s">
        <v>640</v>
      </c>
      <c r="E12" s="35"/>
    </row>
    <row r="13" spans="1:8">
      <c r="A13" s="18"/>
      <c r="B13" s="18"/>
      <c r="E13" s="35"/>
      <c r="F13" s="230"/>
    </row>
    <row r="14" spans="1:8">
      <c r="A14" s="18"/>
      <c r="B14" s="18"/>
      <c r="E14" s="35"/>
      <c r="F14" s="230"/>
    </row>
    <row r="15" spans="1:8">
      <c r="A15" s="18"/>
      <c r="B15" s="18"/>
      <c r="C15" s="206" t="s">
        <v>641</v>
      </c>
      <c r="F15" s="230"/>
    </row>
    <row r="16" spans="1:8">
      <c r="A16" s="18">
        <v>1</v>
      </c>
      <c r="B16" s="18">
        <v>427080</v>
      </c>
      <c r="C16" s="219" t="s">
        <v>642</v>
      </c>
      <c r="E16" s="214">
        <v>350000000</v>
      </c>
      <c r="F16" s="226">
        <v>4.8000000000000001E-2</v>
      </c>
      <c r="G16" s="214">
        <v>16800000</v>
      </c>
    </row>
    <row r="17" spans="1:7">
      <c r="A17" s="18">
        <v>2</v>
      </c>
      <c r="B17" s="18">
        <v>427083</v>
      </c>
      <c r="C17" s="219" t="s">
        <v>643</v>
      </c>
      <c r="E17" s="214">
        <v>400000000</v>
      </c>
      <c r="F17" s="226">
        <v>4.3999999999999997E-2</v>
      </c>
      <c r="G17" s="214">
        <v>17600000</v>
      </c>
    </row>
    <row r="18" spans="1:7">
      <c r="A18" s="18">
        <v>3</v>
      </c>
      <c r="B18" s="18">
        <v>427085</v>
      </c>
      <c r="C18" s="219" t="s">
        <v>644</v>
      </c>
      <c r="E18" s="214">
        <v>450000000</v>
      </c>
      <c r="F18" s="226">
        <v>4.2500000000000003E-2</v>
      </c>
      <c r="G18" s="214">
        <v>19125000</v>
      </c>
    </row>
    <row r="19" spans="1:7">
      <c r="A19" s="18">
        <v>4</v>
      </c>
      <c r="B19" s="18">
        <v>427087</v>
      </c>
      <c r="C19" s="219" t="s">
        <v>645</v>
      </c>
      <c r="E19" s="214">
        <v>375000000</v>
      </c>
      <c r="F19" s="226">
        <v>3.1E-2</v>
      </c>
      <c r="G19" s="214">
        <v>11625000</v>
      </c>
    </row>
    <row r="20" spans="1:7">
      <c r="A20" s="18">
        <v>5</v>
      </c>
      <c r="B20" s="18">
        <v>427088</v>
      </c>
      <c r="C20" s="219" t="s">
        <v>646</v>
      </c>
      <c r="E20" s="214">
        <v>475000000</v>
      </c>
      <c r="F20" s="226">
        <v>3.95E-2</v>
      </c>
      <c r="G20" s="214">
        <v>18762500</v>
      </c>
    </row>
    <row r="21" spans="1:7">
      <c r="A21" s="18">
        <v>6</v>
      </c>
      <c r="B21" s="18">
        <v>427089</v>
      </c>
      <c r="C21" s="219" t="s">
        <v>647</v>
      </c>
      <c r="E21" s="214">
        <v>700000000</v>
      </c>
      <c r="F21" s="226">
        <v>3.6499999999999998E-2</v>
      </c>
      <c r="G21" s="214">
        <v>25550000</v>
      </c>
    </row>
    <row r="22" spans="1:7">
      <c r="A22" s="18">
        <v>7</v>
      </c>
      <c r="B22" s="18">
        <v>427090</v>
      </c>
      <c r="C22" s="219" t="s">
        <v>648</v>
      </c>
      <c r="E22" s="214">
        <v>600000000</v>
      </c>
      <c r="F22" s="226">
        <v>3.6499999999999998E-2</v>
      </c>
      <c r="G22" s="214">
        <v>21900000</v>
      </c>
    </row>
    <row r="23" spans="1:7">
      <c r="A23" s="18">
        <v>8</v>
      </c>
      <c r="B23" s="18">
        <v>427091</v>
      </c>
      <c r="C23" s="219" t="s">
        <v>729</v>
      </c>
      <c r="E23" s="214">
        <v>900000000</v>
      </c>
      <c r="F23" s="226">
        <v>4.2500000000000003E-2</v>
      </c>
      <c r="G23" s="214">
        <v>38250000</v>
      </c>
    </row>
    <row r="24" spans="1:7">
      <c r="A24" s="18">
        <v>9</v>
      </c>
      <c r="B24" s="18">
        <v>427092</v>
      </c>
      <c r="C24" s="219" t="s">
        <v>700</v>
      </c>
      <c r="E24" s="214">
        <v>600000000</v>
      </c>
      <c r="F24" s="226">
        <v>3.15E-2</v>
      </c>
      <c r="G24" s="214">
        <v>18900000</v>
      </c>
    </row>
    <row r="25" spans="1:7">
      <c r="A25" s="18">
        <v>10</v>
      </c>
      <c r="B25" s="18">
        <v>427093</v>
      </c>
      <c r="C25" s="219" t="s">
        <v>651</v>
      </c>
      <c r="E25" s="214">
        <v>250000000</v>
      </c>
      <c r="F25" s="226">
        <v>3.6499999999999998E-2</v>
      </c>
      <c r="G25" s="214">
        <v>9125000</v>
      </c>
    </row>
    <row r="26" spans="1:7">
      <c r="A26" s="18">
        <v>11</v>
      </c>
      <c r="B26" s="18">
        <v>427094</v>
      </c>
      <c r="C26" s="219" t="s">
        <v>701</v>
      </c>
      <c r="E26" s="214">
        <v>500000000</v>
      </c>
      <c r="F26" s="226">
        <v>2.7E-2</v>
      </c>
      <c r="G26" s="214">
        <v>13500000</v>
      </c>
    </row>
    <row r="27" spans="1:7">
      <c r="A27" s="18">
        <v>12</v>
      </c>
      <c r="B27" s="18">
        <v>427095</v>
      </c>
      <c r="C27" s="219" t="s">
        <v>653</v>
      </c>
      <c r="E27" s="214">
        <v>350000000</v>
      </c>
      <c r="F27" s="226">
        <v>5.3499999999999999E-2</v>
      </c>
      <c r="G27" s="214">
        <v>18725000</v>
      </c>
    </row>
    <row r="28" spans="1:7">
      <c r="A28" s="18">
        <v>13</v>
      </c>
      <c r="B28" s="18">
        <v>427096</v>
      </c>
      <c r="C28" s="219" t="s">
        <v>654</v>
      </c>
      <c r="E28" s="214">
        <v>1000000000</v>
      </c>
      <c r="F28" s="226">
        <v>5.8500000000000003E-2</v>
      </c>
      <c r="G28" s="214">
        <v>58500000</v>
      </c>
    </row>
    <row r="29" spans="1:7">
      <c r="A29" s="18">
        <f>A28+1</f>
        <v>14</v>
      </c>
      <c r="B29" s="18">
        <v>427097</v>
      </c>
      <c r="C29" s="219" t="s">
        <v>655</v>
      </c>
      <c r="E29" s="214">
        <v>600000000</v>
      </c>
      <c r="F29" s="226">
        <v>5.2999999999999999E-2</v>
      </c>
      <c r="G29" s="214">
        <v>31800000</v>
      </c>
    </row>
    <row r="30" spans="1:7" ht="18">
      <c r="A30" s="18">
        <f t="shared" ref="A30:A31" si="0">A29+1</f>
        <v>15</v>
      </c>
      <c r="B30" s="18" t="s">
        <v>656</v>
      </c>
      <c r="C30" s="219" t="s">
        <v>657</v>
      </c>
      <c r="E30" s="217">
        <v>61538461.538461536</v>
      </c>
      <c r="F30" s="226">
        <v>5.5E-2</v>
      </c>
      <c r="G30" s="217">
        <v>3361111.1100000003</v>
      </c>
    </row>
    <row r="31" spans="1:7">
      <c r="A31" s="18">
        <f t="shared" si="0"/>
        <v>16</v>
      </c>
      <c r="B31" s="18"/>
      <c r="C31" s="219" t="s">
        <v>658</v>
      </c>
      <c r="E31" s="35">
        <f>SUM(E16:E30)</f>
        <v>7611538461.5384617</v>
      </c>
      <c r="F31" s="230"/>
      <c r="G31" s="214">
        <f>SUM(G16:G30)</f>
        <v>323523611.11000001</v>
      </c>
    </row>
    <row r="32" spans="1:7">
      <c r="A32" s="18"/>
      <c r="B32" s="18"/>
      <c r="C32" s="219"/>
      <c r="E32" s="35"/>
      <c r="F32" s="230"/>
      <c r="G32" s="214"/>
    </row>
    <row r="33" spans="1:8">
      <c r="A33" s="18"/>
      <c r="B33" s="18"/>
      <c r="F33" s="230"/>
      <c r="G33" s="214"/>
    </row>
    <row r="34" spans="1:8">
      <c r="A34" s="18"/>
      <c r="B34" s="18"/>
      <c r="C34" s="206" t="s">
        <v>659</v>
      </c>
      <c r="F34" s="230"/>
    </row>
    <row r="35" spans="1:8">
      <c r="A35" s="18">
        <f>A31+1</f>
        <v>17</v>
      </c>
      <c r="B35" s="18">
        <v>427017</v>
      </c>
      <c r="C35" s="16" t="s">
        <v>660</v>
      </c>
      <c r="E35" s="214">
        <v>33400000</v>
      </c>
      <c r="F35" s="207" t="s">
        <v>661</v>
      </c>
      <c r="G35" s="214">
        <v>916697.32000000007</v>
      </c>
      <c r="H35" s="35"/>
    </row>
    <row r="36" spans="1:8">
      <c r="A36" s="18">
        <f t="shared" ref="A36:A39" si="1">A35+1</f>
        <v>18</v>
      </c>
      <c r="B36" s="18">
        <v>427019</v>
      </c>
      <c r="C36" s="16" t="s">
        <v>662</v>
      </c>
      <c r="D36" s="231"/>
      <c r="E36" s="214">
        <v>30000000</v>
      </c>
      <c r="F36" s="207" t="s">
        <v>661</v>
      </c>
      <c r="G36" s="214">
        <v>866983.55</v>
      </c>
      <c r="H36" s="35"/>
    </row>
    <row r="37" spans="1:8">
      <c r="A37" s="18">
        <f t="shared" si="1"/>
        <v>19</v>
      </c>
      <c r="B37" s="18">
        <v>427020</v>
      </c>
      <c r="C37" s="16" t="s">
        <v>663</v>
      </c>
      <c r="D37" s="232"/>
      <c r="E37" s="214">
        <v>150000000</v>
      </c>
      <c r="F37" s="207" t="s">
        <v>661</v>
      </c>
      <c r="G37" s="214">
        <v>4278904.1099999994</v>
      </c>
      <c r="H37" s="35"/>
    </row>
    <row r="38" spans="1:8">
      <c r="A38" s="18">
        <f t="shared" si="1"/>
        <v>20</v>
      </c>
      <c r="B38" s="18">
        <v>427076</v>
      </c>
      <c r="C38" s="16" t="s">
        <v>666</v>
      </c>
      <c r="E38" s="214">
        <v>45100000</v>
      </c>
      <c r="F38" s="207" t="s">
        <v>661</v>
      </c>
      <c r="G38" s="225">
        <v>1303365.29</v>
      </c>
      <c r="H38" s="35"/>
    </row>
    <row r="39" spans="1:8">
      <c r="A39" s="18">
        <f t="shared" si="1"/>
        <v>21</v>
      </c>
      <c r="B39" s="18"/>
      <c r="C39" s="16" t="s">
        <v>668</v>
      </c>
      <c r="E39" s="35">
        <f>SUM(E35:E38)</f>
        <v>258500000</v>
      </c>
      <c r="F39" s="230"/>
      <c r="G39" s="35">
        <f>SUM(G35:G38)</f>
        <v>7365950.2699999996</v>
      </c>
      <c r="H39" s="35"/>
    </row>
    <row r="40" spans="1:8">
      <c r="B40" s="18"/>
      <c r="E40" s="35"/>
      <c r="F40" s="230"/>
    </row>
    <row r="41" spans="1:8">
      <c r="B41" s="18"/>
      <c r="F41" s="230"/>
    </row>
    <row r="42" spans="1:8">
      <c r="B42" s="18"/>
      <c r="C42" s="206" t="s">
        <v>669</v>
      </c>
      <c r="F42" s="230"/>
    </row>
    <row r="43" spans="1:8">
      <c r="A43" s="18">
        <f>A39+1</f>
        <v>22</v>
      </c>
      <c r="B43" s="18">
        <v>427065</v>
      </c>
      <c r="C43" s="16" t="s">
        <v>674</v>
      </c>
      <c r="E43" s="214">
        <v>400000000</v>
      </c>
      <c r="F43" s="207">
        <v>6.7500000000000004E-2</v>
      </c>
      <c r="G43" s="214">
        <v>27000000</v>
      </c>
      <c r="H43" s="35"/>
    </row>
    <row r="44" spans="1:8">
      <c r="A44" s="18">
        <f>A43+1</f>
        <v>23</v>
      </c>
      <c r="B44" s="18">
        <v>427069</v>
      </c>
      <c r="C44" s="16" t="s">
        <v>675</v>
      </c>
      <c r="D44" s="231"/>
      <c r="E44" s="214">
        <v>300000000</v>
      </c>
      <c r="F44" s="207">
        <v>5.7500000000000002E-2</v>
      </c>
      <c r="G44" s="214">
        <v>17250000</v>
      </c>
      <c r="H44" s="35"/>
    </row>
    <row r="45" spans="1:8">
      <c r="A45" s="18">
        <f t="shared" ref="A45:A55" si="2">A44+1</f>
        <v>24</v>
      </c>
      <c r="B45" s="18">
        <v>427072</v>
      </c>
      <c r="C45" s="16" t="s">
        <v>676</v>
      </c>
      <c r="D45" s="231"/>
      <c r="E45" s="214">
        <v>350000000</v>
      </c>
      <c r="F45" s="207">
        <v>5.8000000000000003E-2</v>
      </c>
      <c r="G45" s="214">
        <v>20300000</v>
      </c>
      <c r="H45" s="35"/>
    </row>
    <row r="46" spans="1:8">
      <c r="A46" s="18">
        <f t="shared" si="2"/>
        <v>25</v>
      </c>
      <c r="B46" s="18" t="s">
        <v>730</v>
      </c>
      <c r="C46" s="16" t="s">
        <v>677</v>
      </c>
      <c r="D46" s="231"/>
      <c r="E46" s="214">
        <v>6142485.692307692</v>
      </c>
      <c r="F46" s="207">
        <v>7.7590000000000006E-2</v>
      </c>
      <c r="G46" s="214">
        <v>0</v>
      </c>
      <c r="H46" s="35"/>
    </row>
    <row r="47" spans="1:8">
      <c r="A47" s="18">
        <f t="shared" si="2"/>
        <v>26</v>
      </c>
      <c r="B47" s="18" t="s">
        <v>730</v>
      </c>
      <c r="C47" s="16" t="s">
        <v>678</v>
      </c>
      <c r="D47" s="231"/>
      <c r="E47" s="214">
        <v>17113584.692307692</v>
      </c>
      <c r="F47" s="207">
        <v>7.7270000000000005E-2</v>
      </c>
      <c r="G47" s="214">
        <v>0</v>
      </c>
      <c r="H47" s="35"/>
    </row>
    <row r="48" spans="1:8">
      <c r="A48" s="18">
        <f t="shared" si="2"/>
        <v>27</v>
      </c>
      <c r="B48" s="18" t="s">
        <v>730</v>
      </c>
      <c r="C48" s="16" t="s">
        <v>679</v>
      </c>
      <c r="D48" s="231"/>
      <c r="E48" s="214">
        <v>120535.61538461539</v>
      </c>
      <c r="F48" s="207">
        <v>4.2849999999999999E-2</v>
      </c>
      <c r="G48" s="214">
        <v>0</v>
      </c>
      <c r="H48" s="35"/>
    </row>
    <row r="49" spans="1:8">
      <c r="A49" s="18">
        <f t="shared" si="2"/>
        <v>28</v>
      </c>
      <c r="B49" s="18" t="s">
        <v>730</v>
      </c>
      <c r="C49" s="16" t="s">
        <v>680</v>
      </c>
      <c r="D49" s="231"/>
      <c r="E49" s="214">
        <v>2010951.6153846155</v>
      </c>
      <c r="F49" s="207">
        <v>3.2410000000000001E-2</v>
      </c>
      <c r="G49" s="214">
        <v>0</v>
      </c>
      <c r="H49" s="35"/>
    </row>
    <row r="50" spans="1:8">
      <c r="A50" s="18">
        <f t="shared" si="2"/>
        <v>29</v>
      </c>
      <c r="B50" s="18" t="s">
        <v>730</v>
      </c>
      <c r="C50" s="16" t="s">
        <v>681</v>
      </c>
      <c r="D50" s="231"/>
      <c r="E50" s="214">
        <v>1606734.1584615386</v>
      </c>
      <c r="F50" s="207">
        <v>0</v>
      </c>
      <c r="G50" s="214">
        <v>0</v>
      </c>
      <c r="H50" s="35"/>
    </row>
    <row r="51" spans="1:8">
      <c r="A51" s="18">
        <f t="shared" si="2"/>
        <v>30</v>
      </c>
      <c r="B51" s="18" t="s">
        <v>730</v>
      </c>
      <c r="C51" s="16" t="s">
        <v>702</v>
      </c>
      <c r="D51" s="231"/>
      <c r="E51" s="214">
        <v>5427893</v>
      </c>
      <c r="F51" s="207">
        <v>7.8399999999999997E-2</v>
      </c>
      <c r="G51" s="214">
        <v>0</v>
      </c>
      <c r="H51" s="35"/>
    </row>
    <row r="52" spans="1:8">
      <c r="A52" s="18">
        <f t="shared" si="2"/>
        <v>31</v>
      </c>
      <c r="B52" s="18" t="s">
        <v>730</v>
      </c>
      <c r="C52" s="16" t="s">
        <v>671</v>
      </c>
      <c r="D52" s="231"/>
      <c r="E52" s="214">
        <v>7959902.846153846</v>
      </c>
      <c r="F52" s="207">
        <v>7.8409999999999994E-2</v>
      </c>
      <c r="G52" s="214">
        <v>0</v>
      </c>
      <c r="H52" s="35"/>
    </row>
    <row r="53" spans="1:8">
      <c r="A53" s="18">
        <f t="shared" si="2"/>
        <v>32</v>
      </c>
      <c r="B53" s="18" t="s">
        <v>730</v>
      </c>
      <c r="C53" s="16" t="s">
        <v>673</v>
      </c>
      <c r="D53" s="231"/>
      <c r="E53" s="214">
        <v>22958979.769230768</v>
      </c>
      <c r="F53" s="233">
        <v>6.7500000000000004E-2</v>
      </c>
      <c r="G53" s="214">
        <v>0</v>
      </c>
      <c r="H53" s="35"/>
    </row>
    <row r="54" spans="1:8">
      <c r="A54" s="18">
        <f t="shared" si="2"/>
        <v>33</v>
      </c>
      <c r="B54" s="18" t="s">
        <v>730</v>
      </c>
      <c r="C54" s="16" t="s">
        <v>672</v>
      </c>
      <c r="D54" s="231"/>
      <c r="E54" s="214">
        <v>801137.84615384613</v>
      </c>
      <c r="F54" s="233">
        <v>7.8380000000000005E-2</v>
      </c>
      <c r="G54" s="225">
        <v>0</v>
      </c>
      <c r="H54" s="35"/>
    </row>
    <row r="55" spans="1:8">
      <c r="A55" s="18">
        <f t="shared" si="2"/>
        <v>34</v>
      </c>
      <c r="B55" s="18"/>
      <c r="C55" s="16" t="s">
        <v>682</v>
      </c>
      <c r="E55" s="35">
        <f>SUM(E43:E54)</f>
        <v>1114142205.2353845</v>
      </c>
      <c r="F55" s="234"/>
      <c r="G55" s="35">
        <f>SUM(G43:G54)</f>
        <v>64550000</v>
      </c>
      <c r="H55" s="35"/>
    </row>
    <row r="56" spans="1:8">
      <c r="A56" s="18"/>
      <c r="B56" s="18"/>
      <c r="E56" s="35"/>
      <c r="F56" s="235"/>
      <c r="G56" s="35"/>
    </row>
    <row r="57" spans="1:8">
      <c r="A57" s="18"/>
      <c r="B57" s="18"/>
      <c r="F57" s="235"/>
      <c r="G57" s="35"/>
    </row>
    <row r="58" spans="1:8">
      <c r="A58" s="18"/>
      <c r="B58" s="18"/>
      <c r="C58" s="206" t="s">
        <v>683</v>
      </c>
      <c r="F58" s="235"/>
      <c r="G58" s="35"/>
    </row>
    <row r="59" spans="1:8">
      <c r="A59" s="18">
        <f>A55+1</f>
        <v>35</v>
      </c>
      <c r="B59" s="18">
        <v>427042</v>
      </c>
      <c r="C59" s="16" t="s">
        <v>684</v>
      </c>
      <c r="E59" s="214">
        <v>980769.23076923075</v>
      </c>
      <c r="F59" s="207" t="s">
        <v>661</v>
      </c>
      <c r="G59" s="35">
        <v>0</v>
      </c>
    </row>
    <row r="60" spans="1:8">
      <c r="A60" s="18">
        <f>A59+1</f>
        <v>36</v>
      </c>
      <c r="B60" s="18"/>
      <c r="C60" s="16" t="s">
        <v>731</v>
      </c>
      <c r="E60" s="214">
        <f>SUM(E59:E59)</f>
        <v>980769.23076923075</v>
      </c>
      <c r="F60" s="230"/>
      <c r="G60" s="214">
        <f>SUM(G59:G59)</f>
        <v>0</v>
      </c>
    </row>
    <row r="61" spans="1:8">
      <c r="A61" s="18"/>
      <c r="B61" s="18"/>
      <c r="E61" s="214"/>
      <c r="F61" s="230"/>
      <c r="G61" s="214"/>
    </row>
    <row r="62" spans="1:8">
      <c r="A62" s="18"/>
      <c r="B62" s="18"/>
      <c r="F62" s="230"/>
    </row>
    <row r="63" spans="1:8">
      <c r="A63" s="18">
        <f>A60+1</f>
        <v>37</v>
      </c>
      <c r="B63" s="18"/>
      <c r="C63" s="16" t="s">
        <v>732</v>
      </c>
      <c r="E63" s="35">
        <f>E31+E39+E55+E60</f>
        <v>8985161436.0046158</v>
      </c>
      <c r="F63" s="236"/>
      <c r="G63" s="35">
        <f>G31+G39+G55+G60</f>
        <v>395439561.38</v>
      </c>
      <c r="H63" s="35"/>
    </row>
    <row r="64" spans="1:8">
      <c r="F64" s="35"/>
    </row>
    <row r="65" spans="2:3">
      <c r="B65" s="16" t="s">
        <v>852</v>
      </c>
    </row>
    <row r="66" spans="2:3">
      <c r="C66" s="17"/>
    </row>
    <row r="67" spans="2:3">
      <c r="B67" s="237"/>
    </row>
  </sheetData>
  <mergeCells count="6">
    <mergeCell ref="A6:G6"/>
    <mergeCell ref="A1:G1"/>
    <mergeCell ref="A2:G2"/>
    <mergeCell ref="A3:G3"/>
    <mergeCell ref="A4:G4"/>
    <mergeCell ref="A5:G5"/>
  </mergeCells>
  <pageMargins left="0.75" right="0.75" top="1" bottom="1" header="0.5" footer="0.5"/>
  <pageSetup scale="61" orientation="portrait" horizontalDpi="4294967293" r:id="rId1"/>
  <headerFooter alignWithMargins="0">
    <oddHeader>&amp;RGroen Direct Exhibit 1.1, Schedule 26
Page 8 of 13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H60"/>
  <sheetViews>
    <sheetView view="pageLayout" zoomScaleNormal="100" workbookViewId="0">
      <selection activeCell="A6" sqref="A6:D6"/>
    </sheetView>
  </sheetViews>
  <sheetFormatPr defaultColWidth="9.140625" defaultRowHeight="15.75"/>
  <cols>
    <col min="1" max="2" width="9.140625" style="16"/>
    <col min="3" max="3" width="35.7109375" style="16" customWidth="1"/>
    <col min="4" max="4" width="14.7109375" style="16" customWidth="1"/>
    <col min="5" max="16384" width="9.140625" style="16"/>
  </cols>
  <sheetData>
    <row r="1" spans="1:8">
      <c r="A1" s="287" t="s">
        <v>787</v>
      </c>
      <c r="B1" s="287"/>
      <c r="C1" s="287"/>
      <c r="D1" s="287"/>
      <c r="E1" s="219"/>
      <c r="F1" s="219"/>
      <c r="G1" s="219"/>
      <c r="H1" s="219"/>
    </row>
    <row r="2" spans="1:8">
      <c r="A2" s="287" t="s">
        <v>791</v>
      </c>
      <c r="B2" s="287"/>
      <c r="C2" s="287"/>
      <c r="D2" s="287"/>
      <c r="E2" s="275"/>
      <c r="F2" s="275"/>
      <c r="G2" s="275"/>
      <c r="H2" s="275"/>
    </row>
    <row r="3" spans="1:8">
      <c r="A3" s="287" t="s">
        <v>792</v>
      </c>
      <c r="B3" s="287"/>
      <c r="C3" s="287"/>
      <c r="D3" s="287"/>
      <c r="E3" s="275"/>
      <c r="F3" s="275"/>
      <c r="G3" s="275"/>
      <c r="H3" s="275"/>
    </row>
    <row r="4" spans="1:8">
      <c r="A4" s="287" t="s">
        <v>733</v>
      </c>
      <c r="B4" s="287"/>
      <c r="C4" s="287"/>
      <c r="D4" s="287"/>
      <c r="E4" s="219"/>
      <c r="F4" s="219"/>
      <c r="G4" s="219"/>
      <c r="H4" s="219"/>
    </row>
    <row r="5" spans="1:8">
      <c r="A5" s="306" t="str">
        <f>'Sch 25 - WACC'!A5</f>
        <v>FOR THE YEAR ENDING DECEMBER 31, 2025</v>
      </c>
      <c r="B5" s="306"/>
      <c r="C5" s="306"/>
      <c r="D5" s="306"/>
      <c r="E5" s="219"/>
      <c r="F5" s="219"/>
      <c r="G5" s="219"/>
      <c r="H5" s="219"/>
    </row>
    <row r="6" spans="1:8">
      <c r="A6" s="289" t="s">
        <v>793</v>
      </c>
      <c r="B6" s="289"/>
      <c r="C6" s="289"/>
      <c r="D6" s="289"/>
      <c r="E6" s="2"/>
      <c r="F6" s="2"/>
      <c r="G6" s="2"/>
    </row>
    <row r="8" spans="1:8">
      <c r="B8" s="18" t="s">
        <v>50</v>
      </c>
      <c r="C8" s="18" t="s">
        <v>51</v>
      </c>
      <c r="D8" s="18" t="s">
        <v>86</v>
      </c>
    </row>
    <row r="9" spans="1:8">
      <c r="C9" s="36"/>
      <c r="D9" s="36" t="s">
        <v>608</v>
      </c>
    </row>
    <row r="10" spans="1:8">
      <c r="D10" s="36" t="s">
        <v>734</v>
      </c>
    </row>
    <row r="11" spans="1:8">
      <c r="C11" s="224" t="s">
        <v>735</v>
      </c>
      <c r="D11" s="224" t="s">
        <v>736</v>
      </c>
    </row>
    <row r="13" spans="1:8">
      <c r="C13" s="206" t="s">
        <v>640</v>
      </c>
    </row>
    <row r="15" spans="1:8">
      <c r="D15" s="214"/>
    </row>
    <row r="16" spans="1:8">
      <c r="C16" s="206" t="s">
        <v>641</v>
      </c>
      <c r="D16" s="214"/>
    </row>
    <row r="17" spans="1:4">
      <c r="A17" s="18">
        <v>1</v>
      </c>
      <c r="B17" s="18">
        <v>428001</v>
      </c>
      <c r="C17" s="219" t="s">
        <v>700</v>
      </c>
      <c r="D17" s="214">
        <v>110950.82000000007</v>
      </c>
    </row>
    <row r="18" spans="1:4">
      <c r="A18" s="18">
        <v>2</v>
      </c>
      <c r="B18" s="229">
        <v>428003</v>
      </c>
      <c r="C18" s="219" t="s">
        <v>643</v>
      </c>
      <c r="D18" s="214">
        <v>78747.979999999981</v>
      </c>
    </row>
    <row r="19" spans="1:4">
      <c r="A19" s="18">
        <v>3</v>
      </c>
      <c r="B19" s="229">
        <v>428004</v>
      </c>
      <c r="C19" s="219" t="s">
        <v>644</v>
      </c>
      <c r="D19" s="214">
        <v>20330.989999999991</v>
      </c>
    </row>
    <row r="20" spans="1:4">
      <c r="A20" s="18">
        <v>4</v>
      </c>
      <c r="B20" s="229">
        <v>428005</v>
      </c>
      <c r="C20" s="219" t="s">
        <v>647</v>
      </c>
      <c r="D20" s="214">
        <v>200360.65999999992</v>
      </c>
    </row>
    <row r="21" spans="1:4">
      <c r="A21" s="18">
        <v>5</v>
      </c>
      <c r="B21" s="229">
        <v>428006</v>
      </c>
      <c r="C21" s="219" t="s">
        <v>646</v>
      </c>
      <c r="D21" s="214">
        <v>21959.010000000009</v>
      </c>
    </row>
    <row r="22" spans="1:4">
      <c r="A22" s="18">
        <v>6</v>
      </c>
      <c r="B22" s="229">
        <v>428007</v>
      </c>
      <c r="C22" s="219" t="s">
        <v>737</v>
      </c>
      <c r="D22" s="214">
        <v>11707.309999999998</v>
      </c>
    </row>
    <row r="23" spans="1:4">
      <c r="A23" s="18">
        <v>7</v>
      </c>
      <c r="B23" s="18">
        <v>428010</v>
      </c>
      <c r="C23" s="219" t="s">
        <v>642</v>
      </c>
      <c r="D23" s="214">
        <v>55102.410000000033</v>
      </c>
    </row>
    <row r="24" spans="1:4">
      <c r="A24" s="18">
        <v>8</v>
      </c>
      <c r="B24" s="18">
        <v>428011</v>
      </c>
      <c r="C24" s="219" t="s">
        <v>738</v>
      </c>
      <c r="D24" s="214">
        <v>685058.40999999968</v>
      </c>
    </row>
    <row r="25" spans="1:4">
      <c r="A25" s="18">
        <f>A24+1</f>
        <v>9</v>
      </c>
      <c r="B25" s="18">
        <v>428014</v>
      </c>
      <c r="C25" s="219" t="s">
        <v>739</v>
      </c>
      <c r="D25" s="214">
        <v>114485.48999999999</v>
      </c>
    </row>
    <row r="26" spans="1:4">
      <c r="A26" s="18">
        <f t="shared" ref="A26:A31" si="0">A25+1</f>
        <v>10</v>
      </c>
      <c r="B26" s="18">
        <v>428016</v>
      </c>
      <c r="C26" s="219" t="s">
        <v>648</v>
      </c>
      <c r="D26" s="214">
        <v>741438.5</v>
      </c>
    </row>
    <row r="27" spans="1:4">
      <c r="A27" s="18">
        <f t="shared" si="0"/>
        <v>11</v>
      </c>
      <c r="B27" s="18">
        <v>428018</v>
      </c>
      <c r="C27" s="219" t="s">
        <v>740</v>
      </c>
      <c r="D27" s="214">
        <v>45289.700000000004</v>
      </c>
    </row>
    <row r="28" spans="1:4">
      <c r="A28" s="18">
        <f t="shared" si="0"/>
        <v>12</v>
      </c>
      <c r="B28" s="18">
        <v>428021</v>
      </c>
      <c r="C28" s="219" t="s">
        <v>741</v>
      </c>
      <c r="D28" s="214">
        <v>37392.550000000003</v>
      </c>
    </row>
    <row r="29" spans="1:4">
      <c r="A29" s="18">
        <f t="shared" si="0"/>
        <v>13</v>
      </c>
      <c r="B29" s="18">
        <v>428037</v>
      </c>
      <c r="C29" s="219" t="s">
        <v>742</v>
      </c>
      <c r="D29" s="214">
        <v>82013.069999999992</v>
      </c>
    </row>
    <row r="30" spans="1:4">
      <c r="A30" s="18">
        <f t="shared" si="0"/>
        <v>14</v>
      </c>
      <c r="B30" s="219" t="s">
        <v>656</v>
      </c>
      <c r="C30" s="219" t="s">
        <v>743</v>
      </c>
      <c r="D30" s="225">
        <v>15126.23</v>
      </c>
    </row>
    <row r="31" spans="1:4">
      <c r="A31" s="18">
        <f t="shared" si="0"/>
        <v>15</v>
      </c>
      <c r="B31" s="18"/>
      <c r="C31" s="219" t="s">
        <v>658</v>
      </c>
      <c r="D31" s="214">
        <f>SUM(D17:D30)</f>
        <v>2219963.1299999994</v>
      </c>
    </row>
    <row r="32" spans="1:4">
      <c r="A32" s="18"/>
      <c r="B32" s="18"/>
      <c r="C32" s="219"/>
      <c r="D32" s="214"/>
    </row>
    <row r="33" spans="1:4">
      <c r="A33" s="18"/>
      <c r="D33" s="214"/>
    </row>
    <row r="34" spans="1:4">
      <c r="A34" s="18"/>
      <c r="C34" s="206" t="s">
        <v>659</v>
      </c>
      <c r="D34" s="214"/>
    </row>
    <row r="35" spans="1:4">
      <c r="B35" s="18"/>
      <c r="D35" s="214"/>
    </row>
    <row r="36" spans="1:4">
      <c r="B36" s="18"/>
      <c r="D36" s="214"/>
    </row>
    <row r="37" spans="1:4">
      <c r="B37" s="18"/>
      <c r="C37" s="206" t="s">
        <v>669</v>
      </c>
      <c r="D37" s="214"/>
    </row>
    <row r="38" spans="1:4">
      <c r="A38" s="18">
        <f>A31+1</f>
        <v>16</v>
      </c>
      <c r="B38" s="18">
        <v>428022</v>
      </c>
      <c r="C38" s="16" t="s">
        <v>676</v>
      </c>
      <c r="D38" s="214">
        <v>18633.879999999946</v>
      </c>
    </row>
    <row r="39" spans="1:4">
      <c r="A39" s="18">
        <f>A38+1</f>
        <v>17</v>
      </c>
      <c r="B39" s="18">
        <v>428039</v>
      </c>
      <c r="C39" s="16" t="s">
        <v>674</v>
      </c>
      <c r="D39" s="214">
        <v>168288.43000000017</v>
      </c>
    </row>
    <row r="40" spans="1:4">
      <c r="A40" s="18">
        <f t="shared" ref="A40:A50" si="1">A39+1</f>
        <v>18</v>
      </c>
      <c r="B40" s="18">
        <v>428049</v>
      </c>
      <c r="C40" s="16" t="s">
        <v>675</v>
      </c>
      <c r="D40" s="214">
        <v>8600.0100000000093</v>
      </c>
    </row>
    <row r="41" spans="1:4">
      <c r="A41" s="18">
        <f t="shared" si="1"/>
        <v>19</v>
      </c>
      <c r="B41" s="18">
        <v>428050</v>
      </c>
      <c r="C41" s="16" t="s">
        <v>702</v>
      </c>
      <c r="D41" s="214">
        <v>229373.40000000002</v>
      </c>
    </row>
    <row r="42" spans="1:4">
      <c r="A42" s="18">
        <f t="shared" si="1"/>
        <v>20</v>
      </c>
      <c r="B42" s="18">
        <v>428051</v>
      </c>
      <c r="C42" s="16" t="s">
        <v>671</v>
      </c>
      <c r="D42" s="214">
        <v>347571.43000000005</v>
      </c>
    </row>
    <row r="43" spans="1:4">
      <c r="A43" s="18">
        <f t="shared" si="1"/>
        <v>21</v>
      </c>
      <c r="B43" s="18" t="s">
        <v>744</v>
      </c>
      <c r="C43" s="16" t="s">
        <v>672</v>
      </c>
      <c r="D43" s="214">
        <v>34522.83</v>
      </c>
    </row>
    <row r="44" spans="1:4">
      <c r="A44" s="18">
        <f t="shared" si="1"/>
        <v>22</v>
      </c>
      <c r="B44" s="18" t="s">
        <v>745</v>
      </c>
      <c r="C44" s="16" t="s">
        <v>673</v>
      </c>
      <c r="D44" s="214">
        <v>964150.48</v>
      </c>
    </row>
    <row r="45" spans="1:4">
      <c r="A45" s="18">
        <f t="shared" si="1"/>
        <v>23</v>
      </c>
      <c r="B45" s="18">
        <v>428075</v>
      </c>
      <c r="C45" s="16" t="s">
        <v>677</v>
      </c>
      <c r="D45" s="214">
        <v>308798.38</v>
      </c>
    </row>
    <row r="46" spans="1:4">
      <c r="A46" s="18">
        <f t="shared" si="1"/>
        <v>24</v>
      </c>
      <c r="B46" s="18">
        <v>428076</v>
      </c>
      <c r="C46" s="16" t="s">
        <v>746</v>
      </c>
      <c r="D46" s="214">
        <v>764491.02</v>
      </c>
    </row>
    <row r="47" spans="1:4">
      <c r="A47" s="18">
        <f t="shared" si="1"/>
        <v>25</v>
      </c>
      <c r="B47" s="18">
        <v>428077</v>
      </c>
      <c r="C47" s="16" t="s">
        <v>679</v>
      </c>
      <c r="D47" s="214">
        <v>5523.8400000000011</v>
      </c>
    </row>
    <row r="48" spans="1:4">
      <c r="A48" s="18">
        <f t="shared" si="1"/>
        <v>26</v>
      </c>
      <c r="B48" s="18">
        <v>428084</v>
      </c>
      <c r="C48" s="16" t="s">
        <v>680</v>
      </c>
      <c r="D48" s="214">
        <v>70423.349999999991</v>
      </c>
    </row>
    <row r="49" spans="1:4">
      <c r="A49" s="18">
        <f t="shared" si="1"/>
        <v>27</v>
      </c>
      <c r="B49" s="18">
        <v>428086</v>
      </c>
      <c r="C49" s="16" t="s">
        <v>681</v>
      </c>
      <c r="D49" s="225">
        <v>43780.41</v>
      </c>
    </row>
    <row r="50" spans="1:4">
      <c r="A50" s="18">
        <f t="shared" si="1"/>
        <v>28</v>
      </c>
      <c r="B50" s="18"/>
      <c r="C50" s="16" t="s">
        <v>682</v>
      </c>
      <c r="D50" s="214">
        <f>SUM(D38:D49)</f>
        <v>2964157.46</v>
      </c>
    </row>
    <row r="51" spans="1:4">
      <c r="A51" s="18"/>
      <c r="B51" s="18"/>
      <c r="D51" s="214"/>
    </row>
    <row r="52" spans="1:4">
      <c r="A52" s="18"/>
      <c r="B52" s="18"/>
      <c r="D52" s="214"/>
    </row>
    <row r="53" spans="1:4">
      <c r="A53" s="18"/>
      <c r="B53" s="18"/>
      <c r="C53" s="206" t="s">
        <v>747</v>
      </c>
      <c r="D53" s="214"/>
    </row>
    <row r="54" spans="1:4">
      <c r="A54" s="18">
        <v>29</v>
      </c>
      <c r="B54" s="18"/>
      <c r="D54" s="214"/>
    </row>
    <row r="55" spans="1:4">
      <c r="A55" s="18"/>
      <c r="B55" s="18"/>
      <c r="D55" s="214"/>
    </row>
    <row r="56" spans="1:4">
      <c r="A56" s="18"/>
      <c r="B56" s="18"/>
      <c r="D56" s="214"/>
    </row>
    <row r="57" spans="1:4">
      <c r="A57" s="18">
        <v>30</v>
      </c>
      <c r="B57" s="18"/>
      <c r="C57" s="16" t="s">
        <v>696</v>
      </c>
      <c r="D57" s="214">
        <f>D31+D50+D54</f>
        <v>5184120.59</v>
      </c>
    </row>
    <row r="58" spans="1:4">
      <c r="A58" s="18"/>
      <c r="B58" s="18"/>
      <c r="D58" s="214"/>
    </row>
    <row r="59" spans="1:4">
      <c r="A59" s="18"/>
    </row>
    <row r="60" spans="1:4">
      <c r="B60" s="219" t="s">
        <v>748</v>
      </c>
    </row>
  </sheetData>
  <mergeCells count="6">
    <mergeCell ref="A6:D6"/>
    <mergeCell ref="A1:D1"/>
    <mergeCell ref="A2:D2"/>
    <mergeCell ref="A3:D3"/>
    <mergeCell ref="A4:D4"/>
    <mergeCell ref="A5:D5"/>
  </mergeCells>
  <pageMargins left="0.75" right="0.75" top="1" bottom="1" header="0.5" footer="0.5"/>
  <pageSetup scale="68" orientation="portrait" horizontalDpi="4294967293" r:id="rId1"/>
  <headerFooter alignWithMargins="0">
    <oddHeader>&amp;RGroen Direct Exhibit 1.1, Schedule 26
Page 9 of 13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H60"/>
  <sheetViews>
    <sheetView view="pageLayout" zoomScaleNormal="100" workbookViewId="0">
      <selection activeCell="A6" sqref="A6:D6"/>
    </sheetView>
  </sheetViews>
  <sheetFormatPr defaultColWidth="9.140625" defaultRowHeight="15.75"/>
  <cols>
    <col min="1" max="2" width="9.140625" style="16"/>
    <col min="3" max="3" width="35.7109375" style="16" customWidth="1"/>
    <col min="4" max="4" width="14.7109375" style="16" customWidth="1"/>
    <col min="5" max="16384" width="9.140625" style="16"/>
  </cols>
  <sheetData>
    <row r="1" spans="1:8">
      <c r="A1" s="287" t="s">
        <v>787</v>
      </c>
      <c r="B1" s="287"/>
      <c r="C1" s="287"/>
      <c r="D1" s="287"/>
    </row>
    <row r="2" spans="1:8">
      <c r="A2" s="287" t="s">
        <v>791</v>
      </c>
      <c r="B2" s="287"/>
      <c r="C2" s="287"/>
      <c r="D2" s="287"/>
      <c r="E2" s="205"/>
      <c r="F2" s="205"/>
      <c r="G2" s="205"/>
      <c r="H2" s="205"/>
    </row>
    <row r="3" spans="1:8">
      <c r="A3" s="287" t="s">
        <v>792</v>
      </c>
      <c r="B3" s="287"/>
      <c r="C3" s="287"/>
      <c r="D3" s="287"/>
      <c r="E3" s="205"/>
      <c r="F3" s="205"/>
      <c r="G3" s="205"/>
      <c r="H3" s="205"/>
    </row>
    <row r="4" spans="1:8">
      <c r="A4" s="287" t="s">
        <v>749</v>
      </c>
      <c r="B4" s="287"/>
      <c r="C4" s="287"/>
      <c r="D4" s="287"/>
      <c r="E4" s="205"/>
      <c r="F4" s="205"/>
      <c r="G4" s="205"/>
      <c r="H4" s="205"/>
    </row>
    <row r="5" spans="1:8">
      <c r="A5" s="306" t="str">
        <f>'Sch 25 - WACC'!A5</f>
        <v>FOR THE YEAR ENDING DECEMBER 31, 2025</v>
      </c>
      <c r="B5" s="306"/>
      <c r="C5" s="306"/>
      <c r="D5" s="306"/>
      <c r="E5" s="205"/>
      <c r="F5" s="205"/>
      <c r="G5" s="205"/>
      <c r="H5" s="205"/>
    </row>
    <row r="6" spans="1:8">
      <c r="A6" s="289" t="s">
        <v>793</v>
      </c>
      <c r="B6" s="289"/>
      <c r="C6" s="289"/>
      <c r="D6" s="289"/>
    </row>
    <row r="8" spans="1:8">
      <c r="B8" s="18" t="s">
        <v>50</v>
      </c>
      <c r="C8" s="18" t="s">
        <v>51</v>
      </c>
      <c r="D8" s="18" t="s">
        <v>86</v>
      </c>
    </row>
    <row r="9" spans="1:8">
      <c r="C9" s="36"/>
      <c r="D9" s="36" t="s">
        <v>608</v>
      </c>
    </row>
    <row r="10" spans="1:8">
      <c r="D10" s="36" t="s">
        <v>734</v>
      </c>
    </row>
    <row r="11" spans="1:8">
      <c r="C11" s="224" t="s">
        <v>735</v>
      </c>
      <c r="D11" s="224" t="s">
        <v>135</v>
      </c>
    </row>
    <row r="12" spans="1:8">
      <c r="C12" s="224"/>
      <c r="D12" s="224"/>
    </row>
    <row r="13" spans="1:8">
      <c r="C13" s="206" t="s">
        <v>640</v>
      </c>
    </row>
    <row r="15" spans="1:8">
      <c r="C15" s="206"/>
    </row>
    <row r="16" spans="1:8">
      <c r="C16" s="206" t="s">
        <v>641</v>
      </c>
    </row>
    <row r="17" spans="1:4">
      <c r="A17" s="18">
        <v>1</v>
      </c>
      <c r="B17" s="18">
        <v>428030</v>
      </c>
      <c r="C17" s="219" t="s">
        <v>648</v>
      </c>
      <c r="D17" s="214">
        <v>330260.79999999981</v>
      </c>
    </row>
    <row r="18" spans="1:4">
      <c r="A18" s="18">
        <v>2</v>
      </c>
      <c r="B18" s="229">
        <v>428065</v>
      </c>
      <c r="C18" s="219" t="s">
        <v>653</v>
      </c>
      <c r="D18" s="214">
        <v>215994.45</v>
      </c>
    </row>
    <row r="19" spans="1:4">
      <c r="A19" s="18">
        <v>3</v>
      </c>
      <c r="B19" s="229">
        <v>428066</v>
      </c>
      <c r="C19" s="219" t="s">
        <v>654</v>
      </c>
      <c r="D19" s="214">
        <v>306755.08999999997</v>
      </c>
    </row>
    <row r="20" spans="1:4">
      <c r="A20" s="18">
        <v>4</v>
      </c>
      <c r="B20" s="229">
        <v>428067</v>
      </c>
      <c r="C20" s="219" t="s">
        <v>655</v>
      </c>
      <c r="D20" s="214">
        <v>179325.61000000013</v>
      </c>
    </row>
    <row r="21" spans="1:4">
      <c r="A21" s="18">
        <v>5</v>
      </c>
      <c r="B21" s="229">
        <v>428073</v>
      </c>
      <c r="C21" s="219" t="s">
        <v>643</v>
      </c>
      <c r="D21" s="214">
        <v>132155.14000000013</v>
      </c>
    </row>
    <row r="22" spans="1:4">
      <c r="A22" s="18">
        <v>6</v>
      </c>
      <c r="B22" s="229">
        <v>428083</v>
      </c>
      <c r="C22" s="219" t="s">
        <v>646</v>
      </c>
      <c r="D22" s="214">
        <v>158853.40000000014</v>
      </c>
    </row>
    <row r="23" spans="1:4">
      <c r="A23" s="18">
        <v>7</v>
      </c>
      <c r="B23" s="229">
        <v>428085</v>
      </c>
      <c r="C23" s="219" t="s">
        <v>644</v>
      </c>
      <c r="D23" s="214">
        <v>162795.95999999996</v>
      </c>
    </row>
    <row r="24" spans="1:4">
      <c r="A24" s="18">
        <v>8</v>
      </c>
      <c r="B24" s="229">
        <v>428087</v>
      </c>
      <c r="C24" s="219" t="s">
        <v>737</v>
      </c>
      <c r="D24" s="214">
        <v>302938.41999999993</v>
      </c>
    </row>
    <row r="25" spans="1:4">
      <c r="A25" s="18">
        <v>9</v>
      </c>
      <c r="B25" s="18">
        <v>428090</v>
      </c>
      <c r="C25" s="219" t="s">
        <v>642</v>
      </c>
      <c r="D25" s="214">
        <v>111607.01000000001</v>
      </c>
    </row>
    <row r="26" spans="1:4">
      <c r="A26" s="18">
        <v>10</v>
      </c>
      <c r="B26" s="18">
        <v>428091</v>
      </c>
      <c r="C26" s="219" t="s">
        <v>729</v>
      </c>
      <c r="D26" s="214">
        <v>262563.81000000006</v>
      </c>
    </row>
    <row r="27" spans="1:4">
      <c r="A27" s="18">
        <v>11</v>
      </c>
      <c r="B27" s="18">
        <v>428092</v>
      </c>
      <c r="C27" s="219" t="s">
        <v>700</v>
      </c>
      <c r="D27" s="214">
        <v>175935.4800000001</v>
      </c>
    </row>
    <row r="28" spans="1:4">
      <c r="A28" s="18">
        <v>12</v>
      </c>
      <c r="B28" s="18">
        <v>428093</v>
      </c>
      <c r="C28" s="219" t="s">
        <v>691</v>
      </c>
      <c r="D28" s="214">
        <v>149821.72000000009</v>
      </c>
    </row>
    <row r="29" spans="1:4">
      <c r="A29" s="18">
        <v>13</v>
      </c>
      <c r="B29" s="18">
        <v>428094</v>
      </c>
      <c r="C29" s="219" t="s">
        <v>701</v>
      </c>
      <c r="D29" s="214">
        <v>150315.15000000002</v>
      </c>
    </row>
    <row r="30" spans="1:4">
      <c r="A30" s="18">
        <v>14</v>
      </c>
      <c r="B30" s="18">
        <v>428098</v>
      </c>
      <c r="C30" s="219" t="s">
        <v>647</v>
      </c>
      <c r="D30" s="214">
        <v>214182.79000000004</v>
      </c>
    </row>
    <row r="31" spans="1:4">
      <c r="A31" s="18">
        <v>15</v>
      </c>
      <c r="B31" s="219" t="s">
        <v>656</v>
      </c>
      <c r="C31" s="219" t="s">
        <v>657</v>
      </c>
      <c r="D31" s="214">
        <v>18994.68</v>
      </c>
    </row>
    <row r="32" spans="1:4">
      <c r="A32" s="18">
        <v>16</v>
      </c>
      <c r="C32" s="16" t="s">
        <v>658</v>
      </c>
      <c r="D32" s="214">
        <f>SUM(D17:D31)</f>
        <v>2872499.5100000002</v>
      </c>
    </row>
    <row r="33" spans="1:4">
      <c r="A33" s="18"/>
      <c r="D33" s="214"/>
    </row>
    <row r="34" spans="1:4">
      <c r="A34" s="18"/>
      <c r="D34" s="214"/>
    </row>
    <row r="35" spans="1:4">
      <c r="A35" s="18"/>
      <c r="C35" s="206" t="s">
        <v>659</v>
      </c>
      <c r="D35" s="214"/>
    </row>
    <row r="36" spans="1:4">
      <c r="A36" s="18">
        <f>A32+1</f>
        <v>17</v>
      </c>
      <c r="B36" s="18">
        <v>428017</v>
      </c>
      <c r="C36" s="16" t="s">
        <v>660</v>
      </c>
      <c r="D36" s="214">
        <v>22036.880000000005</v>
      </c>
    </row>
    <row r="37" spans="1:4">
      <c r="A37" s="18">
        <f>A36+1</f>
        <v>18</v>
      </c>
      <c r="B37" s="18">
        <v>428019</v>
      </c>
      <c r="C37" s="16" t="s">
        <v>662</v>
      </c>
      <c r="D37" s="214">
        <v>16956.399999999994</v>
      </c>
    </row>
    <row r="38" spans="1:4">
      <c r="A38" s="18">
        <f t="shared" ref="A38:A41" si="0">A37+1</f>
        <v>19</v>
      </c>
      <c r="B38" s="18">
        <v>428020</v>
      </c>
      <c r="C38" s="16" t="s">
        <v>663</v>
      </c>
      <c r="D38" s="214">
        <v>34437.070000000007</v>
      </c>
    </row>
    <row r="39" spans="1:4">
      <c r="A39" s="18">
        <f t="shared" si="0"/>
        <v>20</v>
      </c>
      <c r="B39" s="18">
        <v>428026</v>
      </c>
      <c r="C39" s="16" t="s">
        <v>750</v>
      </c>
      <c r="D39" s="214">
        <v>12590.059999999998</v>
      </c>
    </row>
    <row r="40" spans="1:4">
      <c r="A40" s="18">
        <f t="shared" si="0"/>
        <v>21</v>
      </c>
      <c r="B40" s="18">
        <v>428082</v>
      </c>
      <c r="C40" s="16" t="s">
        <v>751</v>
      </c>
      <c r="D40" s="225">
        <v>35.96</v>
      </c>
    </row>
    <row r="41" spans="1:4">
      <c r="A41" s="18">
        <f t="shared" si="0"/>
        <v>22</v>
      </c>
      <c r="B41" s="18"/>
      <c r="C41" s="16" t="s">
        <v>668</v>
      </c>
      <c r="D41" s="214">
        <f>SUM(D36:D40)</f>
        <v>86056.37000000001</v>
      </c>
    </row>
    <row r="42" spans="1:4">
      <c r="B42" s="18"/>
      <c r="D42" s="214"/>
    </row>
    <row r="43" spans="1:4">
      <c r="B43" s="18"/>
      <c r="D43" s="214"/>
    </row>
    <row r="44" spans="1:4">
      <c r="B44" s="18"/>
      <c r="C44" s="206" t="s">
        <v>669</v>
      </c>
      <c r="D44" s="214"/>
    </row>
    <row r="45" spans="1:4">
      <c r="A45" s="18">
        <f>A41+1</f>
        <v>23</v>
      </c>
      <c r="B45" s="18">
        <v>428012</v>
      </c>
      <c r="C45" s="16" t="s">
        <v>752</v>
      </c>
      <c r="D45" s="214">
        <v>110392.4600000002</v>
      </c>
    </row>
    <row r="46" spans="1:4">
      <c r="A46" s="18">
        <f>A45+1</f>
        <v>24</v>
      </c>
      <c r="B46" s="18">
        <v>428095</v>
      </c>
      <c r="C46" s="16" t="s">
        <v>753</v>
      </c>
      <c r="D46" s="214">
        <v>128208.06999999983</v>
      </c>
    </row>
    <row r="47" spans="1:4">
      <c r="A47" s="18">
        <f t="shared" ref="A47:A48" si="1">A46+1</f>
        <v>25</v>
      </c>
      <c r="B47" s="18">
        <v>428099</v>
      </c>
      <c r="C47" s="16" t="s">
        <v>754</v>
      </c>
      <c r="D47" s="225">
        <v>109609.10999999987</v>
      </c>
    </row>
    <row r="48" spans="1:4">
      <c r="A48" s="18">
        <f t="shared" si="1"/>
        <v>26</v>
      </c>
      <c r="B48" s="18"/>
      <c r="C48" s="16" t="s">
        <v>682</v>
      </c>
      <c r="D48" s="214">
        <f>SUM(D45:D47)</f>
        <v>348209.6399999999</v>
      </c>
    </row>
    <row r="49" spans="1:4">
      <c r="A49" s="18"/>
      <c r="B49" s="18"/>
      <c r="D49" s="214"/>
    </row>
    <row r="50" spans="1:4">
      <c r="A50" s="18"/>
      <c r="B50" s="18"/>
      <c r="D50" s="214"/>
    </row>
    <row r="51" spans="1:4">
      <c r="A51" s="18"/>
      <c r="B51" s="18"/>
      <c r="C51" s="206" t="s">
        <v>747</v>
      </c>
      <c r="D51" s="214"/>
    </row>
    <row r="52" spans="1:4">
      <c r="A52" s="18">
        <v>27</v>
      </c>
      <c r="B52" s="18"/>
      <c r="D52" s="214"/>
    </row>
    <row r="53" spans="1:4">
      <c r="A53" s="18"/>
      <c r="B53" s="18"/>
      <c r="D53" s="214"/>
    </row>
    <row r="54" spans="1:4">
      <c r="A54" s="18"/>
      <c r="B54" s="18"/>
      <c r="D54" s="214"/>
    </row>
    <row r="55" spans="1:4">
      <c r="A55" s="18"/>
      <c r="B55" s="18"/>
      <c r="D55" s="214"/>
    </row>
    <row r="56" spans="1:4">
      <c r="A56" s="18">
        <v>28</v>
      </c>
      <c r="B56" s="18"/>
      <c r="C56" s="16" t="s">
        <v>696</v>
      </c>
      <c r="D56" s="214">
        <f>D32+D41+D48+D52</f>
        <v>3306765.5200000005</v>
      </c>
    </row>
    <row r="57" spans="1:4">
      <c r="A57" s="18"/>
      <c r="B57" s="18"/>
      <c r="D57" s="214"/>
    </row>
    <row r="59" spans="1:4">
      <c r="B59" s="219" t="s">
        <v>748</v>
      </c>
    </row>
    <row r="60" spans="1:4">
      <c r="B60" s="44"/>
    </row>
  </sheetData>
  <mergeCells count="6">
    <mergeCell ref="A6:D6"/>
    <mergeCell ref="A1:D1"/>
    <mergeCell ref="A2:D2"/>
    <mergeCell ref="A3:D3"/>
    <mergeCell ref="A4:D4"/>
    <mergeCell ref="A5:D5"/>
  </mergeCells>
  <conditionalFormatting sqref="C37:C38">
    <cfRule type="duplicateValues" dxfId="0" priority="1"/>
  </conditionalFormatting>
  <pageMargins left="0.75" right="0.75" top="1" bottom="1" header="0.5" footer="0.5"/>
  <pageSetup scale="71" orientation="portrait" r:id="rId1"/>
  <headerFooter alignWithMargins="0">
    <oddHeader>&amp;RGroen Direct Exhibit 1.1, Schedule 26
Page 10 of 13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I43"/>
  <sheetViews>
    <sheetView view="pageLayout" topLeftCell="A10" zoomScaleNormal="100" workbookViewId="0">
      <selection activeCell="A6" sqref="A6:D6"/>
    </sheetView>
  </sheetViews>
  <sheetFormatPr defaultColWidth="9.140625" defaultRowHeight="15.75"/>
  <cols>
    <col min="1" max="2" width="9.140625" style="16"/>
    <col min="3" max="3" width="40" style="16" bestFit="1" customWidth="1"/>
    <col min="4" max="4" width="15.7109375" style="16" customWidth="1"/>
    <col min="5" max="5" width="9.140625" style="16"/>
    <col min="6" max="6" width="12.85546875" style="16" bestFit="1" customWidth="1"/>
    <col min="7" max="7" width="10.28515625" style="16" bestFit="1" customWidth="1"/>
    <col min="8" max="8" width="9.140625" style="16"/>
    <col min="9" max="9" width="10.28515625" style="16" bestFit="1" customWidth="1"/>
    <col min="10" max="16384" width="9.140625" style="16"/>
  </cols>
  <sheetData>
    <row r="1" spans="1:8">
      <c r="A1" s="287" t="s">
        <v>787</v>
      </c>
      <c r="B1" s="287"/>
      <c r="C1" s="287"/>
      <c r="D1" s="287"/>
      <c r="E1" s="219"/>
      <c r="F1" s="219"/>
      <c r="G1" s="219"/>
      <c r="H1" s="219"/>
    </row>
    <row r="2" spans="1:8">
      <c r="A2" s="287" t="s">
        <v>791</v>
      </c>
      <c r="B2" s="287"/>
      <c r="C2" s="287"/>
      <c r="D2" s="287"/>
      <c r="E2" s="275"/>
      <c r="F2" s="275"/>
      <c r="G2" s="275"/>
      <c r="H2" s="275"/>
    </row>
    <row r="3" spans="1:8">
      <c r="A3" s="287" t="s">
        <v>792</v>
      </c>
      <c r="B3" s="287"/>
      <c r="C3" s="287"/>
      <c r="D3" s="287"/>
      <c r="E3" s="275"/>
      <c r="F3" s="275"/>
      <c r="G3" s="275"/>
      <c r="H3" s="275"/>
    </row>
    <row r="4" spans="1:8">
      <c r="A4" s="287" t="s">
        <v>755</v>
      </c>
      <c r="B4" s="287"/>
      <c r="C4" s="287"/>
      <c r="D4" s="287"/>
      <c r="E4" s="219"/>
      <c r="F4" s="219"/>
      <c r="G4" s="219"/>
      <c r="H4" s="219"/>
    </row>
    <row r="5" spans="1:8">
      <c r="A5" s="306" t="str">
        <f>'Sch 25 - WACC'!A5</f>
        <v>FOR THE YEAR ENDING DECEMBER 31, 2025</v>
      </c>
      <c r="B5" s="306"/>
      <c r="C5" s="306"/>
      <c r="D5" s="306"/>
      <c r="E5" s="219"/>
      <c r="F5" s="219"/>
      <c r="G5" s="219"/>
      <c r="H5" s="219"/>
    </row>
    <row r="6" spans="1:8">
      <c r="A6" s="289" t="s">
        <v>793</v>
      </c>
      <c r="B6" s="289"/>
      <c r="C6" s="289"/>
      <c r="D6" s="289"/>
    </row>
    <row r="7" spans="1:8">
      <c r="A7" s="2"/>
    </row>
    <row r="8" spans="1:8">
      <c r="B8" s="18" t="s">
        <v>50</v>
      </c>
      <c r="C8" s="18" t="s">
        <v>51</v>
      </c>
      <c r="D8" s="18" t="s">
        <v>86</v>
      </c>
    </row>
    <row r="9" spans="1:8">
      <c r="C9" s="36"/>
      <c r="D9" s="36" t="s">
        <v>608</v>
      </c>
    </row>
    <row r="10" spans="1:8">
      <c r="D10" s="36" t="s">
        <v>756</v>
      </c>
    </row>
    <row r="11" spans="1:8">
      <c r="C11" s="224" t="s">
        <v>735</v>
      </c>
      <c r="D11" s="224" t="s">
        <v>757</v>
      </c>
    </row>
    <row r="13" spans="1:8">
      <c r="C13" s="206" t="s">
        <v>640</v>
      </c>
    </row>
    <row r="15" spans="1:8">
      <c r="D15" s="214"/>
    </row>
    <row r="16" spans="1:8">
      <c r="D16" s="214"/>
    </row>
    <row r="17" spans="1:9">
      <c r="C17" s="206" t="s">
        <v>641</v>
      </c>
      <c r="D17" s="214"/>
    </row>
    <row r="18" spans="1:9">
      <c r="A18" s="18">
        <v>1</v>
      </c>
      <c r="B18" s="18">
        <v>428156</v>
      </c>
      <c r="C18" s="16" t="s">
        <v>758</v>
      </c>
      <c r="D18" s="214">
        <v>77027.09</v>
      </c>
    </row>
    <row r="19" spans="1:9">
      <c r="A19" s="18">
        <v>2</v>
      </c>
      <c r="B19" s="18">
        <v>428187</v>
      </c>
      <c r="C19" s="16" t="s">
        <v>737</v>
      </c>
      <c r="D19" s="214">
        <v>215599.62000000005</v>
      </c>
    </row>
    <row r="20" spans="1:9">
      <c r="A20" s="18">
        <v>3</v>
      </c>
      <c r="B20" s="18">
        <v>428188</v>
      </c>
      <c r="C20" s="16" t="s">
        <v>646</v>
      </c>
      <c r="D20" s="214">
        <v>91287.96</v>
      </c>
    </row>
    <row r="21" spans="1:9">
      <c r="A21" s="18">
        <v>4</v>
      </c>
      <c r="B21" s="18">
        <v>428190</v>
      </c>
      <c r="C21" s="16" t="s">
        <v>759</v>
      </c>
      <c r="D21" s="214">
        <v>2916.1200000000008</v>
      </c>
    </row>
    <row r="22" spans="1:9">
      <c r="A22" s="18">
        <v>5</v>
      </c>
      <c r="B22" s="18">
        <v>428191</v>
      </c>
      <c r="C22" s="16" t="s">
        <v>760</v>
      </c>
      <c r="D22" s="225">
        <v>1461.9599999999998</v>
      </c>
    </row>
    <row r="23" spans="1:9">
      <c r="A23" s="18">
        <v>6</v>
      </c>
      <c r="B23" s="18"/>
      <c r="C23" s="16" t="s">
        <v>761</v>
      </c>
      <c r="D23" s="214">
        <f>SUM(D18:D22)</f>
        <v>388292.75000000012</v>
      </c>
    </row>
    <row r="24" spans="1:9">
      <c r="A24" s="18"/>
      <c r="B24" s="18"/>
      <c r="D24" s="214"/>
    </row>
    <row r="25" spans="1:9">
      <c r="D25" s="214"/>
    </row>
    <row r="26" spans="1:9">
      <c r="A26" s="18"/>
      <c r="B26" s="18"/>
      <c r="C26" s="206" t="s">
        <v>669</v>
      </c>
      <c r="D26" s="214"/>
    </row>
    <row r="27" spans="1:9">
      <c r="A27" s="18">
        <f>A23+1</f>
        <v>7</v>
      </c>
      <c r="B27" s="18">
        <v>428165</v>
      </c>
      <c r="C27" s="219" t="s">
        <v>753</v>
      </c>
      <c r="D27" s="214">
        <v>105884.39999999998</v>
      </c>
    </row>
    <row r="28" spans="1:9">
      <c r="A28" s="18">
        <f>A27+1</f>
        <v>8</v>
      </c>
      <c r="B28" s="18">
        <v>428183</v>
      </c>
      <c r="C28" s="219" t="s">
        <v>643</v>
      </c>
      <c r="D28" s="225">
        <v>98997.78</v>
      </c>
      <c r="I28" s="214"/>
    </row>
    <row r="29" spans="1:9">
      <c r="A29" s="18">
        <f>A28+1</f>
        <v>9</v>
      </c>
      <c r="B29" s="18"/>
      <c r="C29" s="219" t="s">
        <v>762</v>
      </c>
      <c r="D29" s="214">
        <f>SUM(D27:D28)</f>
        <v>204882.18</v>
      </c>
    </row>
    <row r="30" spans="1:9">
      <c r="A30" s="18"/>
      <c r="B30" s="18"/>
      <c r="C30" s="219"/>
      <c r="D30" s="214"/>
    </row>
    <row r="31" spans="1:9">
      <c r="A31" s="18"/>
      <c r="B31" s="18"/>
      <c r="D31" s="214"/>
    </row>
    <row r="32" spans="1:9">
      <c r="A32" s="18"/>
      <c r="B32" s="18"/>
      <c r="C32" s="206" t="s">
        <v>747</v>
      </c>
      <c r="D32" s="214"/>
    </row>
    <row r="33" spans="1:7">
      <c r="A33" s="18"/>
      <c r="B33" s="18"/>
      <c r="C33" s="219"/>
      <c r="D33" s="214"/>
    </row>
    <row r="34" spans="1:7">
      <c r="A34" s="18"/>
      <c r="B34" s="18"/>
      <c r="C34" s="206" t="s">
        <v>763</v>
      </c>
      <c r="D34" s="214"/>
    </row>
    <row r="35" spans="1:7">
      <c r="A35" s="18">
        <f>A29+1</f>
        <v>10</v>
      </c>
      <c r="B35" s="18"/>
      <c r="D35" s="39"/>
    </row>
    <row r="36" spans="1:7">
      <c r="A36" s="18"/>
      <c r="B36" s="18"/>
      <c r="D36" s="214"/>
    </row>
    <row r="37" spans="1:7">
      <c r="A37" s="18"/>
      <c r="B37" s="18"/>
      <c r="D37" s="214"/>
    </row>
    <row r="38" spans="1:7">
      <c r="A38" s="18"/>
      <c r="B38" s="18"/>
      <c r="D38" s="214"/>
    </row>
    <row r="39" spans="1:7">
      <c r="A39" s="18">
        <f>A35+1</f>
        <v>11</v>
      </c>
      <c r="B39" s="18"/>
      <c r="C39" s="16" t="s">
        <v>696</v>
      </c>
      <c r="D39" s="214">
        <f>D23+D29+D35</f>
        <v>593174.93000000017</v>
      </c>
      <c r="F39" s="218"/>
      <c r="G39" s="214"/>
    </row>
    <row r="40" spans="1:7">
      <c r="A40" s="18"/>
      <c r="B40" s="18"/>
      <c r="D40" s="214"/>
      <c r="F40" s="218"/>
      <c r="G40" s="214"/>
    </row>
    <row r="41" spans="1:7">
      <c r="D41" s="214"/>
      <c r="F41" s="218"/>
    </row>
    <row r="42" spans="1:7">
      <c r="B42" s="219" t="s">
        <v>764</v>
      </c>
      <c r="D42" s="214"/>
      <c r="F42" s="218"/>
    </row>
    <row r="43" spans="1:7">
      <c r="B43" s="219"/>
    </row>
  </sheetData>
  <mergeCells count="6">
    <mergeCell ref="A6:D6"/>
    <mergeCell ref="A1:D1"/>
    <mergeCell ref="A2:D2"/>
    <mergeCell ref="A3:D3"/>
    <mergeCell ref="A4:D4"/>
    <mergeCell ref="A5:D5"/>
  </mergeCells>
  <pageMargins left="0.75" right="0.75" top="1" bottom="1" header="0.5" footer="0.5"/>
  <pageSetup orientation="portrait" horizontalDpi="4294967293" r:id="rId1"/>
  <headerFooter alignWithMargins="0">
    <oddHeader>&amp;RGroen Direct Exhibit 1.1, Schedule 26
Page 11 of 13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H23"/>
  <sheetViews>
    <sheetView view="pageLayout" zoomScaleNormal="100" workbookViewId="0">
      <selection activeCell="F16" sqref="F16"/>
    </sheetView>
  </sheetViews>
  <sheetFormatPr defaultColWidth="9.140625" defaultRowHeight="15.75"/>
  <cols>
    <col min="1" max="1" width="9.140625" style="16"/>
    <col min="2" max="2" width="11.85546875" style="16" customWidth="1"/>
    <col min="3" max="3" width="27.42578125" style="16" bestFit="1" customWidth="1"/>
    <col min="4" max="4" width="21.28515625" style="16" customWidth="1"/>
    <col min="5" max="5" width="5.28515625" style="16" customWidth="1"/>
    <col min="6" max="6" width="6.42578125" style="16" customWidth="1"/>
    <col min="7" max="7" width="7.28515625" style="16" customWidth="1"/>
    <col min="8" max="8" width="5.85546875" style="16" customWidth="1"/>
    <col min="9" max="16384" width="9.140625" style="16"/>
  </cols>
  <sheetData>
    <row r="1" spans="1:8">
      <c r="A1" s="287" t="s">
        <v>787</v>
      </c>
      <c r="B1" s="287"/>
      <c r="C1" s="287"/>
      <c r="D1" s="287"/>
      <c r="E1" s="219"/>
      <c r="F1" s="219"/>
      <c r="G1" s="219"/>
      <c r="H1" s="219"/>
    </row>
    <row r="2" spans="1:8">
      <c r="A2" s="287" t="s">
        <v>791</v>
      </c>
      <c r="B2" s="287"/>
      <c r="C2" s="287"/>
      <c r="D2" s="287"/>
      <c r="E2" s="275"/>
      <c r="F2" s="275"/>
      <c r="G2" s="275"/>
      <c r="H2" s="275"/>
    </row>
    <row r="3" spans="1:8">
      <c r="A3" s="287" t="s">
        <v>792</v>
      </c>
      <c r="B3" s="287"/>
      <c r="C3" s="287"/>
      <c r="D3" s="287"/>
      <c r="E3" s="275"/>
      <c r="F3" s="275"/>
      <c r="G3" s="275"/>
      <c r="H3" s="275"/>
    </row>
    <row r="4" spans="1:8">
      <c r="A4" s="287" t="s">
        <v>765</v>
      </c>
      <c r="B4" s="287"/>
      <c r="C4" s="287"/>
      <c r="D4" s="287"/>
      <c r="E4" s="219"/>
      <c r="F4" s="219"/>
      <c r="G4" s="219"/>
      <c r="H4" s="219"/>
    </row>
    <row r="5" spans="1:8">
      <c r="A5" s="306" t="str">
        <f>'Sch 25 - WACC'!A5</f>
        <v>FOR THE YEAR ENDING DECEMBER 31, 2025</v>
      </c>
      <c r="B5" s="306"/>
      <c r="C5" s="306"/>
      <c r="D5" s="306"/>
      <c r="E5" s="219"/>
      <c r="F5" s="219"/>
      <c r="G5" s="219"/>
      <c r="H5" s="219"/>
    </row>
    <row r="6" spans="1:8">
      <c r="A6" s="289" t="s">
        <v>793</v>
      </c>
      <c r="B6" s="289"/>
      <c r="C6" s="289"/>
      <c r="D6" s="289"/>
    </row>
    <row r="7" spans="1:8">
      <c r="A7" s="3"/>
      <c r="B7" s="3"/>
      <c r="C7" s="3"/>
      <c r="D7" s="3"/>
    </row>
    <row r="8" spans="1:8">
      <c r="B8" s="18" t="s">
        <v>50</v>
      </c>
      <c r="C8" s="18" t="s">
        <v>51</v>
      </c>
      <c r="D8" s="18" t="s">
        <v>86</v>
      </c>
    </row>
    <row r="9" spans="1:8">
      <c r="C9" s="36"/>
      <c r="D9" s="36" t="s">
        <v>766</v>
      </c>
    </row>
    <row r="10" spans="1:8">
      <c r="D10" s="36" t="s">
        <v>767</v>
      </c>
    </row>
    <row r="11" spans="1:8">
      <c r="B11" s="224" t="s">
        <v>768</v>
      </c>
      <c r="C11" s="224" t="s">
        <v>735</v>
      </c>
      <c r="D11" s="224" t="s">
        <v>769</v>
      </c>
    </row>
    <row r="13" spans="1:8">
      <c r="C13" s="206" t="s">
        <v>640</v>
      </c>
    </row>
    <row r="15" spans="1:8">
      <c r="A15" s="18">
        <v>1</v>
      </c>
      <c r="B15" s="18">
        <v>429003</v>
      </c>
      <c r="C15" s="16" t="s">
        <v>770</v>
      </c>
      <c r="D15" s="214">
        <v>-2710263.12</v>
      </c>
    </row>
    <row r="16" spans="1:8">
      <c r="A16" s="18">
        <v>2</v>
      </c>
      <c r="B16" s="18"/>
      <c r="C16" s="16" t="s">
        <v>77</v>
      </c>
      <c r="D16" s="214">
        <f>SUM(D15:D15)</f>
        <v>-2710263.12</v>
      </c>
      <c r="E16" s="226"/>
    </row>
    <row r="17" spans="2:5">
      <c r="C17" s="227"/>
      <c r="D17" s="227"/>
      <c r="E17" s="226"/>
    </row>
    <row r="18" spans="2:5">
      <c r="C18" s="227"/>
      <c r="D18" s="227"/>
      <c r="E18" s="226"/>
    </row>
    <row r="19" spans="2:5">
      <c r="C19" s="227"/>
      <c r="D19" s="227"/>
      <c r="E19" s="226"/>
    </row>
    <row r="20" spans="2:5">
      <c r="B20" s="16" t="s">
        <v>748</v>
      </c>
    </row>
    <row r="23" spans="2:5">
      <c r="D23" s="228"/>
    </row>
  </sheetData>
  <mergeCells count="6">
    <mergeCell ref="A6:D6"/>
    <mergeCell ref="A1:D1"/>
    <mergeCell ref="A2:D2"/>
    <mergeCell ref="A3:D3"/>
    <mergeCell ref="A4:D4"/>
    <mergeCell ref="A5:D5"/>
  </mergeCells>
  <pageMargins left="0.7" right="0.7" top="0.75" bottom="0.75" header="0.3" footer="0.3"/>
  <pageSetup orientation="portrait" r:id="rId1"/>
  <headerFooter>
    <oddHeader>&amp;RGroen Direct Exhibit 1.1, Schedule 26
Page 12 of 13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H57"/>
  <sheetViews>
    <sheetView view="pageLayout" zoomScaleNormal="85" workbookViewId="0">
      <selection activeCell="D22" sqref="D22"/>
    </sheetView>
  </sheetViews>
  <sheetFormatPr defaultColWidth="9.140625" defaultRowHeight="15.75"/>
  <cols>
    <col min="1" max="2" width="9.140625" style="16"/>
    <col min="3" max="3" width="32.5703125" style="16" bestFit="1" customWidth="1"/>
    <col min="4" max="4" width="19.28515625" style="16" customWidth="1"/>
    <col min="5" max="5" width="27.42578125" style="16" bestFit="1" customWidth="1"/>
    <col min="6" max="16384" width="9.140625" style="16"/>
  </cols>
  <sheetData>
    <row r="1" spans="1:8">
      <c r="A1" s="287" t="s">
        <v>787</v>
      </c>
      <c r="B1" s="287"/>
      <c r="C1" s="287"/>
      <c r="D1" s="287"/>
      <c r="E1" s="287"/>
      <c r="F1" s="219"/>
      <c r="G1" s="219"/>
      <c r="H1" s="219"/>
    </row>
    <row r="2" spans="1:8">
      <c r="A2" s="287" t="s">
        <v>791</v>
      </c>
      <c r="B2" s="287"/>
      <c r="C2" s="287"/>
      <c r="D2" s="287"/>
      <c r="E2" s="287"/>
      <c r="F2" s="275"/>
      <c r="G2" s="275"/>
      <c r="H2" s="275"/>
    </row>
    <row r="3" spans="1:8">
      <c r="A3" s="287" t="s">
        <v>792</v>
      </c>
      <c r="B3" s="287"/>
      <c r="C3" s="287"/>
      <c r="D3" s="287"/>
      <c r="E3" s="287"/>
      <c r="F3" s="275"/>
      <c r="G3" s="275"/>
      <c r="H3" s="275"/>
    </row>
    <row r="4" spans="1:8">
      <c r="A4" s="287" t="s">
        <v>771</v>
      </c>
      <c r="B4" s="287"/>
      <c r="C4" s="287"/>
      <c r="D4" s="287"/>
      <c r="E4" s="287"/>
      <c r="F4" s="219"/>
      <c r="G4" s="219"/>
      <c r="H4" s="219"/>
    </row>
    <row r="5" spans="1:8">
      <c r="A5" s="306" t="str">
        <f>'Sch 25 - WACC'!A5</f>
        <v>FOR THE YEAR ENDING DECEMBER 31, 2025</v>
      </c>
      <c r="B5" s="306"/>
      <c r="C5" s="306"/>
      <c r="D5" s="306"/>
      <c r="E5" s="306"/>
      <c r="F5" s="219"/>
      <c r="G5" s="219"/>
      <c r="H5" s="219"/>
    </row>
    <row r="6" spans="1:8">
      <c r="A6" s="289" t="s">
        <v>793</v>
      </c>
      <c r="B6" s="289"/>
      <c r="C6" s="289"/>
      <c r="D6" s="289"/>
      <c r="E6" s="289"/>
    </row>
    <row r="7" spans="1:8">
      <c r="A7" s="2"/>
    </row>
    <row r="8" spans="1:8">
      <c r="C8" s="18" t="s">
        <v>50</v>
      </c>
      <c r="D8" s="18" t="s">
        <v>51</v>
      </c>
      <c r="E8" s="18"/>
    </row>
    <row r="9" spans="1:8">
      <c r="C9" s="36"/>
      <c r="D9" s="36" t="s">
        <v>608</v>
      </c>
    </row>
    <row r="10" spans="1:8">
      <c r="D10" s="36" t="s">
        <v>772</v>
      </c>
    </row>
    <row r="11" spans="1:8">
      <c r="C11" s="224" t="s">
        <v>735</v>
      </c>
      <c r="D11" s="224" t="s">
        <v>757</v>
      </c>
    </row>
    <row r="13" spans="1:8">
      <c r="C13" s="206"/>
    </row>
    <row r="14" spans="1:8">
      <c r="A14" s="18">
        <v>1</v>
      </c>
      <c r="B14" s="18"/>
      <c r="C14" s="16" t="s">
        <v>695</v>
      </c>
      <c r="D14" s="214">
        <v>-41647</v>
      </c>
      <c r="E14" s="16" t="s">
        <v>773</v>
      </c>
    </row>
    <row r="15" spans="1:8">
      <c r="A15" s="18">
        <v>2</v>
      </c>
      <c r="B15" s="18"/>
      <c r="C15" s="16" t="s">
        <v>695</v>
      </c>
      <c r="D15" s="214">
        <v>-4043</v>
      </c>
      <c r="E15" s="16" t="s">
        <v>773</v>
      </c>
    </row>
    <row r="16" spans="1:8">
      <c r="A16" s="18">
        <v>3</v>
      </c>
      <c r="B16" s="18"/>
      <c r="C16" s="17" t="s">
        <v>695</v>
      </c>
      <c r="D16" s="225">
        <v>-179</v>
      </c>
      <c r="E16" s="16" t="s">
        <v>773</v>
      </c>
    </row>
    <row r="17" spans="1:4" ht="18">
      <c r="A17" s="18"/>
      <c r="B17" s="18"/>
      <c r="D17" s="217"/>
    </row>
    <row r="18" spans="1:4" ht="18">
      <c r="A18" s="18"/>
      <c r="B18" s="18"/>
      <c r="D18" s="217"/>
    </row>
    <row r="19" spans="1:4">
      <c r="A19" s="18">
        <v>4</v>
      </c>
      <c r="B19" s="18"/>
      <c r="C19" s="16" t="s">
        <v>696</v>
      </c>
      <c r="D19" s="214">
        <f>SUM(D14:D16)</f>
        <v>-45869</v>
      </c>
    </row>
    <row r="20" spans="1:4">
      <c r="D20" s="214"/>
    </row>
    <row r="21" spans="1:4">
      <c r="C21" s="16" t="s">
        <v>748</v>
      </c>
    </row>
    <row r="22" spans="1:4">
      <c r="B22" s="219"/>
      <c r="C22" s="206"/>
      <c r="D22" s="214"/>
    </row>
    <row r="23" spans="1:4">
      <c r="A23" s="18"/>
      <c r="B23" s="219"/>
      <c r="D23" s="214"/>
    </row>
    <row r="24" spans="1:4">
      <c r="A24" s="18"/>
      <c r="B24" s="219"/>
      <c r="D24" s="214"/>
    </row>
    <row r="25" spans="1:4">
      <c r="A25" s="18"/>
      <c r="B25" s="219"/>
      <c r="D25" s="214"/>
    </row>
    <row r="26" spans="1:4">
      <c r="A26" s="18"/>
      <c r="B26" s="219"/>
      <c r="D26" s="214"/>
    </row>
    <row r="27" spans="1:4">
      <c r="A27" s="18"/>
      <c r="B27" s="18"/>
      <c r="D27" s="214"/>
    </row>
    <row r="28" spans="1:4">
      <c r="A28" s="18"/>
      <c r="B28" s="18"/>
      <c r="D28" s="214"/>
    </row>
    <row r="29" spans="1:4">
      <c r="A29" s="18"/>
      <c r="B29" s="18"/>
      <c r="D29" s="214"/>
    </row>
    <row r="30" spans="1:4">
      <c r="A30" s="18"/>
      <c r="B30" s="18"/>
      <c r="D30" s="214"/>
    </row>
    <row r="31" spans="1:4">
      <c r="A31" s="18"/>
      <c r="B31" s="18"/>
      <c r="D31" s="214"/>
    </row>
    <row r="32" spans="1:4">
      <c r="A32" s="18"/>
      <c r="B32" s="18"/>
      <c r="D32" s="214"/>
    </row>
    <row r="33" spans="1:4">
      <c r="A33" s="18"/>
      <c r="B33" s="18"/>
      <c r="D33" s="214"/>
    </row>
    <row r="34" spans="1:4">
      <c r="A34" s="18"/>
      <c r="B34" s="18"/>
      <c r="D34" s="214"/>
    </row>
    <row r="35" spans="1:4">
      <c r="A35" s="18"/>
      <c r="B35" s="18"/>
      <c r="D35" s="214"/>
    </row>
    <row r="36" spans="1:4">
      <c r="A36" s="18"/>
      <c r="B36" s="18"/>
      <c r="D36" s="214"/>
    </row>
    <row r="37" spans="1:4">
      <c r="A37" s="18"/>
      <c r="B37" s="18"/>
      <c r="D37" s="214"/>
    </row>
    <row r="38" spans="1:4">
      <c r="A38" s="18"/>
      <c r="B38" s="18"/>
      <c r="D38" s="214"/>
    </row>
    <row r="39" spans="1:4" ht="18">
      <c r="A39" s="18"/>
      <c r="B39" s="18"/>
      <c r="D39" s="217"/>
    </row>
    <row r="40" spans="1:4">
      <c r="A40" s="18"/>
      <c r="B40" s="18"/>
      <c r="D40" s="214"/>
    </row>
    <row r="41" spans="1:4">
      <c r="A41" s="18"/>
      <c r="B41" s="18"/>
      <c r="D41" s="214"/>
    </row>
    <row r="42" spans="1:4">
      <c r="D42" s="214"/>
    </row>
    <row r="43" spans="1:4">
      <c r="C43" s="206"/>
      <c r="D43" s="214"/>
    </row>
    <row r="44" spans="1:4">
      <c r="A44" s="18"/>
      <c r="B44" s="18"/>
      <c r="D44" s="214"/>
    </row>
    <row r="45" spans="1:4">
      <c r="A45" s="18"/>
      <c r="B45" s="18"/>
      <c r="D45" s="214"/>
    </row>
    <row r="46" spans="1:4">
      <c r="A46" s="18"/>
      <c r="B46" s="18"/>
      <c r="D46" s="214"/>
    </row>
    <row r="47" spans="1:4">
      <c r="A47" s="18"/>
      <c r="B47" s="18"/>
      <c r="D47" s="214"/>
    </row>
    <row r="48" spans="1:4">
      <c r="A48" s="18"/>
      <c r="B48" s="18"/>
      <c r="D48" s="214"/>
    </row>
    <row r="49" spans="1:4" ht="18">
      <c r="A49" s="18"/>
      <c r="B49" s="18"/>
      <c r="D49" s="217"/>
    </row>
    <row r="50" spans="1:4">
      <c r="A50" s="18"/>
      <c r="B50" s="18"/>
      <c r="D50" s="214"/>
    </row>
    <row r="51" spans="1:4">
      <c r="A51" s="18"/>
      <c r="B51" s="18"/>
      <c r="D51" s="214"/>
    </row>
    <row r="52" spans="1:4">
      <c r="A52" s="18"/>
      <c r="B52" s="18"/>
      <c r="D52" s="214"/>
    </row>
    <row r="53" spans="1:4">
      <c r="A53" s="18"/>
      <c r="B53" s="18"/>
      <c r="D53" s="214"/>
    </row>
    <row r="54" spans="1:4">
      <c r="A54" s="18"/>
      <c r="B54" s="18"/>
      <c r="D54" s="214"/>
    </row>
    <row r="55" spans="1:4">
      <c r="A55" s="18"/>
      <c r="B55" s="18"/>
      <c r="D55" s="214"/>
    </row>
    <row r="56" spans="1:4">
      <c r="A56" s="18"/>
      <c r="B56" s="18"/>
      <c r="D56" s="214"/>
    </row>
    <row r="57" spans="1:4">
      <c r="A57" s="18"/>
      <c r="B57" s="18"/>
      <c r="D57" s="214"/>
    </row>
  </sheetData>
  <mergeCells count="6">
    <mergeCell ref="A6:E6"/>
    <mergeCell ref="A1:E1"/>
    <mergeCell ref="A2:E2"/>
    <mergeCell ref="A3:E3"/>
    <mergeCell ref="A4:E4"/>
    <mergeCell ref="A5:E5"/>
  </mergeCells>
  <pageMargins left="0.75" right="0.75" top="1" bottom="1" header="0.5" footer="0.5"/>
  <pageSetup scale="91" orientation="portrait" r:id="rId1"/>
  <headerFooter alignWithMargins="0">
    <oddHeader>&amp;RGroen Direct Exhibit 1.1, Schedule 26
Page 13 of 13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41"/>
  <sheetViews>
    <sheetView view="pageLayout" zoomScaleNormal="100" workbookViewId="0">
      <selection activeCell="A4" sqref="A4:AG4"/>
    </sheetView>
  </sheetViews>
  <sheetFormatPr defaultColWidth="9.140625" defaultRowHeight="15.75"/>
  <cols>
    <col min="1" max="1" width="3.85546875" style="16" customWidth="1"/>
    <col min="2" max="2" width="0.85546875" style="16" customWidth="1"/>
    <col min="3" max="3" width="33.42578125" style="16" customWidth="1"/>
    <col min="4" max="4" width="1" style="16" customWidth="1"/>
    <col min="5" max="5" width="11" style="16" bestFit="1" customWidth="1"/>
    <col min="6" max="6" width="0.85546875" style="16" customWidth="1"/>
    <col min="7" max="7" width="9.140625" style="16"/>
    <col min="8" max="8" width="0.85546875" style="16" customWidth="1"/>
    <col min="9" max="9" width="10.85546875" style="16" bestFit="1" customWidth="1"/>
    <col min="10" max="10" width="0.85546875" style="16" customWidth="1"/>
    <col min="11" max="11" width="13.7109375" style="16" bestFit="1" customWidth="1"/>
    <col min="12" max="12" width="0.85546875" style="16" customWidth="1"/>
    <col min="13" max="13" width="10.5703125" style="16" bestFit="1" customWidth="1"/>
    <col min="14" max="14" width="0.85546875" style="16" customWidth="1"/>
    <col min="15" max="15" width="12.5703125" style="16" bestFit="1" customWidth="1"/>
    <col min="16" max="16" width="0.85546875" style="16" customWidth="1"/>
    <col min="17" max="17" width="11.42578125" style="16" customWidth="1"/>
    <col min="18" max="18" width="0.85546875" style="16" customWidth="1"/>
    <col min="19" max="19" width="14" style="16" bestFit="1" customWidth="1"/>
    <col min="20" max="20" width="0.85546875" style="16" customWidth="1"/>
    <col min="21" max="21" width="10.7109375" style="16" customWidth="1"/>
    <col min="22" max="22" width="0.85546875" style="16" customWidth="1"/>
    <col min="23" max="23" width="9.140625" style="16"/>
    <col min="24" max="24" width="0.85546875" style="16" customWidth="1"/>
    <col min="25" max="25" width="9.140625" style="16"/>
    <col min="26" max="26" width="0.85546875" style="16" customWidth="1"/>
    <col min="27" max="27" width="11" style="16" customWidth="1"/>
    <col min="28" max="28" width="0.85546875" style="16" customWidth="1"/>
    <col min="29" max="29" width="11" style="16" customWidth="1"/>
    <col min="30" max="30" width="0.85546875" style="16" customWidth="1"/>
    <col min="31" max="31" width="12.7109375" style="16" customWidth="1"/>
    <col min="32" max="32" width="0.85546875" style="16" customWidth="1"/>
    <col min="33" max="33" width="11" style="16" bestFit="1" customWidth="1"/>
    <col min="34" max="16384" width="9.140625" style="16"/>
  </cols>
  <sheetData>
    <row r="1" spans="1:33">
      <c r="A1" s="287" t="s">
        <v>787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U1" s="287"/>
      <c r="V1" s="287"/>
      <c r="W1" s="287"/>
      <c r="X1" s="287"/>
      <c r="Y1" s="287"/>
      <c r="Z1" s="287"/>
      <c r="AA1" s="287"/>
      <c r="AB1" s="287"/>
      <c r="AC1" s="287"/>
      <c r="AD1" s="287"/>
      <c r="AE1" s="287"/>
      <c r="AF1" s="287"/>
      <c r="AG1" s="287"/>
    </row>
    <row r="2" spans="1:33">
      <c r="A2" s="287" t="s">
        <v>791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U2" s="287"/>
      <c r="V2" s="287"/>
      <c r="W2" s="287"/>
      <c r="X2" s="287"/>
      <c r="Y2" s="287"/>
      <c r="Z2" s="287"/>
      <c r="AA2" s="287"/>
      <c r="AB2" s="287"/>
      <c r="AC2" s="287"/>
      <c r="AD2" s="287"/>
      <c r="AE2" s="287"/>
      <c r="AF2" s="287"/>
      <c r="AG2" s="287"/>
    </row>
    <row r="3" spans="1:33">
      <c r="A3" s="287" t="s">
        <v>792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  <c r="P3" s="287"/>
      <c r="Q3" s="287"/>
      <c r="R3" s="287"/>
      <c r="S3" s="287"/>
      <c r="T3" s="287"/>
      <c r="U3" s="287"/>
      <c r="V3" s="287"/>
      <c r="W3" s="287"/>
      <c r="X3" s="287"/>
      <c r="Y3" s="287"/>
      <c r="Z3" s="287"/>
      <c r="AA3" s="287"/>
      <c r="AB3" s="287"/>
      <c r="AC3" s="287"/>
      <c r="AD3" s="287"/>
      <c r="AE3" s="287"/>
      <c r="AF3" s="287"/>
      <c r="AG3" s="287"/>
    </row>
    <row r="4" spans="1:33">
      <c r="A4" s="287" t="s">
        <v>112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  <c r="R4" s="287"/>
      <c r="S4" s="287"/>
      <c r="T4" s="287"/>
      <c r="U4" s="287"/>
      <c r="V4" s="287"/>
      <c r="W4" s="287"/>
      <c r="X4" s="287"/>
      <c r="Y4" s="287"/>
      <c r="Z4" s="287"/>
      <c r="AA4" s="287"/>
      <c r="AB4" s="287"/>
      <c r="AC4" s="287"/>
      <c r="AD4" s="287"/>
      <c r="AE4" s="287"/>
      <c r="AF4" s="287"/>
      <c r="AG4" s="287"/>
    </row>
    <row r="5" spans="1:33">
      <c r="A5" s="287" t="s">
        <v>113</v>
      </c>
      <c r="B5" s="287"/>
      <c r="C5" s="287"/>
      <c r="D5" s="287"/>
      <c r="E5" s="287"/>
      <c r="F5" s="287"/>
      <c r="G5" s="287"/>
      <c r="H5" s="287"/>
      <c r="I5" s="287"/>
      <c r="J5" s="287"/>
      <c r="K5" s="287"/>
      <c r="L5" s="287"/>
      <c r="M5" s="287"/>
      <c r="N5" s="287"/>
      <c r="O5" s="287"/>
      <c r="P5" s="287"/>
      <c r="Q5" s="287"/>
      <c r="R5" s="287"/>
      <c r="S5" s="287"/>
      <c r="T5" s="287"/>
      <c r="U5" s="287"/>
      <c r="V5" s="287"/>
      <c r="W5" s="287"/>
      <c r="X5" s="287"/>
      <c r="Y5" s="287"/>
      <c r="Z5" s="287"/>
      <c r="AA5" s="287"/>
      <c r="AB5" s="287"/>
      <c r="AC5" s="287"/>
      <c r="AD5" s="287"/>
      <c r="AE5" s="287"/>
      <c r="AF5" s="287"/>
      <c r="AG5" s="287"/>
    </row>
    <row r="6" spans="1:33">
      <c r="A6" s="287" t="str">
        <f>'Sch 1 - RevReq'!A5</f>
        <v>FOR THE YEAR ENDING DECEMBER 31, 2025</v>
      </c>
      <c r="B6" s="287"/>
      <c r="C6" s="287"/>
      <c r="D6" s="287"/>
      <c r="E6" s="287"/>
      <c r="F6" s="287"/>
      <c r="G6" s="287"/>
      <c r="H6" s="287"/>
      <c r="I6" s="287"/>
      <c r="J6" s="287"/>
      <c r="K6" s="287"/>
      <c r="L6" s="287"/>
      <c r="M6" s="287"/>
      <c r="N6" s="287"/>
      <c r="O6" s="287"/>
      <c r="P6" s="287"/>
      <c r="Q6" s="287"/>
      <c r="R6" s="287"/>
      <c r="S6" s="287"/>
      <c r="T6" s="287"/>
      <c r="U6" s="287"/>
      <c r="V6" s="287"/>
      <c r="W6" s="287"/>
      <c r="X6" s="287"/>
      <c r="Y6" s="287"/>
      <c r="Z6" s="287"/>
      <c r="AA6" s="287"/>
      <c r="AB6" s="287"/>
      <c r="AC6" s="287"/>
      <c r="AD6" s="287"/>
      <c r="AE6" s="287"/>
      <c r="AF6" s="287"/>
      <c r="AG6" s="287"/>
    </row>
    <row r="7" spans="1:33">
      <c r="A7" s="287" t="s">
        <v>793</v>
      </c>
      <c r="B7" s="287"/>
      <c r="C7" s="287"/>
      <c r="D7" s="287"/>
      <c r="E7" s="287"/>
      <c r="F7" s="287"/>
      <c r="G7" s="287"/>
      <c r="H7" s="287"/>
      <c r="I7" s="287"/>
      <c r="J7" s="287"/>
      <c r="K7" s="287"/>
      <c r="L7" s="287"/>
      <c r="M7" s="287"/>
      <c r="N7" s="287"/>
      <c r="O7" s="287"/>
      <c r="P7" s="287"/>
      <c r="Q7" s="287"/>
      <c r="R7" s="287"/>
      <c r="S7" s="287"/>
      <c r="T7" s="287"/>
      <c r="U7" s="287"/>
      <c r="V7" s="287"/>
      <c r="W7" s="287"/>
      <c r="X7" s="287"/>
      <c r="Y7" s="287"/>
      <c r="Z7" s="287"/>
      <c r="AA7" s="287"/>
      <c r="AB7" s="287"/>
      <c r="AC7" s="287"/>
      <c r="AD7" s="287"/>
      <c r="AE7" s="287"/>
      <c r="AF7" s="287"/>
      <c r="AG7" s="287"/>
    </row>
    <row r="8" spans="1:33">
      <c r="A8" s="290" t="s">
        <v>46</v>
      </c>
      <c r="B8" s="290"/>
      <c r="C8" s="290"/>
      <c r="D8" s="290"/>
      <c r="E8" s="290"/>
      <c r="F8" s="290"/>
      <c r="G8" s="290"/>
      <c r="H8" s="290"/>
      <c r="I8" s="290"/>
      <c r="J8" s="290"/>
      <c r="K8" s="290"/>
      <c r="L8" s="290"/>
      <c r="M8" s="290"/>
      <c r="N8" s="290"/>
      <c r="O8" s="290"/>
      <c r="P8" s="290"/>
      <c r="Q8" s="290"/>
      <c r="R8" s="290"/>
      <c r="S8" s="290"/>
      <c r="T8" s="290"/>
      <c r="U8" s="290"/>
      <c r="V8" s="290"/>
      <c r="W8" s="290"/>
      <c r="X8" s="290"/>
      <c r="Y8" s="290"/>
      <c r="Z8" s="290"/>
      <c r="AA8" s="290"/>
      <c r="AB8" s="290"/>
      <c r="AC8" s="290"/>
      <c r="AD8" s="290"/>
      <c r="AE8" s="290"/>
      <c r="AF8" s="290"/>
      <c r="AG8" s="290"/>
    </row>
    <row r="9" spans="1:33">
      <c r="E9" s="18"/>
      <c r="G9" s="18"/>
      <c r="H9" s="18"/>
      <c r="I9" s="18"/>
      <c r="J9" s="18"/>
      <c r="K9" s="36"/>
      <c r="L9" s="18"/>
      <c r="M9" s="18"/>
      <c r="N9" s="18"/>
      <c r="O9" s="18"/>
      <c r="P9" s="18"/>
      <c r="S9" s="179"/>
      <c r="U9" s="18"/>
      <c r="W9" s="18"/>
      <c r="AA9" s="18"/>
      <c r="AC9" s="18"/>
      <c r="AE9" s="18"/>
      <c r="AG9" s="18"/>
    </row>
    <row r="10" spans="1:33">
      <c r="E10" s="18"/>
      <c r="G10" s="18"/>
      <c r="H10" s="18"/>
      <c r="I10" s="18"/>
      <c r="J10" s="18"/>
      <c r="K10" s="18"/>
      <c r="L10" s="18"/>
      <c r="M10" s="18"/>
      <c r="N10" s="18"/>
      <c r="P10" s="18"/>
      <c r="S10" s="18" t="s">
        <v>114</v>
      </c>
      <c r="U10" s="18"/>
      <c r="W10" s="18" t="s">
        <v>115</v>
      </c>
      <c r="Y10" s="18"/>
      <c r="AA10" s="18"/>
      <c r="AE10" s="18"/>
      <c r="AG10" s="18"/>
    </row>
    <row r="11" spans="1:33">
      <c r="A11" s="16" t="s">
        <v>2</v>
      </c>
      <c r="E11" s="18"/>
      <c r="G11" s="18" t="s">
        <v>116</v>
      </c>
      <c r="H11" s="18"/>
      <c r="I11" s="18" t="s">
        <v>117</v>
      </c>
      <c r="J11" s="18"/>
      <c r="K11" s="18" t="s">
        <v>118</v>
      </c>
      <c r="L11" s="18"/>
      <c r="M11" s="18" t="s">
        <v>119</v>
      </c>
      <c r="N11" s="18"/>
      <c r="O11" s="18" t="s">
        <v>120</v>
      </c>
      <c r="P11" s="18"/>
      <c r="Q11" s="18" t="s">
        <v>121</v>
      </c>
      <c r="S11" s="18" t="s">
        <v>122</v>
      </c>
      <c r="U11" s="18" t="s">
        <v>123</v>
      </c>
      <c r="W11" s="18" t="s">
        <v>124</v>
      </c>
      <c r="Y11" s="273" t="s">
        <v>125</v>
      </c>
      <c r="AA11" s="18" t="s">
        <v>126</v>
      </c>
      <c r="AC11" s="18" t="s">
        <v>127</v>
      </c>
      <c r="AE11" s="18" t="s">
        <v>128</v>
      </c>
      <c r="AG11" s="18" t="s">
        <v>129</v>
      </c>
    </row>
    <row r="12" spans="1:33">
      <c r="A12" s="20" t="s">
        <v>234</v>
      </c>
      <c r="C12" s="21" t="s">
        <v>3</v>
      </c>
      <c r="E12" s="20" t="s">
        <v>77</v>
      </c>
      <c r="G12" s="20" t="s">
        <v>130</v>
      </c>
      <c r="H12" s="18"/>
      <c r="I12" s="20" t="s">
        <v>85</v>
      </c>
      <c r="J12" s="18"/>
      <c r="K12" s="20" t="s">
        <v>131</v>
      </c>
      <c r="L12" s="18"/>
      <c r="M12" s="20" t="s">
        <v>132</v>
      </c>
      <c r="N12" s="18"/>
      <c r="O12" s="20" t="s">
        <v>84</v>
      </c>
      <c r="P12" s="18"/>
      <c r="Q12" s="20" t="s">
        <v>133</v>
      </c>
      <c r="S12" s="20" t="s">
        <v>134</v>
      </c>
      <c r="U12" s="37" t="s">
        <v>135</v>
      </c>
      <c r="W12" s="37" t="s">
        <v>136</v>
      </c>
      <c r="Y12" s="37" t="s">
        <v>137</v>
      </c>
      <c r="AA12" s="37" t="s">
        <v>84</v>
      </c>
      <c r="AC12" s="37" t="s">
        <v>138</v>
      </c>
      <c r="AE12" s="37" t="s">
        <v>139</v>
      </c>
      <c r="AG12" s="37" t="s">
        <v>82</v>
      </c>
    </row>
    <row r="13" spans="1:33">
      <c r="C13" s="18" t="s">
        <v>50</v>
      </c>
      <c r="E13" s="18" t="s">
        <v>51</v>
      </c>
      <c r="F13" s="18"/>
      <c r="G13" s="18" t="s">
        <v>86</v>
      </c>
      <c r="H13" s="18"/>
      <c r="I13" s="18" t="s">
        <v>88</v>
      </c>
      <c r="J13" s="18"/>
      <c r="K13" s="38" t="s">
        <v>89</v>
      </c>
      <c r="L13" s="18"/>
      <c r="M13" s="38" t="s">
        <v>140</v>
      </c>
      <c r="N13" s="18"/>
      <c r="O13" s="38" t="s">
        <v>141</v>
      </c>
      <c r="P13" s="18"/>
      <c r="Q13" s="38" t="s">
        <v>142</v>
      </c>
      <c r="S13" s="38" t="s">
        <v>143</v>
      </c>
      <c r="U13" s="38" t="s">
        <v>144</v>
      </c>
      <c r="W13" s="38" t="s">
        <v>145</v>
      </c>
      <c r="Y13" s="38" t="s">
        <v>146</v>
      </c>
      <c r="AA13" s="38" t="s">
        <v>147</v>
      </c>
      <c r="AC13" s="38" t="s">
        <v>148</v>
      </c>
      <c r="AE13" s="38" t="s">
        <v>149</v>
      </c>
      <c r="AG13" s="38" t="s">
        <v>150</v>
      </c>
    </row>
    <row r="15" spans="1:33">
      <c r="A15" s="26">
        <v>1</v>
      </c>
      <c r="C15" s="16" t="s">
        <v>151</v>
      </c>
    </row>
    <row r="16" spans="1:33">
      <c r="A16" s="26">
        <f>+A15+1</f>
        <v>2</v>
      </c>
      <c r="C16" s="16" t="s">
        <v>152</v>
      </c>
      <c r="E16" s="39">
        <f>SUM(G16:AI16)</f>
        <v>-66058.975482117632</v>
      </c>
      <c r="F16" s="39"/>
      <c r="G16" s="39"/>
      <c r="H16" s="39"/>
      <c r="I16" s="39"/>
      <c r="J16" s="39"/>
      <c r="K16" s="39">
        <f>(+'Schs 4-17 - Pro Forma Adj.''s'!E60/1000)</f>
        <v>741.36599999999999</v>
      </c>
      <c r="L16" s="39"/>
      <c r="M16" s="39"/>
      <c r="N16" s="39"/>
      <c r="O16" s="39"/>
      <c r="P16" s="39"/>
      <c r="Q16" s="39">
        <f>(+'Schs 4-17 - Pro Forma Adj.''s'!E126/1000)</f>
        <v>444.70938788237328</v>
      </c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>
        <f>(+'Schs 4-17 - Pro Forma Adj.''s'!E261/1000)</f>
        <v>-57037.950090000013</v>
      </c>
      <c r="AD16" s="39"/>
      <c r="AE16" s="39"/>
      <c r="AF16" s="39"/>
      <c r="AG16" s="39">
        <f>(+'Schs 4-17 - Pro Forma Adj.''s'!E313/1000)</f>
        <v>-10207.100779999999</v>
      </c>
    </row>
    <row r="17" spans="1:33">
      <c r="A17" s="26">
        <f>+A16+1</f>
        <v>3</v>
      </c>
      <c r="C17" s="16" t="s">
        <v>153</v>
      </c>
      <c r="E17" s="39">
        <f>SUM(G17:AI17)</f>
        <v>-144.09299999999999</v>
      </c>
      <c r="F17" s="39"/>
      <c r="G17" s="39"/>
      <c r="H17" s="39"/>
      <c r="I17" s="40"/>
      <c r="J17" s="39"/>
      <c r="K17" s="39"/>
      <c r="L17" s="39"/>
      <c r="M17" s="40"/>
      <c r="N17" s="39"/>
      <c r="O17" s="39"/>
      <c r="P17" s="39"/>
      <c r="Q17" s="39"/>
      <c r="R17" s="39"/>
      <c r="S17" s="39"/>
      <c r="T17" s="39"/>
      <c r="U17" s="39"/>
      <c r="V17" s="39"/>
      <c r="W17" s="39">
        <f>(+'Schs 4-17 - Pro Forma Adj.''s'!E195/1000)</f>
        <v>-144.09299999999999</v>
      </c>
      <c r="X17" s="39"/>
      <c r="Y17" s="39"/>
      <c r="Z17" s="39"/>
      <c r="AA17" s="39"/>
      <c r="AB17" s="39"/>
      <c r="AC17" s="39"/>
      <c r="AD17" s="39"/>
      <c r="AE17" s="39"/>
      <c r="AF17" s="39"/>
      <c r="AG17" s="39"/>
    </row>
    <row r="18" spans="1:33">
      <c r="A18" s="26">
        <f>+A17+1</f>
        <v>4</v>
      </c>
      <c r="C18" s="16" t="s">
        <v>93</v>
      </c>
      <c r="E18" s="41">
        <f>+E16+E17</f>
        <v>-66203.068482117626</v>
      </c>
      <c r="F18" s="39"/>
      <c r="G18" s="41">
        <f>+G16+G17</f>
        <v>0</v>
      </c>
      <c r="H18" s="39"/>
      <c r="I18" s="41">
        <f>+I16+I17</f>
        <v>0</v>
      </c>
      <c r="J18" s="39"/>
      <c r="K18" s="41">
        <f>+K16+K17</f>
        <v>741.36599999999999</v>
      </c>
      <c r="L18" s="39"/>
      <c r="M18" s="41">
        <f>+M16+M17</f>
        <v>0</v>
      </c>
      <c r="N18" s="39"/>
      <c r="O18" s="41">
        <f>+O16+O17</f>
        <v>0</v>
      </c>
      <c r="P18" s="39"/>
      <c r="Q18" s="41">
        <f>+Q16+Q17</f>
        <v>444.70938788237328</v>
      </c>
      <c r="R18" s="39"/>
      <c r="S18" s="41">
        <f>+S16+S17</f>
        <v>0</v>
      </c>
      <c r="T18" s="39"/>
      <c r="U18" s="41">
        <f>+U16+U17</f>
        <v>0</v>
      </c>
      <c r="V18" s="39"/>
      <c r="W18" s="41">
        <f>+W16+W17</f>
        <v>-144.09299999999999</v>
      </c>
      <c r="X18" s="39"/>
      <c r="Y18" s="41">
        <f>+Y16+Y17</f>
        <v>0</v>
      </c>
      <c r="Z18" s="39"/>
      <c r="AA18" s="41">
        <f>+AA16+AA17</f>
        <v>0</v>
      </c>
      <c r="AB18" s="39"/>
      <c r="AC18" s="41">
        <f>+AC16+AC17</f>
        <v>-57037.950090000013</v>
      </c>
      <c r="AD18" s="39"/>
      <c r="AE18" s="41">
        <f>+AE16+AE17</f>
        <v>0</v>
      </c>
      <c r="AF18" s="39"/>
      <c r="AG18" s="41">
        <f>+AG16+AG17</f>
        <v>-10207.100779999999</v>
      </c>
    </row>
    <row r="19" spans="1:33">
      <c r="A19" s="26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</row>
    <row r="20" spans="1:33">
      <c r="A20" s="26">
        <f>+A18+1</f>
        <v>5</v>
      </c>
      <c r="C20" s="16" t="s">
        <v>154</v>
      </c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</row>
    <row r="21" spans="1:33">
      <c r="A21" s="26">
        <f t="shared" ref="A21:A30" si="0">+A20+1</f>
        <v>6</v>
      </c>
      <c r="C21" s="16" t="s">
        <v>155</v>
      </c>
      <c r="E21" s="39">
        <f t="shared" ref="E21:E28" si="1">SUM(G21:AI21)</f>
        <v>-56953.216749999956</v>
      </c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>
        <f>(+'Schs 4-17 - Pro Forma Adj.''s'!E265/1000)</f>
        <v>-56953.216749999956</v>
      </c>
      <c r="AD21" s="39"/>
      <c r="AE21" s="39"/>
      <c r="AF21" s="39"/>
      <c r="AG21" s="39"/>
    </row>
    <row r="22" spans="1:33">
      <c r="A22" s="26">
        <f t="shared" si="0"/>
        <v>7</v>
      </c>
      <c r="C22" s="16" t="s">
        <v>156</v>
      </c>
      <c r="E22" s="39">
        <f t="shared" si="1"/>
        <v>-9934.4538510604234</v>
      </c>
      <c r="F22" s="39"/>
      <c r="G22" s="39"/>
      <c r="H22" s="39"/>
      <c r="I22" s="39">
        <f>(+'Schs 4-17 - Pro Forma Adj.''s'!E34/1000)</f>
        <v>158.39431413828424</v>
      </c>
      <c r="J22" s="39"/>
      <c r="K22" s="39"/>
      <c r="L22" s="39"/>
      <c r="M22" s="39">
        <f>(+'Schs 4-17 - Pro Forma Adj.''s'!E82/1000)</f>
        <v>6.1560848012907501</v>
      </c>
      <c r="N22" s="39"/>
      <c r="P22" s="39"/>
      <c r="Q22" s="39"/>
      <c r="R22" s="39"/>
      <c r="S22" s="39"/>
      <c r="T22" s="39"/>
      <c r="U22" s="39">
        <f>(+'Schs 4-17 - Pro Forma Adj.''s'!E172/1000)</f>
        <v>228</v>
      </c>
      <c r="V22" s="39"/>
      <c r="W22" s="39"/>
      <c r="X22" s="39"/>
      <c r="Y22" s="39">
        <f>(+'Schs 4-17 - Pro Forma Adj.''s'!E217/1000)</f>
        <v>-75.180340000000001</v>
      </c>
      <c r="Z22" s="39"/>
      <c r="AA22" s="39"/>
      <c r="AB22" s="39"/>
      <c r="AC22" s="39">
        <f>(-'Schs 4-17 - Pro Forma Adj.''s'!E266/1000)</f>
        <v>16.34769</v>
      </c>
      <c r="AD22" s="39"/>
      <c r="AE22" s="39">
        <f>(+'Schs 4-17 - Pro Forma Adj.''s'!E292/1000)</f>
        <v>-61.070820000000005</v>
      </c>
      <c r="AF22" s="39"/>
      <c r="AG22" s="39">
        <f>(+'Schs 4-17 - Pro Forma Adj.''s'!E316/1000)</f>
        <v>-10207.100779999999</v>
      </c>
    </row>
    <row r="23" spans="1:33">
      <c r="A23" s="26">
        <f t="shared" si="0"/>
        <v>8</v>
      </c>
      <c r="C23" s="16" t="s">
        <v>157</v>
      </c>
      <c r="E23" s="39">
        <f t="shared" si="1"/>
        <v>1453.7260000000001</v>
      </c>
      <c r="F23" s="39"/>
      <c r="G23" s="39"/>
      <c r="H23" s="39"/>
      <c r="I23" s="39"/>
      <c r="J23" s="39"/>
      <c r="K23" s="39"/>
      <c r="L23" s="39"/>
      <c r="M23" s="39"/>
      <c r="N23" s="39"/>
      <c r="O23" s="39">
        <f>(+'Schs 4-17 - Pro Forma Adj.''s'!E104/1000)</f>
        <v>1263.9010000000001</v>
      </c>
      <c r="P23" s="39"/>
      <c r="Q23" s="39"/>
      <c r="R23" s="39"/>
      <c r="S23" s="39">
        <f>'Schs 4-17 - Pro Forma Adj.''s'!E149/1000</f>
        <v>189.82499999999999</v>
      </c>
      <c r="T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</row>
    <row r="24" spans="1:33">
      <c r="A24" s="26">
        <f t="shared" si="0"/>
        <v>9</v>
      </c>
      <c r="C24" s="16" t="s">
        <v>158</v>
      </c>
      <c r="E24" s="39">
        <f t="shared" si="1"/>
        <v>-170.79333819300547</v>
      </c>
      <c r="F24" s="39"/>
      <c r="G24" s="39"/>
      <c r="H24" s="39"/>
      <c r="I24" s="39">
        <f>(+'Schs 4-17 - Pro Forma Adj.''s'!E37/1000)</f>
        <v>13.551801806994547</v>
      </c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>
        <f>(+'Schs 4-17 - Pro Forma Adj.''s'!E240/1000)</f>
        <v>-83.264520000000005</v>
      </c>
      <c r="AB24" s="39"/>
      <c r="AC24" s="39">
        <f>(+'Schs 4-17 - Pro Forma Adj.''s'!E267/1000)</f>
        <v>-101.08062</v>
      </c>
      <c r="AD24" s="39"/>
      <c r="AE24" s="39"/>
      <c r="AF24" s="39"/>
      <c r="AG24" s="39"/>
    </row>
    <row r="25" spans="1:33">
      <c r="A25" s="26">
        <f t="shared" si="0"/>
        <v>10</v>
      </c>
      <c r="C25" s="16" t="s">
        <v>159</v>
      </c>
      <c r="E25" s="39">
        <f t="shared" si="1"/>
        <v>0</v>
      </c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</row>
    <row r="26" spans="1:33">
      <c r="A26" s="26">
        <f>+A25+1</f>
        <v>11</v>
      </c>
      <c r="C26" s="16" t="s">
        <v>160</v>
      </c>
      <c r="E26" s="39">
        <f t="shared" si="1"/>
        <v>-187.83604885823482</v>
      </c>
      <c r="F26" s="39"/>
      <c r="G26" s="39">
        <f>(+'Schs 4-17 - Pro Forma Adj.''s'!E15/1000)</f>
        <v>-62.186798858234823</v>
      </c>
      <c r="H26" s="39"/>
      <c r="I26" s="39">
        <f>(+'Schs 4-17 - Pro Forma Adj.''s'!E39/1000)</f>
        <v>-36.109000000000002</v>
      </c>
      <c r="J26" s="39"/>
      <c r="K26" s="39">
        <f>(+'Schs 4-17 - Pro Forma Adj.''s'!E62/1000)</f>
        <v>155.68700000000001</v>
      </c>
      <c r="L26" s="39"/>
      <c r="M26" s="39">
        <f>(+'Schs 4-17 - Pro Forma Adj.''s'!E84/1000)</f>
        <v>-1.2929999999999999</v>
      </c>
      <c r="N26" s="39"/>
      <c r="O26" s="39">
        <f>(+'Schs 4-17 - Pro Forma Adj.''s'!E106/1000)</f>
        <v>-265.41899999999998</v>
      </c>
      <c r="P26" s="39"/>
      <c r="Q26" s="39">
        <f>(+'Schs 4-17 - Pro Forma Adj.''s'!E128/1000)</f>
        <v>93.388999999999996</v>
      </c>
      <c r="R26" s="39"/>
      <c r="S26" s="39">
        <f>'Schs 4-17 - Pro Forma Adj.''s'!E151/1000</f>
        <v>-39.863250000000001</v>
      </c>
      <c r="T26" s="39"/>
      <c r="U26" s="39">
        <f>(+'Schs 4-17 - Pro Forma Adj.''s'!E174/1000)</f>
        <v>-47.88</v>
      </c>
      <c r="V26" s="39"/>
      <c r="W26" s="39">
        <f>(+'Schs 4-17 - Pro Forma Adj.''s'!E197/1000)</f>
        <v>-30.26</v>
      </c>
      <c r="X26" s="39"/>
      <c r="Y26" s="39">
        <f>(+'Schs 4-17 - Pro Forma Adj.''s'!E219/1000)</f>
        <v>15.788</v>
      </c>
      <c r="Z26" s="39"/>
      <c r="AA26" s="39">
        <f>(+'Schs 4-17 - Pro Forma Adj.''s'!E242/1000)</f>
        <v>17.486000000000001</v>
      </c>
      <c r="AB26" s="39"/>
      <c r="AC26" s="39">
        <f>(+'Schs 4-17 - Pro Forma Adj.''s'!E270/1000)</f>
        <v>0</v>
      </c>
      <c r="AD26" s="39"/>
      <c r="AE26" s="39">
        <f>(+'Schs 4-17 - Pro Forma Adj.''s'!E294/1000)</f>
        <v>12.824999999999999</v>
      </c>
      <c r="AF26" s="39"/>
      <c r="AG26" s="39">
        <f>(+'Schs 4-17 - Pro Forma Adj.''s'!E318/1000)</f>
        <v>0</v>
      </c>
    </row>
    <row r="27" spans="1:33">
      <c r="A27" s="26">
        <f t="shared" si="0"/>
        <v>12</v>
      </c>
      <c r="C27" s="16" t="s">
        <v>161</v>
      </c>
      <c r="E27" s="39">
        <f t="shared" si="1"/>
        <v>0</v>
      </c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</row>
    <row r="28" spans="1:33">
      <c r="A28" s="26">
        <f t="shared" si="0"/>
        <v>13</v>
      </c>
      <c r="C28" s="16" t="s">
        <v>162</v>
      </c>
      <c r="E28" s="40">
        <f t="shared" si="1"/>
        <v>0</v>
      </c>
      <c r="F28" s="39"/>
      <c r="G28" s="40"/>
      <c r="H28" s="39"/>
      <c r="I28" s="40"/>
      <c r="J28" s="39"/>
      <c r="K28" s="40"/>
      <c r="L28" s="39"/>
      <c r="M28" s="40"/>
      <c r="N28" s="39"/>
      <c r="O28" s="40"/>
      <c r="P28" s="39"/>
      <c r="Q28" s="40"/>
      <c r="R28" s="39"/>
      <c r="S28" s="40"/>
      <c r="T28" s="39"/>
      <c r="U28" s="40"/>
      <c r="V28" s="39"/>
      <c r="W28" s="40"/>
      <c r="X28" s="39"/>
      <c r="Y28" s="40"/>
      <c r="Z28" s="39"/>
      <c r="AA28" s="40"/>
      <c r="AB28" s="39"/>
      <c r="AC28" s="40"/>
      <c r="AD28" s="39"/>
      <c r="AE28" s="40"/>
      <c r="AF28" s="39"/>
      <c r="AG28" s="40"/>
    </row>
    <row r="29" spans="1:33">
      <c r="A29" s="26">
        <f t="shared" si="0"/>
        <v>14</v>
      </c>
      <c r="C29" s="16" t="s">
        <v>102</v>
      </c>
      <c r="E29" s="39">
        <f>SUM(E21:E28)</f>
        <v>-65792.573988111631</v>
      </c>
      <c r="F29" s="39"/>
      <c r="G29" s="39">
        <f>SUM(G21:G28)</f>
        <v>-62.186798858234823</v>
      </c>
      <c r="H29" s="39"/>
      <c r="I29" s="39">
        <f>SUM(I21:I28)</f>
        <v>135.83711594527878</v>
      </c>
      <c r="J29" s="39"/>
      <c r="K29" s="39">
        <f>SUM(K21:K28)</f>
        <v>155.68700000000001</v>
      </c>
      <c r="L29" s="39"/>
      <c r="M29" s="39">
        <f>SUM(M21:M28)</f>
        <v>4.8630848012907499</v>
      </c>
      <c r="N29" s="39"/>
      <c r="O29" s="39">
        <f>SUM(O21:O28)</f>
        <v>998.48200000000008</v>
      </c>
      <c r="P29" s="39"/>
      <c r="Q29" s="39">
        <f>SUM(Q21:Q28)</f>
        <v>93.388999999999996</v>
      </c>
      <c r="R29" s="39"/>
      <c r="S29" s="39">
        <f>SUM(S21:S28)</f>
        <v>149.96174999999999</v>
      </c>
      <c r="T29" s="39"/>
      <c r="U29" s="39">
        <f>SUM(U21:U28)</f>
        <v>180.12</v>
      </c>
      <c r="V29" s="39"/>
      <c r="W29" s="39">
        <f>SUM(W21:W28)</f>
        <v>-30.26</v>
      </c>
      <c r="X29" s="39"/>
      <c r="Y29" s="39">
        <f>SUM(Y21:Y28)</f>
        <v>-59.392340000000004</v>
      </c>
      <c r="Z29" s="39"/>
      <c r="AA29" s="39">
        <f>SUM(AA21:AA28)</f>
        <v>-65.77852</v>
      </c>
      <c r="AB29" s="39"/>
      <c r="AC29" s="39">
        <f>SUM(AC21:AC28)</f>
        <v>-57037.949679999954</v>
      </c>
      <c r="AD29" s="39"/>
      <c r="AE29" s="39">
        <f>SUM(AE21:AE28)</f>
        <v>-48.245820000000009</v>
      </c>
      <c r="AF29" s="39"/>
      <c r="AG29" s="39">
        <f>SUM(AG21:AG28)</f>
        <v>-10207.100779999999</v>
      </c>
    </row>
    <row r="30" spans="1:33" ht="16.5" thickBot="1">
      <c r="A30" s="26">
        <f t="shared" si="0"/>
        <v>15</v>
      </c>
      <c r="C30" s="16" t="s">
        <v>163</v>
      </c>
      <c r="E30" s="42">
        <f>+E18-E29</f>
        <v>-410.49449400599406</v>
      </c>
      <c r="F30" s="39"/>
      <c r="G30" s="42">
        <f>+G18-G29</f>
        <v>62.186798858234823</v>
      </c>
      <c r="H30" s="39"/>
      <c r="I30" s="42">
        <f>+I18-I29</f>
        <v>-135.83711594527878</v>
      </c>
      <c r="J30" s="39"/>
      <c r="K30" s="42">
        <f>+K18-K29</f>
        <v>585.67899999999997</v>
      </c>
      <c r="L30" s="39"/>
      <c r="M30" s="42">
        <f>+M18-M29</f>
        <v>-4.8630848012907499</v>
      </c>
      <c r="N30" s="39"/>
      <c r="O30" s="42">
        <f>+O18-O29</f>
        <v>-998.48200000000008</v>
      </c>
      <c r="P30" s="39"/>
      <c r="Q30" s="42">
        <f>+Q18-Q29</f>
        <v>351.32038788237327</v>
      </c>
      <c r="R30" s="39"/>
      <c r="S30" s="42">
        <f>+S18-S29</f>
        <v>-149.96174999999999</v>
      </c>
      <c r="T30" s="39"/>
      <c r="U30" s="42">
        <f>+U18-U29</f>
        <v>-180.12</v>
      </c>
      <c r="V30" s="39"/>
      <c r="W30" s="42">
        <f>+W18-W29</f>
        <v>-113.83299999999998</v>
      </c>
      <c r="X30" s="39"/>
      <c r="Y30" s="42">
        <f>+Y18-Y29</f>
        <v>59.392340000000004</v>
      </c>
      <c r="Z30" s="39"/>
      <c r="AA30" s="42">
        <f>+AA18-AA29</f>
        <v>65.77852</v>
      </c>
      <c r="AB30" s="39"/>
      <c r="AC30" s="42">
        <f>+AC18-AC29</f>
        <v>-4.1000005876412615E-4</v>
      </c>
      <c r="AD30" s="39"/>
      <c r="AE30" s="42">
        <f>+AE18-AE29</f>
        <v>48.245820000000009</v>
      </c>
      <c r="AF30" s="39"/>
      <c r="AG30" s="42">
        <f>+AG18-AG29</f>
        <v>0</v>
      </c>
    </row>
    <row r="31" spans="1:33" ht="16.5" thickTop="1"/>
    <row r="33" spans="3:33">
      <c r="C33" s="16" t="s">
        <v>104</v>
      </c>
      <c r="E33" s="18"/>
      <c r="G33" s="18" t="s">
        <v>164</v>
      </c>
      <c r="H33" s="18"/>
      <c r="I33" s="18" t="s">
        <v>165</v>
      </c>
      <c r="K33" s="18" t="s">
        <v>166</v>
      </c>
      <c r="L33" s="18"/>
      <c r="M33" s="18" t="s">
        <v>167</v>
      </c>
      <c r="N33" s="18"/>
      <c r="O33" s="18" t="s">
        <v>168</v>
      </c>
      <c r="P33" s="18"/>
      <c r="Q33" s="18" t="s">
        <v>169</v>
      </c>
      <c r="R33" s="18"/>
      <c r="S33" s="18" t="s">
        <v>170</v>
      </c>
      <c r="T33" s="18"/>
      <c r="U33" s="18" t="s">
        <v>171</v>
      </c>
      <c r="V33" s="18"/>
      <c r="W33" s="18" t="s">
        <v>172</v>
      </c>
      <c r="X33" s="18"/>
      <c r="Y33" s="18" t="s">
        <v>173</v>
      </c>
      <c r="Z33" s="18"/>
      <c r="AA33" s="18" t="s">
        <v>174</v>
      </c>
      <c r="AB33" s="18"/>
      <c r="AC33" s="18" t="s">
        <v>175</v>
      </c>
      <c r="AD33" s="18"/>
      <c r="AE33" s="18" t="s">
        <v>176</v>
      </c>
      <c r="AF33" s="18"/>
      <c r="AG33" s="18" t="s">
        <v>177</v>
      </c>
    </row>
    <row r="35" spans="3:33">
      <c r="C35" s="35"/>
    </row>
    <row r="36" spans="3:33">
      <c r="C36" s="35"/>
    </row>
    <row r="37" spans="3:33">
      <c r="C37" s="35"/>
    </row>
    <row r="38" spans="3:33">
      <c r="C38" s="35"/>
    </row>
    <row r="39" spans="3:33">
      <c r="C39" s="35"/>
    </row>
    <row r="40" spans="3:33">
      <c r="C40" s="35"/>
    </row>
    <row r="41" spans="3:33">
      <c r="C41" s="35"/>
    </row>
  </sheetData>
  <mergeCells count="8">
    <mergeCell ref="A8:AG8"/>
    <mergeCell ref="A1:AG1"/>
    <mergeCell ref="A2:AG2"/>
    <mergeCell ref="A3:AG3"/>
    <mergeCell ref="A4:AG4"/>
    <mergeCell ref="A5:AG5"/>
    <mergeCell ref="A6:AG6"/>
    <mergeCell ref="A7:AG7"/>
  </mergeCells>
  <phoneticPr fontId="8" type="noConversion"/>
  <pageMargins left="0.75" right="0.68" top="1" bottom="1" header="0.5" footer="0.5"/>
  <pageSetup scale="49" fitToWidth="0" orientation="landscape" horizontalDpi="300" verticalDpi="300" r:id="rId1"/>
  <headerFooter alignWithMargins="0">
    <oddHeader>&amp;RGroen Direct Exhibit 1.1, Schedule 3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U88"/>
  <sheetViews>
    <sheetView view="pageLayout" topLeftCell="E1" zoomScaleNormal="80" workbookViewId="0">
      <selection activeCell="J26" sqref="J26"/>
    </sheetView>
  </sheetViews>
  <sheetFormatPr defaultColWidth="9.140625" defaultRowHeight="15.75"/>
  <cols>
    <col min="1" max="1" width="5.140625" style="16" customWidth="1"/>
    <col min="2" max="2" width="10.7109375" style="16" customWidth="1"/>
    <col min="3" max="4" width="26.140625" style="16" customWidth="1"/>
    <col min="5" max="5" width="16.140625" style="16" bestFit="1" customWidth="1"/>
    <col min="6" max="16" width="15.5703125" style="16" customWidth="1"/>
    <col min="17" max="17" width="16.28515625" style="16" customWidth="1"/>
    <col min="18" max="20" width="9.140625" style="16"/>
    <col min="21" max="21" width="10.7109375" style="16" bestFit="1" customWidth="1"/>
    <col min="22" max="16384" width="9.140625" style="16"/>
  </cols>
  <sheetData>
    <row r="1" spans="1:21">
      <c r="A1" s="287" t="s">
        <v>787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</row>
    <row r="2" spans="1:21">
      <c r="A2" s="287" t="s">
        <v>791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</row>
    <row r="3" spans="1:21">
      <c r="A3" s="287" t="s">
        <v>792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  <c r="P3" s="287"/>
      <c r="Q3" s="287"/>
    </row>
    <row r="4" spans="1:21">
      <c r="A4" s="287" t="s">
        <v>774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</row>
    <row r="5" spans="1:21">
      <c r="A5" s="287" t="str">
        <f>'Sch 26 pg. 2 - LT Debt'!A5</f>
        <v>FOR THE YEAR ENDING DECEMBER 31, 2025</v>
      </c>
      <c r="B5" s="287"/>
      <c r="C5" s="287"/>
      <c r="D5" s="287"/>
      <c r="E5" s="287"/>
      <c r="F5" s="287"/>
      <c r="G5" s="287"/>
      <c r="H5" s="287"/>
      <c r="I5" s="287"/>
      <c r="J5" s="287"/>
      <c r="K5" s="287"/>
      <c r="L5" s="287"/>
      <c r="M5" s="287"/>
      <c r="N5" s="287"/>
      <c r="O5" s="287"/>
      <c r="P5" s="287"/>
      <c r="Q5" s="287"/>
    </row>
    <row r="6" spans="1:21">
      <c r="A6" s="289" t="s">
        <v>793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</row>
    <row r="8" spans="1:21">
      <c r="B8" s="18" t="s">
        <v>50</v>
      </c>
      <c r="C8" s="18" t="s">
        <v>51</v>
      </c>
      <c r="D8" s="18" t="s">
        <v>86</v>
      </c>
      <c r="E8" s="18" t="s">
        <v>87</v>
      </c>
      <c r="F8" s="18" t="s">
        <v>88</v>
      </c>
      <c r="G8" s="18" t="s">
        <v>89</v>
      </c>
      <c r="H8" s="18" t="s">
        <v>140</v>
      </c>
      <c r="I8" s="18" t="s">
        <v>141</v>
      </c>
      <c r="J8" s="18" t="s">
        <v>142</v>
      </c>
      <c r="K8" s="18" t="s">
        <v>143</v>
      </c>
      <c r="L8" s="18" t="s">
        <v>144</v>
      </c>
      <c r="M8" s="18" t="s">
        <v>145</v>
      </c>
      <c r="N8" s="18" t="s">
        <v>146</v>
      </c>
      <c r="O8" s="18" t="s">
        <v>147</v>
      </c>
      <c r="P8" s="18" t="s">
        <v>148</v>
      </c>
      <c r="Q8" s="18" t="s">
        <v>149</v>
      </c>
      <c r="R8" s="18"/>
      <c r="S8" s="18"/>
      <c r="T8" s="18"/>
      <c r="U8" s="18"/>
    </row>
    <row r="9" spans="1:21"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</row>
    <row r="10" spans="1:21">
      <c r="D10" s="211">
        <v>45654</v>
      </c>
      <c r="E10" s="211">
        <v>45685</v>
      </c>
      <c r="F10" s="211">
        <v>45716</v>
      </c>
      <c r="G10" s="211">
        <v>45744</v>
      </c>
      <c r="H10" s="211">
        <v>45775</v>
      </c>
      <c r="I10" s="211">
        <v>45805</v>
      </c>
      <c r="J10" s="211">
        <v>45836</v>
      </c>
      <c r="K10" s="211">
        <v>45866</v>
      </c>
      <c r="L10" s="211">
        <v>45897</v>
      </c>
      <c r="M10" s="211">
        <v>45928</v>
      </c>
      <c r="N10" s="211">
        <v>45958</v>
      </c>
      <c r="O10" s="211">
        <v>45989</v>
      </c>
      <c r="P10" s="211">
        <v>46019</v>
      </c>
      <c r="Q10" s="205" t="s">
        <v>639</v>
      </c>
    </row>
    <row r="11" spans="1:21">
      <c r="Q11" s="18" t="s">
        <v>499</v>
      </c>
    </row>
    <row r="12" spans="1:21">
      <c r="A12" s="18">
        <v>1</v>
      </c>
      <c r="B12" s="18">
        <v>201</v>
      </c>
      <c r="C12" s="16" t="s">
        <v>775</v>
      </c>
      <c r="D12" s="215">
        <v>564725055.94000006</v>
      </c>
      <c r="E12" s="215">
        <v>564725055.94000006</v>
      </c>
      <c r="F12" s="215">
        <v>564725055.94000006</v>
      </c>
      <c r="G12" s="215">
        <v>564725055.94000006</v>
      </c>
      <c r="H12" s="215">
        <v>564725055.94000006</v>
      </c>
      <c r="I12" s="215">
        <v>564725055.94000006</v>
      </c>
      <c r="J12" s="215">
        <v>564725055.94000006</v>
      </c>
      <c r="K12" s="215">
        <v>564725055.94000006</v>
      </c>
      <c r="L12" s="215">
        <v>564725055.94000006</v>
      </c>
      <c r="M12" s="215">
        <v>564725055.94000006</v>
      </c>
      <c r="N12" s="215">
        <v>564725055.94000006</v>
      </c>
      <c r="O12" s="215">
        <v>564725055.94000006</v>
      </c>
      <c r="P12" s="215">
        <v>564725055.94000006</v>
      </c>
      <c r="Q12" s="215">
        <f>(SUM(D12:P12)/13)</f>
        <v>564725055.9400003</v>
      </c>
    </row>
    <row r="13" spans="1:21">
      <c r="A13" s="18"/>
      <c r="B13" s="18"/>
      <c r="C13" s="16" t="s">
        <v>776</v>
      </c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</row>
    <row r="14" spans="1:21">
      <c r="A14" s="18">
        <v>2</v>
      </c>
      <c r="B14" s="18" t="s">
        <v>777</v>
      </c>
      <c r="C14" s="16" t="s">
        <v>778</v>
      </c>
      <c r="D14" s="215">
        <v>1123733.1500000001</v>
      </c>
      <c r="E14" s="215">
        <v>1123733.1500000001</v>
      </c>
      <c r="F14" s="215">
        <v>1123733.1500000001</v>
      </c>
      <c r="G14" s="215">
        <v>1123733.1500000001</v>
      </c>
      <c r="H14" s="215">
        <v>1123733.1500000001</v>
      </c>
      <c r="I14" s="215">
        <v>1123733.1500000001</v>
      </c>
      <c r="J14" s="215">
        <v>1123733.1500000001</v>
      </c>
      <c r="K14" s="215">
        <v>1123733.1500000001</v>
      </c>
      <c r="L14" s="215">
        <v>1123733.1500000001</v>
      </c>
      <c r="M14" s="215">
        <v>1123733.1500000001</v>
      </c>
      <c r="N14" s="215">
        <v>1123733.1500000001</v>
      </c>
      <c r="O14" s="215">
        <v>1123733.1500000001</v>
      </c>
      <c r="P14" s="215">
        <v>1123733.1500000001</v>
      </c>
      <c r="Q14" s="215">
        <f>(SUM(D14:P14)/13)</f>
        <v>1123733.1500000001</v>
      </c>
    </row>
    <row r="15" spans="1:21">
      <c r="A15" s="18">
        <v>3</v>
      </c>
      <c r="B15" s="18">
        <v>214</v>
      </c>
      <c r="C15" s="16" t="s">
        <v>779</v>
      </c>
      <c r="D15" s="215">
        <v>-4476218.71</v>
      </c>
      <c r="E15" s="215">
        <v>-4476218.71</v>
      </c>
      <c r="F15" s="215">
        <v>-4476218.71</v>
      </c>
      <c r="G15" s="215">
        <v>-4476218.71</v>
      </c>
      <c r="H15" s="215">
        <v>-4476218.71</v>
      </c>
      <c r="I15" s="215">
        <v>-4476218.71</v>
      </c>
      <c r="J15" s="215">
        <v>-4476218.71</v>
      </c>
      <c r="K15" s="215">
        <v>-4476218.71</v>
      </c>
      <c r="L15" s="215">
        <v>-4476218.71</v>
      </c>
      <c r="M15" s="215">
        <v>-4476218.71</v>
      </c>
      <c r="N15" s="215">
        <v>-4476218.71</v>
      </c>
      <c r="O15" s="215">
        <v>-4476218.71</v>
      </c>
      <c r="P15" s="215">
        <v>-4476218.71</v>
      </c>
      <c r="Q15" s="215">
        <f>(SUM(D15:P15)/13)</f>
        <v>-4476218.71</v>
      </c>
    </row>
    <row r="16" spans="1:21">
      <c r="A16" s="18">
        <v>4</v>
      </c>
      <c r="B16" s="18">
        <v>216</v>
      </c>
      <c r="C16" s="16" t="s">
        <v>780</v>
      </c>
      <c r="D16" s="215">
        <v>9619565884.9300041</v>
      </c>
      <c r="E16" s="215">
        <v>9704133394.4199944</v>
      </c>
      <c r="F16" s="215">
        <v>9781931381.0100002</v>
      </c>
      <c r="G16" s="215">
        <v>9851193482.3099957</v>
      </c>
      <c r="H16" s="215">
        <v>9914335761.6699982</v>
      </c>
      <c r="I16" s="215">
        <v>9978871632.0099926</v>
      </c>
      <c r="J16" s="215">
        <v>10096893766.42</v>
      </c>
      <c r="K16" s="215">
        <v>10211654241.239998</v>
      </c>
      <c r="L16" s="215">
        <v>10327726968.049997</v>
      </c>
      <c r="M16" s="215">
        <v>10437339633.58</v>
      </c>
      <c r="N16" s="215">
        <v>10505813237.640001</v>
      </c>
      <c r="O16" s="215">
        <v>10093202893.829994</v>
      </c>
      <c r="P16" s="215">
        <v>10180398172.279997</v>
      </c>
      <c r="Q16" s="215">
        <f>(SUM(D16:P16)/13)</f>
        <v>10054081573.029999</v>
      </c>
    </row>
    <row r="17" spans="1:21">
      <c r="A17" s="18"/>
      <c r="B17" s="18"/>
      <c r="C17" s="16" t="s">
        <v>781</v>
      </c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215"/>
      <c r="P17" s="215"/>
      <c r="Q17" s="215"/>
    </row>
    <row r="18" spans="1:21">
      <c r="A18" s="18">
        <v>5</v>
      </c>
      <c r="B18" s="18"/>
      <c r="C18" s="16" t="s">
        <v>782</v>
      </c>
      <c r="D18" s="220">
        <v>-33937.189411559557</v>
      </c>
      <c r="E18" s="220">
        <v>-30166.892496521345</v>
      </c>
      <c r="F18" s="220">
        <v>-26396.030934456168</v>
      </c>
      <c r="G18" s="220">
        <v>-22625.169372390992</v>
      </c>
      <c r="H18" s="220">
        <v>-18854.307810325816</v>
      </c>
      <c r="I18" s="220">
        <v>-15083.446248260665</v>
      </c>
      <c r="J18" s="220">
        <v>-11312.584686195489</v>
      </c>
      <c r="K18" s="220">
        <v>-7541.7231241303107</v>
      </c>
      <c r="L18" s="220">
        <v>-3770.8615620651481</v>
      </c>
      <c r="M18" s="220">
        <v>0</v>
      </c>
      <c r="N18" s="220">
        <v>0</v>
      </c>
      <c r="O18" s="220">
        <v>0</v>
      </c>
      <c r="P18" s="220">
        <v>0</v>
      </c>
      <c r="Q18" s="220">
        <f>SUM(D18:P18)/13</f>
        <v>-13052.938895838884</v>
      </c>
    </row>
    <row r="19" spans="1:21">
      <c r="A19" s="18"/>
      <c r="B19" s="18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214"/>
      <c r="Q19" s="215"/>
    </row>
    <row r="20" spans="1:21">
      <c r="A20" s="18"/>
      <c r="B20" s="18"/>
      <c r="Q20" s="214"/>
    </row>
    <row r="21" spans="1:21">
      <c r="A21" s="18">
        <v>6</v>
      </c>
      <c r="B21" s="18"/>
      <c r="C21" s="16" t="s">
        <v>783</v>
      </c>
      <c r="D21" s="215">
        <f>SUM(D12:D19)</f>
        <v>10180904518.120592</v>
      </c>
      <c r="E21" s="215">
        <f>SUM(E12:E19)</f>
        <v>10265475797.907497</v>
      </c>
      <c r="F21" s="215">
        <f t="shared" ref="F21:H21" si="0">SUM(F12:F19)</f>
        <v>10343277555.359064</v>
      </c>
      <c r="G21" s="215">
        <f t="shared" si="0"/>
        <v>10412543427.520622</v>
      </c>
      <c r="H21" s="215">
        <f t="shared" si="0"/>
        <v>10475689477.742188</v>
      </c>
      <c r="I21" s="215">
        <f>SUM(I12:I19)</f>
        <v>10540229118.943743</v>
      </c>
      <c r="J21" s="215">
        <f t="shared" ref="J21:Q21" si="1">SUM(J12:J19)</f>
        <v>10658255024.215313</v>
      </c>
      <c r="K21" s="215">
        <f t="shared" si="1"/>
        <v>10773019269.896873</v>
      </c>
      <c r="L21" s="215">
        <f t="shared" si="1"/>
        <v>10889095767.568434</v>
      </c>
      <c r="M21" s="215">
        <f t="shared" si="1"/>
        <v>10998712203.959999</v>
      </c>
      <c r="N21" s="215">
        <f t="shared" si="1"/>
        <v>11067185808.02</v>
      </c>
      <c r="O21" s="215">
        <f t="shared" si="1"/>
        <v>10654575464.209993</v>
      </c>
      <c r="P21" s="215">
        <f t="shared" si="1"/>
        <v>10741770742.659996</v>
      </c>
      <c r="Q21" s="215">
        <f t="shared" si="1"/>
        <v>10615441090.471104</v>
      </c>
    </row>
    <row r="22" spans="1:21">
      <c r="A22" s="18"/>
      <c r="B22" s="18"/>
      <c r="Q22" s="214"/>
    </row>
    <row r="23" spans="1:21" ht="13.5" customHeight="1">
      <c r="A23" s="18"/>
      <c r="B23" s="18"/>
      <c r="Q23" s="215"/>
    </row>
    <row r="24" spans="1:21">
      <c r="A24" s="18"/>
      <c r="B24" s="219" t="s">
        <v>784</v>
      </c>
      <c r="Q24" s="214"/>
      <c r="U24" s="215"/>
    </row>
    <row r="25" spans="1:21">
      <c r="A25" s="18"/>
      <c r="B25" s="219" t="s">
        <v>853</v>
      </c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</row>
    <row r="26" spans="1:21">
      <c r="A26" s="18"/>
      <c r="B26" s="18"/>
      <c r="H26" s="214"/>
      <c r="I26" s="214"/>
      <c r="J26" s="214"/>
      <c r="K26" s="214"/>
      <c r="L26" s="214"/>
      <c r="M26" s="214"/>
      <c r="N26" s="214"/>
      <c r="O26" s="214"/>
      <c r="P26" s="214"/>
      <c r="Q26" s="214"/>
    </row>
    <row r="27" spans="1:21">
      <c r="H27" s="214"/>
      <c r="I27" s="214"/>
      <c r="J27" s="214"/>
      <c r="K27" s="214"/>
      <c r="L27" s="214"/>
      <c r="M27" s="214"/>
      <c r="N27" s="214"/>
      <c r="O27" s="214"/>
      <c r="P27" s="214"/>
      <c r="Q27" s="214"/>
    </row>
    <row r="28" spans="1:21">
      <c r="H28" s="214"/>
      <c r="I28" s="214"/>
      <c r="J28" s="214"/>
      <c r="K28" s="214"/>
      <c r="L28" s="214"/>
      <c r="M28" s="214"/>
      <c r="N28" s="214"/>
      <c r="O28" s="214"/>
      <c r="P28" s="214"/>
      <c r="Q28" s="214"/>
    </row>
    <row r="29" spans="1:21">
      <c r="A29" s="18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</row>
    <row r="30" spans="1:21">
      <c r="C30" s="17"/>
      <c r="D30" s="17"/>
      <c r="Q30" s="215"/>
    </row>
    <row r="34" spans="2:17">
      <c r="E34" s="215"/>
      <c r="F34" s="215"/>
      <c r="G34" s="215"/>
      <c r="H34" s="215"/>
      <c r="I34" s="215"/>
      <c r="J34" s="215"/>
      <c r="K34" s="215"/>
      <c r="L34" s="215"/>
      <c r="M34" s="215"/>
      <c r="N34" s="215"/>
      <c r="O34" s="215"/>
      <c r="P34" s="215"/>
      <c r="Q34" s="215"/>
    </row>
    <row r="35" spans="2:17">
      <c r="E35" s="215"/>
      <c r="F35" s="215"/>
      <c r="G35" s="215"/>
      <c r="H35" s="215"/>
      <c r="I35" s="215"/>
      <c r="J35" s="215"/>
      <c r="K35" s="215"/>
      <c r="L35" s="215"/>
      <c r="M35" s="215"/>
      <c r="N35" s="215"/>
      <c r="O35" s="215"/>
      <c r="P35" s="215"/>
      <c r="Q35" s="215"/>
    </row>
    <row r="36" spans="2:17">
      <c r="E36" s="215"/>
      <c r="F36" s="215"/>
      <c r="G36" s="215"/>
      <c r="H36" s="215"/>
      <c r="I36" s="215"/>
      <c r="J36" s="215"/>
      <c r="K36" s="215"/>
      <c r="L36" s="215"/>
      <c r="M36" s="215"/>
      <c r="N36" s="215"/>
      <c r="O36" s="215"/>
      <c r="P36" s="215"/>
      <c r="Q36" s="215"/>
    </row>
    <row r="37" spans="2:17">
      <c r="E37" s="215"/>
      <c r="F37" s="215"/>
      <c r="G37" s="215"/>
      <c r="H37" s="215"/>
      <c r="I37" s="215"/>
      <c r="J37" s="215"/>
      <c r="K37" s="215"/>
      <c r="L37" s="215"/>
      <c r="M37" s="215"/>
      <c r="N37" s="215"/>
      <c r="O37" s="215"/>
      <c r="P37" s="215"/>
      <c r="Q37" s="215"/>
    </row>
    <row r="38" spans="2:17"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5"/>
      <c r="P38" s="215"/>
      <c r="Q38" s="215"/>
    </row>
    <row r="39" spans="2:17">
      <c r="E39" s="215"/>
      <c r="F39" s="215"/>
      <c r="G39" s="215"/>
      <c r="H39" s="215"/>
      <c r="I39" s="215"/>
      <c r="J39" s="215"/>
      <c r="K39" s="215"/>
      <c r="L39" s="215"/>
      <c r="M39" s="215"/>
      <c r="N39" s="215"/>
      <c r="O39" s="215"/>
      <c r="P39" s="215"/>
      <c r="Q39" s="215"/>
    </row>
    <row r="40" spans="2:17">
      <c r="E40" s="215"/>
      <c r="F40" s="215"/>
      <c r="G40" s="215"/>
      <c r="H40" s="215"/>
      <c r="I40" s="215"/>
      <c r="J40" s="215"/>
      <c r="K40" s="215"/>
      <c r="L40" s="215"/>
      <c r="M40" s="215"/>
      <c r="N40" s="215"/>
      <c r="O40" s="215"/>
      <c r="P40" s="215"/>
      <c r="Q40" s="215"/>
    </row>
    <row r="41" spans="2:17">
      <c r="E41" s="215"/>
      <c r="F41" s="215"/>
      <c r="G41" s="215"/>
      <c r="H41" s="215"/>
      <c r="I41" s="215"/>
      <c r="J41" s="215"/>
      <c r="K41" s="215"/>
      <c r="L41" s="215"/>
      <c r="M41" s="215"/>
      <c r="N41" s="215"/>
      <c r="O41" s="215"/>
      <c r="P41" s="215"/>
      <c r="Q41" s="215"/>
    </row>
    <row r="42" spans="2:17">
      <c r="B42" s="223"/>
      <c r="E42" s="215"/>
      <c r="F42" s="215"/>
      <c r="G42" s="215"/>
      <c r="H42" s="215"/>
      <c r="I42" s="215"/>
      <c r="J42" s="215"/>
      <c r="K42" s="215"/>
      <c r="L42" s="215"/>
      <c r="M42" s="215"/>
      <c r="N42" s="215"/>
      <c r="O42" s="215"/>
      <c r="P42" s="215"/>
      <c r="Q42" s="215"/>
    </row>
    <row r="43" spans="2:17">
      <c r="E43" s="215"/>
      <c r="F43" s="215"/>
      <c r="G43" s="215"/>
      <c r="H43" s="215"/>
      <c r="I43" s="215"/>
      <c r="J43" s="215"/>
      <c r="K43" s="215"/>
      <c r="L43" s="215"/>
      <c r="M43" s="215"/>
      <c r="N43" s="215"/>
      <c r="O43" s="215"/>
      <c r="P43" s="215"/>
      <c r="Q43" s="215"/>
    </row>
    <row r="51" spans="1:16">
      <c r="A51" s="43"/>
    </row>
    <row r="52" spans="1:16">
      <c r="A52" s="43"/>
    </row>
    <row r="53" spans="1:16">
      <c r="A53" s="43"/>
    </row>
    <row r="57" spans="1:16"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</row>
    <row r="59" spans="1:16">
      <c r="A59" s="18"/>
      <c r="E59" s="250"/>
      <c r="F59" s="250"/>
      <c r="G59" s="250"/>
      <c r="H59" s="250"/>
      <c r="I59" s="250"/>
      <c r="J59" s="250"/>
      <c r="K59" s="250"/>
      <c r="L59" s="250"/>
      <c r="M59" s="250"/>
      <c r="N59" s="250"/>
      <c r="O59" s="250"/>
      <c r="P59" s="250"/>
    </row>
    <row r="60" spans="1:16">
      <c r="A60" s="18"/>
      <c r="E60" s="214"/>
      <c r="F60" s="214"/>
      <c r="G60" s="214"/>
      <c r="H60" s="214"/>
      <c r="I60" s="214"/>
      <c r="J60" s="214"/>
      <c r="K60" s="214"/>
      <c r="L60" s="214"/>
      <c r="M60" s="214"/>
      <c r="N60" s="214"/>
      <c r="O60" s="214"/>
      <c r="P60" s="214"/>
    </row>
    <row r="61" spans="1:16">
      <c r="A61" s="18"/>
      <c r="E61" s="214"/>
      <c r="F61" s="214"/>
      <c r="G61" s="214"/>
      <c r="H61" s="214"/>
      <c r="I61" s="214"/>
      <c r="J61" s="214"/>
      <c r="K61" s="214"/>
      <c r="L61" s="214"/>
      <c r="M61" s="214"/>
      <c r="N61" s="214"/>
      <c r="O61" s="214"/>
      <c r="P61" s="214"/>
    </row>
    <row r="62" spans="1:16">
      <c r="A62" s="18"/>
      <c r="E62" s="214"/>
      <c r="F62" s="214"/>
      <c r="G62" s="214"/>
      <c r="H62" s="214"/>
      <c r="I62" s="214"/>
      <c r="J62" s="214"/>
      <c r="K62" s="214"/>
      <c r="L62" s="214"/>
      <c r="M62" s="214"/>
      <c r="N62" s="214"/>
      <c r="O62" s="214"/>
      <c r="P62" s="214"/>
    </row>
    <row r="63" spans="1:16">
      <c r="A63" s="18"/>
      <c r="E63" s="214"/>
      <c r="F63" s="214"/>
      <c r="G63" s="214"/>
      <c r="H63" s="214"/>
      <c r="I63" s="214"/>
      <c r="J63" s="214"/>
      <c r="K63" s="214"/>
      <c r="L63" s="214"/>
      <c r="M63" s="214"/>
      <c r="N63" s="214"/>
      <c r="O63" s="214"/>
      <c r="P63" s="214"/>
    </row>
    <row r="64" spans="1:16">
      <c r="A64" s="18"/>
      <c r="E64" s="214"/>
      <c r="F64" s="214"/>
      <c r="G64" s="214"/>
      <c r="H64" s="214"/>
      <c r="I64" s="214"/>
      <c r="J64" s="214"/>
      <c r="K64" s="214"/>
      <c r="L64" s="214"/>
      <c r="M64" s="214"/>
      <c r="N64" s="214"/>
      <c r="O64" s="214"/>
      <c r="P64" s="214"/>
    </row>
    <row r="65" spans="1:16">
      <c r="A65" s="18"/>
      <c r="E65" s="214"/>
      <c r="F65" s="214"/>
      <c r="G65" s="214"/>
      <c r="H65" s="214"/>
      <c r="I65" s="214"/>
      <c r="J65" s="214"/>
      <c r="K65" s="214"/>
      <c r="L65" s="214"/>
      <c r="M65" s="214"/>
      <c r="N65" s="214"/>
      <c r="O65" s="214"/>
      <c r="P65" s="214"/>
    </row>
    <row r="66" spans="1:16">
      <c r="A66" s="18"/>
      <c r="E66" s="214"/>
      <c r="F66" s="214"/>
      <c r="G66" s="214"/>
      <c r="H66" s="214"/>
      <c r="I66" s="214"/>
      <c r="J66" s="214"/>
      <c r="K66" s="214"/>
      <c r="L66" s="214"/>
      <c r="M66" s="214"/>
      <c r="N66" s="214"/>
      <c r="O66" s="214"/>
      <c r="P66" s="214"/>
    </row>
    <row r="67" spans="1:16">
      <c r="A67" s="18"/>
      <c r="E67" s="214"/>
      <c r="F67" s="214"/>
      <c r="G67" s="214"/>
      <c r="H67" s="214"/>
      <c r="I67" s="214"/>
      <c r="J67" s="214"/>
      <c r="K67" s="214"/>
      <c r="L67" s="214"/>
      <c r="M67" s="214"/>
      <c r="N67" s="214"/>
      <c r="O67" s="214"/>
      <c r="P67" s="214"/>
    </row>
    <row r="68" spans="1:16">
      <c r="A68" s="18"/>
      <c r="E68" s="214"/>
      <c r="F68" s="214"/>
      <c r="G68" s="214"/>
      <c r="H68" s="214"/>
      <c r="I68" s="214"/>
      <c r="J68" s="214"/>
      <c r="K68" s="214"/>
      <c r="L68" s="214"/>
      <c r="M68" s="214"/>
      <c r="N68" s="214"/>
      <c r="O68" s="214"/>
      <c r="P68" s="214"/>
    </row>
    <row r="69" spans="1:16">
      <c r="A69" s="18"/>
      <c r="E69" s="214"/>
      <c r="F69" s="214"/>
      <c r="G69" s="214"/>
      <c r="H69" s="214"/>
      <c r="I69" s="214"/>
      <c r="J69" s="214"/>
      <c r="K69" s="214"/>
      <c r="L69" s="214"/>
      <c r="M69" s="214"/>
      <c r="N69" s="214"/>
      <c r="O69" s="214"/>
      <c r="P69" s="214"/>
    </row>
    <row r="70" spans="1:16">
      <c r="A70" s="18"/>
      <c r="E70" s="214"/>
      <c r="F70" s="214"/>
      <c r="G70" s="214"/>
      <c r="H70" s="214"/>
      <c r="I70" s="214"/>
      <c r="J70" s="214"/>
      <c r="K70" s="214"/>
      <c r="L70" s="214"/>
      <c r="M70" s="214"/>
      <c r="N70" s="214"/>
      <c r="O70" s="214"/>
      <c r="P70" s="214"/>
    </row>
    <row r="71" spans="1:16">
      <c r="A71" s="18"/>
      <c r="E71" s="214"/>
      <c r="F71" s="214"/>
      <c r="G71" s="214"/>
      <c r="H71" s="214"/>
      <c r="I71" s="214"/>
      <c r="J71" s="214"/>
      <c r="K71" s="214"/>
      <c r="L71" s="214"/>
      <c r="M71" s="214"/>
      <c r="N71" s="214"/>
      <c r="O71" s="214"/>
      <c r="P71" s="214"/>
    </row>
    <row r="72" spans="1:16">
      <c r="A72" s="18"/>
      <c r="E72" s="214"/>
      <c r="F72" s="214"/>
      <c r="G72" s="214"/>
      <c r="H72" s="214"/>
      <c r="I72" s="214"/>
      <c r="J72" s="214"/>
      <c r="K72" s="214"/>
      <c r="L72" s="214"/>
      <c r="M72" s="214"/>
      <c r="N72" s="214"/>
      <c r="O72" s="214"/>
      <c r="P72" s="214"/>
    </row>
    <row r="73" spans="1:16">
      <c r="A73" s="18"/>
      <c r="E73" s="214"/>
      <c r="F73" s="214"/>
      <c r="G73" s="214"/>
      <c r="H73" s="214"/>
      <c r="I73" s="214"/>
      <c r="J73" s="214"/>
      <c r="K73" s="214"/>
      <c r="L73" s="214"/>
      <c r="M73" s="214"/>
      <c r="N73" s="214"/>
      <c r="O73" s="214"/>
      <c r="P73" s="214"/>
    </row>
    <row r="74" spans="1:16">
      <c r="A74" s="18"/>
      <c r="E74" s="214"/>
      <c r="F74" s="214"/>
      <c r="G74" s="214"/>
      <c r="H74" s="214"/>
      <c r="I74" s="214"/>
      <c r="J74" s="214"/>
      <c r="K74" s="214"/>
      <c r="L74" s="214"/>
      <c r="M74" s="214"/>
      <c r="N74" s="214"/>
      <c r="O74" s="214"/>
      <c r="P74" s="214"/>
    </row>
    <row r="75" spans="1:16">
      <c r="A75" s="18"/>
      <c r="E75" s="214"/>
      <c r="F75" s="214"/>
      <c r="G75" s="214"/>
      <c r="H75" s="214"/>
      <c r="I75" s="214"/>
      <c r="J75" s="214"/>
      <c r="K75" s="214"/>
      <c r="L75" s="214"/>
      <c r="M75" s="214"/>
      <c r="N75" s="214"/>
      <c r="O75" s="214"/>
      <c r="P75" s="214"/>
    </row>
    <row r="76" spans="1:16">
      <c r="A76" s="18"/>
      <c r="E76" s="214"/>
      <c r="F76" s="214"/>
      <c r="G76" s="214"/>
      <c r="H76" s="214"/>
      <c r="I76" s="214"/>
      <c r="J76" s="214"/>
      <c r="K76" s="214"/>
      <c r="L76" s="214"/>
      <c r="M76" s="214"/>
      <c r="N76" s="214"/>
      <c r="O76" s="214"/>
      <c r="P76" s="214"/>
    </row>
    <row r="77" spans="1:16">
      <c r="A77" s="18"/>
    </row>
    <row r="78" spans="1:16">
      <c r="A78" s="18"/>
      <c r="E78" s="214"/>
      <c r="F78" s="214"/>
      <c r="G78" s="214"/>
      <c r="H78" s="214"/>
      <c r="I78" s="214"/>
      <c r="J78" s="214"/>
      <c r="K78" s="214"/>
      <c r="L78" s="214"/>
      <c r="M78" s="214"/>
      <c r="N78" s="214"/>
      <c r="O78" s="214"/>
      <c r="P78" s="214"/>
    </row>
    <row r="79" spans="1:16">
      <c r="A79" s="18"/>
      <c r="E79" s="214"/>
      <c r="F79" s="214"/>
      <c r="G79" s="214"/>
      <c r="H79" s="214"/>
      <c r="I79" s="214"/>
      <c r="J79" s="214"/>
      <c r="K79" s="214"/>
      <c r="L79" s="214"/>
      <c r="M79" s="214"/>
      <c r="N79" s="214"/>
      <c r="O79" s="214"/>
      <c r="P79" s="214"/>
    </row>
    <row r="80" spans="1:16">
      <c r="A80" s="18"/>
      <c r="E80" s="214"/>
      <c r="F80" s="214"/>
      <c r="G80" s="214"/>
      <c r="H80" s="214"/>
      <c r="I80" s="214"/>
      <c r="J80" s="214"/>
      <c r="K80" s="214"/>
      <c r="L80" s="214"/>
      <c r="M80" s="214"/>
      <c r="N80" s="214"/>
      <c r="O80" s="214"/>
      <c r="P80" s="214"/>
    </row>
    <row r="81" spans="1:16">
      <c r="A81" s="18"/>
      <c r="E81" s="214"/>
      <c r="F81" s="214"/>
      <c r="G81" s="214"/>
      <c r="H81" s="214"/>
      <c r="I81" s="214"/>
      <c r="J81" s="214"/>
      <c r="K81" s="214"/>
      <c r="L81" s="214"/>
      <c r="M81" s="214"/>
      <c r="N81" s="214"/>
      <c r="O81" s="214"/>
      <c r="P81" s="214"/>
    </row>
    <row r="82" spans="1:16">
      <c r="A82" s="18"/>
    </row>
    <row r="83" spans="1:16">
      <c r="A83" s="18"/>
      <c r="E83" s="250"/>
      <c r="F83" s="250"/>
      <c r="G83" s="250"/>
      <c r="H83" s="250"/>
      <c r="I83" s="250"/>
      <c r="J83" s="250"/>
      <c r="K83" s="250"/>
      <c r="L83" s="250"/>
      <c r="M83" s="250"/>
      <c r="N83" s="250"/>
      <c r="O83" s="250"/>
      <c r="P83" s="250"/>
    </row>
    <row r="84" spans="1:16">
      <c r="A84" s="18"/>
    </row>
    <row r="85" spans="1:16">
      <c r="A85" s="18"/>
    </row>
    <row r="87" spans="1:16">
      <c r="A87" s="18"/>
      <c r="C87" s="17"/>
      <c r="D87" s="17"/>
    </row>
    <row r="88" spans="1:16">
      <c r="A88" s="18"/>
    </row>
  </sheetData>
  <mergeCells count="6">
    <mergeCell ref="A6:Q6"/>
    <mergeCell ref="A5:Q5"/>
    <mergeCell ref="A1:Q1"/>
    <mergeCell ref="A2:Q2"/>
    <mergeCell ref="A3:Q3"/>
    <mergeCell ref="A4:Q4"/>
  </mergeCells>
  <pageMargins left="0.25" right="0.25" top="1" bottom="0.25" header="0.25" footer="0.25"/>
  <pageSetup scale="50" orientation="landscape" horizontalDpi="4294967293" r:id="rId1"/>
  <headerFooter alignWithMargins="0">
    <oddHeader>&amp;RGroen Direct Exhibit 1.1, Schedule 27
Page 1 of 2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X32"/>
  <sheetViews>
    <sheetView view="pageLayout" topLeftCell="A2" zoomScaleNormal="85" workbookViewId="0">
      <selection activeCell="J30" sqref="J30"/>
    </sheetView>
  </sheetViews>
  <sheetFormatPr defaultColWidth="9.140625" defaultRowHeight="15.75"/>
  <cols>
    <col min="1" max="1" width="5.7109375" style="16" customWidth="1"/>
    <col min="2" max="2" width="5" style="16" customWidth="1"/>
    <col min="3" max="3" width="23.42578125" style="16" customWidth="1"/>
    <col min="4" max="5" width="10.5703125" style="16" bestFit="1" customWidth="1"/>
    <col min="6" max="6" width="15.85546875" style="16" bestFit="1" customWidth="1"/>
    <col min="7" max="7" width="14.140625" style="16" customWidth="1"/>
    <col min="8" max="8" width="15" style="16" bestFit="1" customWidth="1"/>
    <col min="9" max="16" width="14.140625" style="16" customWidth="1"/>
    <col min="17" max="17" width="12.7109375" style="16" customWidth="1"/>
    <col min="18" max="16384" width="9.140625" style="16"/>
  </cols>
  <sheetData>
    <row r="1" spans="1:20">
      <c r="A1" s="287" t="s">
        <v>787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</row>
    <row r="2" spans="1:20">
      <c r="A2" s="287" t="s">
        <v>791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</row>
    <row r="3" spans="1:20">
      <c r="A3" s="287" t="s">
        <v>792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  <c r="P3" s="287"/>
      <c r="Q3" s="287"/>
    </row>
    <row r="4" spans="1:20">
      <c r="A4" s="287" t="s">
        <v>785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</row>
    <row r="5" spans="1:20">
      <c r="A5" s="305" t="str">
        <f>'Sch 25 - WACC'!A5</f>
        <v>FOR THE YEAR ENDING DECEMBER 31, 2025</v>
      </c>
      <c r="B5" s="305"/>
      <c r="C5" s="305"/>
      <c r="D5" s="305"/>
      <c r="E5" s="305"/>
      <c r="F5" s="305"/>
      <c r="G5" s="305"/>
      <c r="H5" s="305"/>
      <c r="I5" s="305"/>
      <c r="J5" s="305"/>
      <c r="K5" s="305"/>
      <c r="L5" s="305"/>
      <c r="M5" s="305"/>
      <c r="N5" s="305"/>
      <c r="O5" s="305"/>
      <c r="P5" s="305"/>
      <c r="Q5" s="305"/>
    </row>
    <row r="6" spans="1:20">
      <c r="A6" s="289" t="s">
        <v>793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</row>
    <row r="7" spans="1:20">
      <c r="A7" s="2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</row>
    <row r="8" spans="1:20">
      <c r="C8" s="18" t="s">
        <v>50</v>
      </c>
      <c r="D8" s="18" t="s">
        <v>51</v>
      </c>
      <c r="E8" s="18" t="s">
        <v>51</v>
      </c>
      <c r="F8" s="18" t="s">
        <v>86</v>
      </c>
      <c r="G8" s="18" t="s">
        <v>87</v>
      </c>
      <c r="H8" s="18" t="s">
        <v>88</v>
      </c>
      <c r="I8" s="18" t="s">
        <v>89</v>
      </c>
      <c r="J8" s="18" t="s">
        <v>140</v>
      </c>
      <c r="K8" s="18" t="s">
        <v>141</v>
      </c>
      <c r="L8" s="18" t="s">
        <v>142</v>
      </c>
      <c r="M8" s="18" t="s">
        <v>143</v>
      </c>
      <c r="N8" s="18" t="s">
        <v>144</v>
      </c>
      <c r="O8" s="18" t="s">
        <v>145</v>
      </c>
      <c r="P8" s="18" t="s">
        <v>146</v>
      </c>
      <c r="Q8" s="18" t="s">
        <v>147</v>
      </c>
      <c r="R8" s="18"/>
      <c r="S8" s="18"/>
      <c r="T8" s="18"/>
    </row>
    <row r="9" spans="1:20"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205" t="s">
        <v>639</v>
      </c>
    </row>
    <row r="10" spans="1:20">
      <c r="C10" s="18"/>
      <c r="D10" s="211">
        <v>45627</v>
      </c>
      <c r="E10" s="211">
        <v>45658</v>
      </c>
      <c r="F10" s="211">
        <v>45689</v>
      </c>
      <c r="G10" s="211">
        <v>45717</v>
      </c>
      <c r="H10" s="211">
        <v>45748</v>
      </c>
      <c r="I10" s="211">
        <v>45778</v>
      </c>
      <c r="J10" s="211">
        <v>45809</v>
      </c>
      <c r="K10" s="211">
        <v>45839</v>
      </c>
      <c r="L10" s="211">
        <v>45870</v>
      </c>
      <c r="M10" s="211">
        <v>45901</v>
      </c>
      <c r="N10" s="211">
        <v>45931</v>
      </c>
      <c r="O10" s="211">
        <v>45962</v>
      </c>
      <c r="P10" s="211">
        <v>45992</v>
      </c>
      <c r="Q10" s="212" t="s">
        <v>499</v>
      </c>
    </row>
    <row r="11" spans="1:20">
      <c r="C11" s="18"/>
      <c r="D11" s="18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05"/>
    </row>
    <row r="12" spans="1:20">
      <c r="A12" s="18"/>
      <c r="C12" s="17"/>
      <c r="D12" s="17"/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4"/>
    </row>
    <row r="13" spans="1:20">
      <c r="A13" s="18"/>
      <c r="C13" s="43" t="s">
        <v>615</v>
      </c>
      <c r="D13" s="43"/>
      <c r="E13" s="214"/>
      <c r="F13" s="214"/>
      <c r="G13" s="214"/>
      <c r="H13" s="214"/>
      <c r="I13" s="214"/>
      <c r="J13" s="214"/>
      <c r="K13" s="214"/>
      <c r="L13" s="214"/>
      <c r="M13" s="214"/>
      <c r="N13" s="214"/>
      <c r="O13" s="214"/>
      <c r="P13" s="214"/>
      <c r="Q13" s="214"/>
    </row>
    <row r="14" spans="1:20">
      <c r="A14" s="18"/>
      <c r="E14" s="214"/>
      <c r="F14" s="214"/>
      <c r="G14" s="214"/>
      <c r="H14" s="214"/>
      <c r="I14" s="214"/>
      <c r="J14" s="214"/>
      <c r="K14" s="214"/>
      <c r="L14" s="214"/>
      <c r="M14" s="214"/>
      <c r="N14" s="214"/>
      <c r="O14" s="214"/>
      <c r="P14" s="214"/>
      <c r="Q14" s="214"/>
    </row>
    <row r="15" spans="1:20">
      <c r="A15" s="18"/>
      <c r="C15" s="206" t="s">
        <v>786</v>
      </c>
      <c r="D15" s="206"/>
      <c r="E15" s="214"/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</row>
    <row r="16" spans="1:20">
      <c r="A16" s="18">
        <v>1</v>
      </c>
      <c r="C16" s="16" t="s">
        <v>695</v>
      </c>
      <c r="D16" s="215">
        <v>-30814</v>
      </c>
      <c r="E16" s="215">
        <v>-27390</v>
      </c>
      <c r="F16" s="215">
        <v>-23966</v>
      </c>
      <c r="G16" s="215">
        <v>-20543</v>
      </c>
      <c r="H16" s="215">
        <v>-17119</v>
      </c>
      <c r="I16" s="215">
        <v>-13695</v>
      </c>
      <c r="J16" s="215">
        <v>-10271</v>
      </c>
      <c r="K16" s="215">
        <v>-6848</v>
      </c>
      <c r="L16" s="215">
        <v>-3424</v>
      </c>
      <c r="M16" s="215">
        <v>0</v>
      </c>
      <c r="N16" s="215">
        <v>0</v>
      </c>
      <c r="O16" s="215">
        <v>0</v>
      </c>
      <c r="P16" s="215">
        <v>0</v>
      </c>
      <c r="Q16" s="214">
        <f>(SUM(D16:P16)/13)</f>
        <v>-11851.538461538461</v>
      </c>
      <c r="R16" s="215"/>
    </row>
    <row r="17" spans="1:24">
      <c r="A17" s="18">
        <v>2</v>
      </c>
      <c r="C17" s="17" t="s">
        <v>695</v>
      </c>
      <c r="D17" s="215">
        <v>-2991</v>
      </c>
      <c r="E17" s="215">
        <v>-2659</v>
      </c>
      <c r="F17" s="215">
        <v>-2327</v>
      </c>
      <c r="G17" s="215">
        <v>-1994</v>
      </c>
      <c r="H17" s="215">
        <v>-1662</v>
      </c>
      <c r="I17" s="215">
        <v>-1330</v>
      </c>
      <c r="J17" s="215">
        <v>-997</v>
      </c>
      <c r="K17" s="215">
        <v>-665</v>
      </c>
      <c r="L17" s="215">
        <v>-332</v>
      </c>
      <c r="M17" s="215">
        <v>0</v>
      </c>
      <c r="N17" s="215">
        <v>0</v>
      </c>
      <c r="O17" s="215">
        <v>0</v>
      </c>
      <c r="P17" s="215">
        <v>0</v>
      </c>
      <c r="Q17" s="214">
        <f>(SUM(D17:P17)/13)</f>
        <v>-1150.5384615384614</v>
      </c>
      <c r="R17" s="215"/>
      <c r="S17" s="39"/>
      <c r="T17" s="39"/>
      <c r="U17" s="39"/>
      <c r="V17" s="39"/>
      <c r="W17" s="39"/>
      <c r="X17" s="39"/>
    </row>
    <row r="18" spans="1:24" ht="18">
      <c r="A18" s="18">
        <v>3</v>
      </c>
      <c r="C18" s="17" t="s">
        <v>695</v>
      </c>
      <c r="D18" s="216">
        <v>-132</v>
      </c>
      <c r="E18" s="216">
        <v>-118</v>
      </c>
      <c r="F18" s="216">
        <v>-103</v>
      </c>
      <c r="G18" s="216">
        <v>-88</v>
      </c>
      <c r="H18" s="216">
        <v>-73</v>
      </c>
      <c r="I18" s="216">
        <v>-59</v>
      </c>
      <c r="J18" s="216">
        <v>-44</v>
      </c>
      <c r="K18" s="216">
        <v>-29</v>
      </c>
      <c r="L18" s="216">
        <v>-15</v>
      </c>
      <c r="M18" s="216">
        <v>0</v>
      </c>
      <c r="N18" s="216">
        <v>0</v>
      </c>
      <c r="O18" s="216">
        <v>0</v>
      </c>
      <c r="P18" s="216">
        <v>0</v>
      </c>
      <c r="Q18" s="217">
        <f>(SUM(D18:P18)/13)</f>
        <v>-50.846153846153847</v>
      </c>
      <c r="R18" s="215"/>
    </row>
    <row r="19" spans="1:24">
      <c r="A19" s="18">
        <v>4</v>
      </c>
      <c r="D19" s="214">
        <f t="shared" ref="D19:Q19" si="0">SUM(D16:D18)</f>
        <v>-33937</v>
      </c>
      <c r="E19" s="214">
        <f t="shared" si="0"/>
        <v>-30167</v>
      </c>
      <c r="F19" s="214">
        <f t="shared" si="0"/>
        <v>-26396</v>
      </c>
      <c r="G19" s="214">
        <f t="shared" si="0"/>
        <v>-22625</v>
      </c>
      <c r="H19" s="214">
        <f t="shared" si="0"/>
        <v>-18854</v>
      </c>
      <c r="I19" s="214">
        <f t="shared" si="0"/>
        <v>-15084</v>
      </c>
      <c r="J19" s="214">
        <f t="shared" si="0"/>
        <v>-11312</v>
      </c>
      <c r="K19" s="214">
        <f t="shared" si="0"/>
        <v>-7542</v>
      </c>
      <c r="L19" s="214">
        <f t="shared" si="0"/>
        <v>-3771</v>
      </c>
      <c r="M19" s="214">
        <f t="shared" si="0"/>
        <v>0</v>
      </c>
      <c r="N19" s="214">
        <f t="shared" si="0"/>
        <v>0</v>
      </c>
      <c r="O19" s="214">
        <f t="shared" si="0"/>
        <v>0</v>
      </c>
      <c r="P19" s="214">
        <f t="shared" si="0"/>
        <v>0</v>
      </c>
      <c r="Q19" s="214">
        <f t="shared" si="0"/>
        <v>-13052.923076923076</v>
      </c>
    </row>
    <row r="20" spans="1:24">
      <c r="A20" s="18"/>
    </row>
    <row r="21" spans="1:24">
      <c r="A21" s="18"/>
    </row>
    <row r="22" spans="1:24">
      <c r="A22" s="18">
        <v>5</v>
      </c>
      <c r="C22" s="16" t="s">
        <v>77</v>
      </c>
      <c r="D22" s="214">
        <f>D19</f>
        <v>-33937</v>
      </c>
      <c r="E22" s="214">
        <f>E19</f>
        <v>-30167</v>
      </c>
      <c r="F22" s="214">
        <f t="shared" ref="F22:Q22" si="1">F19</f>
        <v>-26396</v>
      </c>
      <c r="G22" s="214">
        <f t="shared" si="1"/>
        <v>-22625</v>
      </c>
      <c r="H22" s="214">
        <f t="shared" si="1"/>
        <v>-18854</v>
      </c>
      <c r="I22" s="214">
        <f t="shared" si="1"/>
        <v>-15084</v>
      </c>
      <c r="J22" s="214">
        <f t="shared" si="1"/>
        <v>-11312</v>
      </c>
      <c r="K22" s="214">
        <f t="shared" si="1"/>
        <v>-7542</v>
      </c>
      <c r="L22" s="214">
        <f t="shared" si="1"/>
        <v>-3771</v>
      </c>
      <c r="M22" s="214">
        <f t="shared" si="1"/>
        <v>0</v>
      </c>
      <c r="N22" s="214">
        <f t="shared" si="1"/>
        <v>0</v>
      </c>
      <c r="O22" s="214">
        <f t="shared" si="1"/>
        <v>0</v>
      </c>
      <c r="P22" s="214">
        <f t="shared" si="1"/>
        <v>0</v>
      </c>
      <c r="Q22" s="214">
        <f t="shared" si="1"/>
        <v>-13052.923076923076</v>
      </c>
    </row>
    <row r="23" spans="1:24">
      <c r="A23" s="18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</row>
    <row r="24" spans="1:24">
      <c r="A24" s="18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</row>
    <row r="25" spans="1:24">
      <c r="Q25" s="218"/>
    </row>
    <row r="26" spans="1:24">
      <c r="B26" s="219"/>
      <c r="Q26" s="214"/>
    </row>
    <row r="27" spans="1:24">
      <c r="B27" s="219"/>
    </row>
    <row r="28" spans="1:24">
      <c r="B28" s="219"/>
    </row>
    <row r="29" spans="1:24">
      <c r="B29" s="219"/>
    </row>
    <row r="30" spans="1:24">
      <c r="B30" s="219"/>
    </row>
    <row r="31" spans="1:24">
      <c r="B31" s="219"/>
    </row>
    <row r="32" spans="1:24">
      <c r="B32" s="219"/>
    </row>
  </sheetData>
  <mergeCells count="6">
    <mergeCell ref="A6:Q6"/>
    <mergeCell ref="A5:Q5"/>
    <mergeCell ref="A1:Q1"/>
    <mergeCell ref="A2:Q2"/>
    <mergeCell ref="A3:Q3"/>
    <mergeCell ref="A4:Q4"/>
  </mergeCells>
  <pageMargins left="0.2" right="0.2" top="0.75" bottom="0.75" header="0.3" footer="0.3"/>
  <pageSetup scale="61" orientation="landscape" r:id="rId1"/>
  <headerFooter>
    <oddHeader>&amp;RGroen Direct Exhibit 1.1, Schedule 27
Page 2 of 2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25"/>
  <sheetViews>
    <sheetView view="pageLayout" zoomScaleNormal="100" workbookViewId="0">
      <selection activeCell="H6" sqref="H6"/>
    </sheetView>
  </sheetViews>
  <sheetFormatPr defaultColWidth="8.85546875" defaultRowHeight="15.75"/>
  <cols>
    <col min="1" max="1" width="4.5703125" style="16" customWidth="1"/>
    <col min="2" max="2" width="0.85546875" style="16" customWidth="1"/>
    <col min="3" max="3" width="43.5703125" style="16" customWidth="1"/>
    <col min="4" max="4" width="0.85546875" style="16" customWidth="1"/>
    <col min="5" max="5" width="14" style="16" bestFit="1" customWidth="1"/>
    <col min="6" max="8" width="8.85546875" style="16"/>
    <col min="9" max="9" width="4.42578125" style="16" customWidth="1"/>
    <col min="10" max="16384" width="8.85546875" style="16"/>
  </cols>
  <sheetData>
    <row r="1" spans="1:9">
      <c r="A1" s="287" t="s">
        <v>787</v>
      </c>
      <c r="B1" s="287"/>
      <c r="C1" s="287"/>
      <c r="D1" s="287"/>
      <c r="E1" s="287"/>
      <c r="H1" s="44" t="s">
        <v>178</v>
      </c>
      <c r="I1" s="16">
        <v>4</v>
      </c>
    </row>
    <row r="2" spans="1:9">
      <c r="A2" s="287" t="s">
        <v>791</v>
      </c>
      <c r="B2" s="287"/>
      <c r="C2" s="287"/>
      <c r="D2" s="287"/>
      <c r="E2" s="287"/>
      <c r="H2" s="44"/>
    </row>
    <row r="3" spans="1:9">
      <c r="A3" s="287" t="s">
        <v>792</v>
      </c>
      <c r="B3" s="287"/>
      <c r="C3" s="287"/>
      <c r="D3" s="287"/>
      <c r="E3" s="287"/>
      <c r="H3" s="44"/>
    </row>
    <row r="4" spans="1:9">
      <c r="A4" s="287" t="s">
        <v>112</v>
      </c>
      <c r="B4" s="287"/>
      <c r="C4" s="287"/>
      <c r="D4" s="287"/>
      <c r="E4" s="287"/>
    </row>
    <row r="5" spans="1:9">
      <c r="A5" s="287" t="s">
        <v>179</v>
      </c>
      <c r="B5" s="287"/>
      <c r="C5" s="287"/>
      <c r="D5" s="287"/>
      <c r="E5" s="287"/>
    </row>
    <row r="6" spans="1:9">
      <c r="A6" s="287" t="str">
        <f>'Sch 1 - RevReq'!A5</f>
        <v>FOR THE YEAR ENDING DECEMBER 31, 2025</v>
      </c>
      <c r="B6" s="287"/>
      <c r="C6" s="287"/>
      <c r="D6" s="287"/>
      <c r="E6" s="287"/>
    </row>
    <row r="7" spans="1:9">
      <c r="A7" s="287" t="s">
        <v>793</v>
      </c>
      <c r="B7" s="287"/>
      <c r="C7" s="287"/>
      <c r="D7" s="287"/>
      <c r="E7" s="287"/>
    </row>
    <row r="9" spans="1:9" ht="47.25">
      <c r="A9" s="279" t="s">
        <v>876</v>
      </c>
      <c r="C9" s="21" t="s">
        <v>3</v>
      </c>
      <c r="E9" s="20" t="s">
        <v>77</v>
      </c>
    </row>
    <row r="10" spans="1:9">
      <c r="C10" s="18" t="s">
        <v>50</v>
      </c>
      <c r="E10" s="18" t="s">
        <v>51</v>
      </c>
    </row>
    <row r="12" spans="1:9">
      <c r="A12" s="26">
        <v>1</v>
      </c>
      <c r="C12" s="16" t="s">
        <v>180</v>
      </c>
    </row>
    <row r="14" spans="1:9">
      <c r="A14" s="26">
        <f>+A12+1</f>
        <v>2</v>
      </c>
      <c r="C14" s="16" t="s">
        <v>181</v>
      </c>
    </row>
    <row r="15" spans="1:9">
      <c r="A15" s="26">
        <f>+A14:B14+1</f>
        <v>3</v>
      </c>
      <c r="C15" s="16" t="s">
        <v>182</v>
      </c>
      <c r="E15" s="40">
        <f>'Sch 4 WP pg. 1 - Int Sync'!E30</f>
        <v>-62186.798858234826</v>
      </c>
    </row>
    <row r="18" spans="1:9">
      <c r="C18" s="16" t="s">
        <v>104</v>
      </c>
    </row>
    <row r="19" spans="1:9">
      <c r="C19" s="16" t="s">
        <v>854</v>
      </c>
    </row>
    <row r="21" spans="1:9">
      <c r="A21" s="287" t="str">
        <f>+A$1</f>
        <v>MIDAMERICAN ENERGY COMPANY</v>
      </c>
      <c r="B21" s="287"/>
      <c r="C21" s="287"/>
      <c r="D21" s="287"/>
      <c r="E21" s="287"/>
      <c r="H21" s="44" t="s">
        <v>178</v>
      </c>
      <c r="I21" s="16">
        <f>I1+1</f>
        <v>5</v>
      </c>
    </row>
    <row r="22" spans="1:9">
      <c r="A22" s="287" t="str">
        <f>+A$2</f>
        <v>2026 SOUTH DAKOTA GAS RATE CASE</v>
      </c>
      <c r="B22" s="287"/>
      <c r="C22" s="287"/>
      <c r="D22" s="287"/>
      <c r="E22" s="287"/>
    </row>
    <row r="23" spans="1:9">
      <c r="A23" s="287" t="s">
        <v>790</v>
      </c>
      <c r="B23" s="287"/>
      <c r="C23" s="287"/>
      <c r="D23" s="287"/>
      <c r="E23" s="287"/>
    </row>
    <row r="24" spans="1:9">
      <c r="A24" s="287" t="str">
        <f>+A$4</f>
        <v>South Dakota Gas Operating Income Statement</v>
      </c>
      <c r="B24" s="287"/>
      <c r="C24" s="287"/>
      <c r="D24" s="287"/>
      <c r="E24" s="287"/>
    </row>
    <row r="25" spans="1:9">
      <c r="A25" s="287" t="s">
        <v>183</v>
      </c>
      <c r="B25" s="287"/>
      <c r="C25" s="287"/>
      <c r="D25" s="287"/>
      <c r="E25" s="287"/>
    </row>
    <row r="26" spans="1:9">
      <c r="A26" s="287" t="str">
        <f>+A$6</f>
        <v>FOR THE YEAR ENDING DECEMBER 31, 2025</v>
      </c>
      <c r="B26" s="287"/>
      <c r="C26" s="287"/>
      <c r="D26" s="287"/>
      <c r="E26" s="287"/>
    </row>
    <row r="27" spans="1:9">
      <c r="A27" s="287" t="s">
        <v>793</v>
      </c>
      <c r="B27" s="287"/>
      <c r="C27" s="287"/>
      <c r="D27" s="287"/>
      <c r="E27" s="287"/>
    </row>
    <row r="29" spans="1:9">
      <c r="A29" s="20" t="s">
        <v>2</v>
      </c>
      <c r="C29" s="21" t="s">
        <v>3</v>
      </c>
      <c r="E29" s="20" t="s">
        <v>77</v>
      </c>
    </row>
    <row r="30" spans="1:9">
      <c r="C30" s="18" t="s">
        <v>50</v>
      </c>
      <c r="E30" s="18" t="s">
        <v>51</v>
      </c>
    </row>
    <row r="32" spans="1:9">
      <c r="A32" s="26">
        <v>1</v>
      </c>
      <c r="C32" s="16" t="s">
        <v>180</v>
      </c>
    </row>
    <row r="33" spans="1:9">
      <c r="A33" s="26">
        <f>+A32+1</f>
        <v>2</v>
      </c>
      <c r="C33" s="16" t="s">
        <v>184</v>
      </c>
    </row>
    <row r="34" spans="1:9">
      <c r="A34" s="26">
        <f>+A33+1</f>
        <v>3</v>
      </c>
      <c r="C34" s="16" t="s">
        <v>185</v>
      </c>
      <c r="E34" s="40">
        <f>+'Sch 5 WP pg. 1 - Payroll Adj'!F48+'Sch 5 WP pg. 1 - Payroll Adj'!F51</f>
        <v>158394.31413828424</v>
      </c>
    </row>
    <row r="36" spans="1:9">
      <c r="A36" s="26">
        <f>+A34+1</f>
        <v>4</v>
      </c>
      <c r="C36" s="16" t="s">
        <v>186</v>
      </c>
    </row>
    <row r="37" spans="1:9">
      <c r="A37" s="26">
        <f>+A36+1</f>
        <v>5</v>
      </c>
      <c r="C37" s="16" t="s">
        <v>187</v>
      </c>
      <c r="E37" s="40">
        <f>+'Sch 5 WP pg. 1 - Payroll Adj'!F57</f>
        <v>13551.801806994546</v>
      </c>
    </row>
    <row r="39" spans="1:9">
      <c r="A39" s="26">
        <f>+A37+1</f>
        <v>6</v>
      </c>
      <c r="C39" s="16" t="s">
        <v>188</v>
      </c>
      <c r="E39" s="40">
        <f>ROUND((-E34-E37)*0.21,0)</f>
        <v>-36109</v>
      </c>
    </row>
    <row r="42" spans="1:9">
      <c r="C42" s="16" t="s">
        <v>104</v>
      </c>
    </row>
    <row r="43" spans="1:9">
      <c r="C43" s="16" t="s">
        <v>855</v>
      </c>
    </row>
    <row r="44" spans="1:9">
      <c r="C44" s="16" t="s">
        <v>856</v>
      </c>
    </row>
    <row r="45" spans="1:9">
      <c r="C45" s="16" t="s">
        <v>189</v>
      </c>
    </row>
    <row r="47" spans="1:9">
      <c r="A47" s="287" t="str">
        <f>+A$1</f>
        <v>MIDAMERICAN ENERGY COMPANY</v>
      </c>
      <c r="B47" s="287"/>
      <c r="C47" s="287"/>
      <c r="D47" s="287"/>
      <c r="E47" s="287"/>
      <c r="H47" s="44" t="s">
        <v>178</v>
      </c>
      <c r="I47" s="16">
        <f>I21+1</f>
        <v>6</v>
      </c>
    </row>
    <row r="48" spans="1:9">
      <c r="A48" s="287" t="str">
        <f>+A$2</f>
        <v>2026 SOUTH DAKOTA GAS RATE CASE</v>
      </c>
      <c r="B48" s="287"/>
      <c r="C48" s="287"/>
      <c r="D48" s="287"/>
      <c r="E48" s="287"/>
    </row>
    <row r="49" spans="1:5">
      <c r="A49" s="287" t="s">
        <v>790</v>
      </c>
      <c r="B49" s="287"/>
      <c r="C49" s="287"/>
      <c r="D49" s="287"/>
      <c r="E49" s="287"/>
    </row>
    <row r="50" spans="1:5">
      <c r="A50" s="287" t="str">
        <f>+A$4</f>
        <v>South Dakota Gas Operating Income Statement</v>
      </c>
      <c r="B50" s="287"/>
      <c r="C50" s="287"/>
      <c r="D50" s="287"/>
      <c r="E50" s="287"/>
    </row>
    <row r="51" spans="1:5">
      <c r="A51" s="287" t="s">
        <v>190</v>
      </c>
      <c r="B51" s="287"/>
      <c r="C51" s="287"/>
      <c r="D51" s="287"/>
      <c r="E51" s="287"/>
    </row>
    <row r="52" spans="1:5">
      <c r="A52" s="287" t="str">
        <f>+A$6</f>
        <v>FOR THE YEAR ENDING DECEMBER 31, 2025</v>
      </c>
      <c r="B52" s="287"/>
      <c r="C52" s="287"/>
      <c r="D52" s="287"/>
      <c r="E52" s="287"/>
    </row>
    <row r="53" spans="1:5">
      <c r="A53" s="287" t="s">
        <v>793</v>
      </c>
      <c r="B53" s="287"/>
      <c r="C53" s="287"/>
      <c r="D53" s="287"/>
      <c r="E53" s="287"/>
    </row>
    <row r="55" spans="1:5">
      <c r="A55" s="20" t="s">
        <v>2</v>
      </c>
      <c r="C55" s="21" t="s">
        <v>3</v>
      </c>
      <c r="E55" s="20" t="s">
        <v>77</v>
      </c>
    </row>
    <row r="56" spans="1:5">
      <c r="C56" s="18" t="s">
        <v>50</v>
      </c>
      <c r="E56" s="18" t="s">
        <v>51</v>
      </c>
    </row>
    <row r="58" spans="1:5">
      <c r="A58" s="26">
        <v>1</v>
      </c>
      <c r="C58" s="16" t="s">
        <v>191</v>
      </c>
    </row>
    <row r="59" spans="1:5">
      <c r="A59" s="26">
        <f>+A58+1</f>
        <v>2</v>
      </c>
      <c r="C59" s="16" t="s">
        <v>192</v>
      </c>
    </row>
    <row r="60" spans="1:5">
      <c r="A60" s="26">
        <f>+A59+1</f>
        <v>3</v>
      </c>
      <c r="C60" s="16" t="s">
        <v>193</v>
      </c>
      <c r="E60" s="40">
        <f>'Sch 6 WP pg. 1 - Weather'!E19</f>
        <v>741366</v>
      </c>
    </row>
    <row r="61" spans="1:5">
      <c r="E61" s="39"/>
    </row>
    <row r="62" spans="1:5">
      <c r="A62" s="26">
        <f>+A60+1</f>
        <v>4</v>
      </c>
      <c r="C62" s="16" t="s">
        <v>188</v>
      </c>
      <c r="E62" s="40">
        <f>ROUND(+E60*0.21,0)</f>
        <v>155687</v>
      </c>
    </row>
    <row r="65" spans="1:9">
      <c r="C65" s="16" t="s">
        <v>104</v>
      </c>
    </row>
    <row r="66" spans="1:9">
      <c r="C66" s="16" t="s">
        <v>857</v>
      </c>
    </row>
    <row r="67" spans="1:9">
      <c r="C67" s="16" t="s">
        <v>194</v>
      </c>
    </row>
    <row r="69" spans="1:9">
      <c r="A69" s="287" t="str">
        <f>+A$1</f>
        <v>MIDAMERICAN ENERGY COMPANY</v>
      </c>
      <c r="B69" s="287"/>
      <c r="C69" s="287"/>
      <c r="D69" s="287"/>
      <c r="E69" s="287"/>
      <c r="H69" s="44" t="s">
        <v>178</v>
      </c>
      <c r="I69" s="16">
        <f>I47+1</f>
        <v>7</v>
      </c>
    </row>
    <row r="70" spans="1:9">
      <c r="A70" s="287" t="str">
        <f>+A$2</f>
        <v>2026 SOUTH DAKOTA GAS RATE CASE</v>
      </c>
      <c r="B70" s="287"/>
      <c r="C70" s="287"/>
      <c r="D70" s="287"/>
      <c r="E70" s="287"/>
    </row>
    <row r="71" spans="1:9">
      <c r="A71" s="287" t="s">
        <v>790</v>
      </c>
      <c r="B71" s="287"/>
      <c r="C71" s="287"/>
      <c r="D71" s="287"/>
      <c r="E71" s="287"/>
    </row>
    <row r="72" spans="1:9">
      <c r="A72" s="287" t="str">
        <f>+A$4</f>
        <v>South Dakota Gas Operating Income Statement</v>
      </c>
      <c r="B72" s="287"/>
      <c r="C72" s="287"/>
      <c r="D72" s="287"/>
      <c r="E72" s="287"/>
    </row>
    <row r="73" spans="1:9">
      <c r="A73" s="287" t="s">
        <v>195</v>
      </c>
      <c r="B73" s="287"/>
      <c r="C73" s="287"/>
      <c r="D73" s="287"/>
      <c r="E73" s="287"/>
    </row>
    <row r="74" spans="1:9">
      <c r="A74" s="287" t="str">
        <f>+A$6</f>
        <v>FOR THE YEAR ENDING DECEMBER 31, 2025</v>
      </c>
      <c r="B74" s="287"/>
      <c r="C74" s="287"/>
      <c r="D74" s="287"/>
      <c r="E74" s="287"/>
    </row>
    <row r="75" spans="1:9">
      <c r="A75" s="287" t="s">
        <v>793</v>
      </c>
      <c r="B75" s="287"/>
      <c r="C75" s="287"/>
      <c r="D75" s="287"/>
      <c r="E75" s="287"/>
    </row>
    <row r="77" spans="1:9">
      <c r="A77" s="20" t="s">
        <v>2</v>
      </c>
      <c r="C77" s="21" t="s">
        <v>3</v>
      </c>
      <c r="E77" s="20" t="s">
        <v>77</v>
      </c>
    </row>
    <row r="78" spans="1:9">
      <c r="C78" s="18" t="s">
        <v>50</v>
      </c>
      <c r="E78" s="18" t="s">
        <v>51</v>
      </c>
    </row>
    <row r="80" spans="1:9">
      <c r="A80" s="26">
        <v>1</v>
      </c>
      <c r="C80" s="16" t="s">
        <v>180</v>
      </c>
    </row>
    <row r="81" spans="1:9">
      <c r="A81" s="26">
        <f>+A80+1</f>
        <v>2</v>
      </c>
      <c r="C81" s="16" t="s">
        <v>184</v>
      </c>
    </row>
    <row r="82" spans="1:9">
      <c r="A82" s="26">
        <f>+A81+1</f>
        <v>3</v>
      </c>
      <c r="C82" s="16" t="s">
        <v>196</v>
      </c>
      <c r="E82" s="40">
        <f>'Sch 7 WP pg. 1 - Pension Costs'!F27</f>
        <v>6156.08480129075</v>
      </c>
    </row>
    <row r="84" spans="1:9">
      <c r="A84" s="26">
        <f>A82+1</f>
        <v>4</v>
      </c>
      <c r="C84" s="16" t="s">
        <v>188</v>
      </c>
      <c r="E84" s="40">
        <f>ROUND((-E82)*0.21,0)</f>
        <v>-1293</v>
      </c>
    </row>
    <row r="87" spans="1:9">
      <c r="C87" s="16" t="s">
        <v>104</v>
      </c>
    </row>
    <row r="88" spans="1:9">
      <c r="C88" s="16" t="s">
        <v>858</v>
      </c>
    </row>
    <row r="89" spans="1:9">
      <c r="C89" s="16" t="s">
        <v>197</v>
      </c>
    </row>
    <row r="91" spans="1:9">
      <c r="A91" s="287" t="str">
        <f>+A$1</f>
        <v>MIDAMERICAN ENERGY COMPANY</v>
      </c>
      <c r="B91" s="287"/>
      <c r="C91" s="287"/>
      <c r="D91" s="287"/>
      <c r="E91" s="287"/>
      <c r="H91" s="44" t="s">
        <v>178</v>
      </c>
      <c r="I91" s="16">
        <f>I69+1</f>
        <v>8</v>
      </c>
    </row>
    <row r="92" spans="1:9">
      <c r="A92" s="287" t="str">
        <f>+A$2</f>
        <v>2026 SOUTH DAKOTA GAS RATE CASE</v>
      </c>
      <c r="B92" s="287"/>
      <c r="C92" s="287"/>
      <c r="D92" s="287"/>
      <c r="E92" s="287"/>
    </row>
    <row r="93" spans="1:9">
      <c r="A93" s="287" t="s">
        <v>790</v>
      </c>
      <c r="B93" s="287"/>
      <c r="C93" s="287"/>
      <c r="D93" s="287"/>
      <c r="E93" s="287"/>
    </row>
    <row r="94" spans="1:9">
      <c r="A94" s="287" t="str">
        <f>+A$4</f>
        <v>South Dakota Gas Operating Income Statement</v>
      </c>
      <c r="B94" s="287"/>
      <c r="C94" s="287"/>
      <c r="D94" s="287"/>
      <c r="E94" s="287"/>
    </row>
    <row r="95" spans="1:9">
      <c r="A95" s="287" t="s">
        <v>198</v>
      </c>
      <c r="B95" s="287"/>
      <c r="C95" s="287"/>
      <c r="D95" s="287"/>
      <c r="E95" s="287"/>
    </row>
    <row r="96" spans="1:9">
      <c r="A96" s="287" t="str">
        <f>+A$6</f>
        <v>FOR THE YEAR ENDING DECEMBER 31, 2025</v>
      </c>
      <c r="B96" s="287"/>
      <c r="C96" s="287"/>
      <c r="D96" s="287"/>
      <c r="E96" s="287"/>
    </row>
    <row r="97" spans="1:5">
      <c r="A97" s="287" t="s">
        <v>793</v>
      </c>
      <c r="B97" s="287"/>
      <c r="C97" s="287"/>
      <c r="D97" s="287"/>
      <c r="E97" s="287"/>
    </row>
    <row r="99" spans="1:5">
      <c r="A99" s="20" t="s">
        <v>2</v>
      </c>
      <c r="C99" s="21" t="s">
        <v>3</v>
      </c>
      <c r="E99" s="20" t="s">
        <v>77</v>
      </c>
    </row>
    <row r="100" spans="1:5">
      <c r="C100" s="18" t="s">
        <v>50</v>
      </c>
      <c r="E100" s="18" t="s">
        <v>51</v>
      </c>
    </row>
    <row r="102" spans="1:5">
      <c r="A102" s="26">
        <v>1</v>
      </c>
      <c r="C102" s="16" t="s">
        <v>180</v>
      </c>
    </row>
    <row r="103" spans="1:5">
      <c r="A103" s="26">
        <f>+A102+1</f>
        <v>2</v>
      </c>
      <c r="C103" s="16" t="s">
        <v>199</v>
      </c>
    </row>
    <row r="104" spans="1:5">
      <c r="A104" s="26">
        <f>+A103+1</f>
        <v>3</v>
      </c>
      <c r="C104" s="16" t="s">
        <v>200</v>
      </c>
      <c r="E104" s="40">
        <f>'Sch 8 WP pg. 1 - Dep Exp'!E24</f>
        <v>1263901</v>
      </c>
    </row>
    <row r="106" spans="1:5">
      <c r="A106" s="26">
        <f>A104+1</f>
        <v>4</v>
      </c>
      <c r="C106" s="16" t="s">
        <v>188</v>
      </c>
      <c r="E106" s="40">
        <f>ROUND((-E104)*0.21,0)</f>
        <v>-265419</v>
      </c>
    </row>
    <row r="109" spans="1:5">
      <c r="C109" s="16" t="s">
        <v>104</v>
      </c>
    </row>
    <row r="110" spans="1:5">
      <c r="C110" s="16" t="s">
        <v>859</v>
      </c>
    </row>
    <row r="111" spans="1:5">
      <c r="C111" s="16" t="s">
        <v>197</v>
      </c>
    </row>
    <row r="113" spans="1:9">
      <c r="A113" s="287" t="str">
        <f>+A$1</f>
        <v>MIDAMERICAN ENERGY COMPANY</v>
      </c>
      <c r="B113" s="287"/>
      <c r="C113" s="287"/>
      <c r="D113" s="287"/>
      <c r="E113" s="287"/>
      <c r="H113" s="44" t="s">
        <v>178</v>
      </c>
      <c r="I113" s="16">
        <f>I91+1</f>
        <v>9</v>
      </c>
    </row>
    <row r="114" spans="1:9">
      <c r="A114" s="287" t="str">
        <f>+A$2</f>
        <v>2026 SOUTH DAKOTA GAS RATE CASE</v>
      </c>
      <c r="B114" s="287"/>
      <c r="C114" s="287"/>
      <c r="D114" s="287"/>
      <c r="E114" s="287"/>
    </row>
    <row r="115" spans="1:9">
      <c r="A115" s="287" t="s">
        <v>790</v>
      </c>
      <c r="B115" s="287"/>
      <c r="C115" s="287"/>
      <c r="D115" s="287"/>
      <c r="E115" s="287"/>
    </row>
    <row r="116" spans="1:9">
      <c r="A116" s="287" t="str">
        <f>+A$4</f>
        <v>South Dakota Gas Operating Income Statement</v>
      </c>
      <c r="B116" s="287"/>
      <c r="C116" s="287"/>
      <c r="D116" s="287"/>
      <c r="E116" s="287"/>
    </row>
    <row r="117" spans="1:9">
      <c r="A117" s="287" t="s">
        <v>201</v>
      </c>
      <c r="B117" s="287"/>
      <c r="C117" s="287"/>
      <c r="D117" s="287"/>
      <c r="E117" s="287"/>
    </row>
    <row r="118" spans="1:9">
      <c r="A118" s="287" t="str">
        <f>+A$6</f>
        <v>FOR THE YEAR ENDING DECEMBER 31, 2025</v>
      </c>
      <c r="B118" s="287"/>
      <c r="C118" s="287"/>
      <c r="D118" s="287"/>
      <c r="E118" s="287"/>
    </row>
    <row r="119" spans="1:9">
      <c r="A119" s="287" t="s">
        <v>793</v>
      </c>
      <c r="B119" s="287"/>
      <c r="C119" s="287"/>
      <c r="D119" s="287"/>
      <c r="E119" s="287"/>
    </row>
    <row r="121" spans="1:9">
      <c r="A121" s="20" t="s">
        <v>2</v>
      </c>
      <c r="C121" s="21" t="s">
        <v>3</v>
      </c>
      <c r="E121" s="20" t="s">
        <v>77</v>
      </c>
    </row>
    <row r="122" spans="1:9">
      <c r="C122" s="18" t="s">
        <v>50</v>
      </c>
      <c r="E122" s="18" t="s">
        <v>51</v>
      </c>
    </row>
    <row r="123" spans="1:9">
      <c r="A123" s="26"/>
    </row>
    <row r="124" spans="1:9">
      <c r="A124" s="26">
        <v>1</v>
      </c>
      <c r="C124" s="16" t="s">
        <v>191</v>
      </c>
    </row>
    <row r="125" spans="1:9">
      <c r="A125" s="26">
        <f>+A124+1</f>
        <v>2</v>
      </c>
      <c r="C125" s="16" t="s">
        <v>192</v>
      </c>
    </row>
    <row r="126" spans="1:9">
      <c r="A126" s="26">
        <f>+A125+1</f>
        <v>3</v>
      </c>
      <c r="C126" s="16" t="s">
        <v>202</v>
      </c>
      <c r="E126" s="40">
        <f>'Sch 9 WP pg. 1 - Sales Growth'!E41</f>
        <v>444709.3878823733</v>
      </c>
    </row>
    <row r="127" spans="1:9">
      <c r="E127" s="39"/>
    </row>
    <row r="128" spans="1:9">
      <c r="A128" s="26">
        <v>4</v>
      </c>
      <c r="C128" s="16" t="s">
        <v>188</v>
      </c>
      <c r="E128" s="40">
        <f>ROUND((E126)*0.21,0)</f>
        <v>93389</v>
      </c>
    </row>
    <row r="130" spans="1:9">
      <c r="C130" s="16" t="s">
        <v>104</v>
      </c>
    </row>
    <row r="131" spans="1:9">
      <c r="C131" s="16" t="s">
        <v>860</v>
      </c>
    </row>
    <row r="132" spans="1:9">
      <c r="C132" s="16" t="s">
        <v>194</v>
      </c>
    </row>
    <row r="134" spans="1:9">
      <c r="A134" s="287" t="str">
        <f>+A$1</f>
        <v>MIDAMERICAN ENERGY COMPANY</v>
      </c>
      <c r="B134" s="287"/>
      <c r="C134" s="287"/>
      <c r="D134" s="287"/>
      <c r="E134" s="287"/>
      <c r="H134" s="44" t="s">
        <v>178</v>
      </c>
      <c r="I134" s="16">
        <f>I113+1</f>
        <v>10</v>
      </c>
    </row>
    <row r="135" spans="1:9">
      <c r="A135" s="287" t="str">
        <f>+A$2</f>
        <v>2026 SOUTH DAKOTA GAS RATE CASE</v>
      </c>
      <c r="B135" s="287"/>
      <c r="C135" s="287"/>
      <c r="D135" s="287"/>
      <c r="E135" s="287"/>
    </row>
    <row r="136" spans="1:9">
      <c r="A136" s="287" t="s">
        <v>790</v>
      </c>
      <c r="B136" s="287"/>
      <c r="C136" s="287"/>
      <c r="D136" s="287"/>
      <c r="E136" s="287"/>
    </row>
    <row r="137" spans="1:9">
      <c r="A137" s="287" t="str">
        <f>+A$4</f>
        <v>South Dakota Gas Operating Income Statement</v>
      </c>
      <c r="B137" s="287"/>
      <c r="C137" s="287"/>
      <c r="D137" s="287"/>
      <c r="E137" s="287"/>
    </row>
    <row r="138" spans="1:9">
      <c r="A138" s="287" t="s">
        <v>203</v>
      </c>
      <c r="B138" s="287"/>
      <c r="C138" s="287"/>
      <c r="D138" s="287"/>
      <c r="E138" s="287"/>
    </row>
    <row r="139" spans="1:9">
      <c r="A139" s="287" t="str">
        <f>+A$6</f>
        <v>FOR THE YEAR ENDING DECEMBER 31, 2025</v>
      </c>
      <c r="B139" s="287"/>
      <c r="C139" s="287"/>
      <c r="D139" s="287"/>
      <c r="E139" s="287"/>
    </row>
    <row r="140" spans="1:9">
      <c r="A140" s="287" t="s">
        <v>793</v>
      </c>
      <c r="B140" s="287"/>
      <c r="C140" s="287"/>
      <c r="D140" s="287"/>
      <c r="E140" s="287"/>
    </row>
    <row r="142" spans="1:9">
      <c r="A142" s="20" t="s">
        <v>2</v>
      </c>
      <c r="C142" s="21" t="s">
        <v>3</v>
      </c>
      <c r="E142" s="20" t="s">
        <v>77</v>
      </c>
    </row>
    <row r="143" spans="1:9">
      <c r="C143" s="18" t="s">
        <v>50</v>
      </c>
      <c r="E143" s="18" t="s">
        <v>51</v>
      </c>
    </row>
    <row r="145" spans="1:9">
      <c r="A145" s="26">
        <v>1</v>
      </c>
      <c r="C145" s="16" t="s">
        <v>204</v>
      </c>
      <c r="E145" s="39">
        <f>'Sch 10 WP pg.1 -Reg Asset Amort'!E14</f>
        <v>173404</v>
      </c>
    </row>
    <row r="146" spans="1:9">
      <c r="A146" s="26"/>
      <c r="E146" s="39"/>
    </row>
    <row r="147" spans="1:9">
      <c r="A147" s="26">
        <f>A145+1</f>
        <v>2</v>
      </c>
      <c r="C147" s="16" t="s">
        <v>205</v>
      </c>
      <c r="E147" s="40">
        <f>'Sch 10 WP pg.1 -Reg Asset Amort'!E17</f>
        <v>16421</v>
      </c>
    </row>
    <row r="148" spans="1:9">
      <c r="A148" s="26"/>
      <c r="E148" s="39"/>
    </row>
    <row r="149" spans="1:9">
      <c r="A149" s="26">
        <f>A147+1</f>
        <v>3</v>
      </c>
      <c r="C149" s="16" t="s">
        <v>206</v>
      </c>
      <c r="E149" s="39">
        <f>SUM(E145:E147)</f>
        <v>189825</v>
      </c>
    </row>
    <row r="150" spans="1:9">
      <c r="A150" s="26"/>
      <c r="E150" s="39"/>
    </row>
    <row r="151" spans="1:9">
      <c r="A151" s="26">
        <f>A149+1</f>
        <v>4</v>
      </c>
      <c r="C151" s="16" t="s">
        <v>188</v>
      </c>
      <c r="E151" s="40">
        <f>-(E149)*0.21</f>
        <v>-39863.25</v>
      </c>
    </row>
    <row r="154" spans="1:9">
      <c r="C154" s="16" t="s">
        <v>104</v>
      </c>
    </row>
    <row r="155" spans="1:9">
      <c r="C155" s="16" t="s">
        <v>861</v>
      </c>
    </row>
    <row r="156" spans="1:9">
      <c r="C156" s="16" t="s">
        <v>862</v>
      </c>
    </row>
    <row r="157" spans="1:9">
      <c r="C157" s="16" t="s">
        <v>863</v>
      </c>
    </row>
    <row r="158" spans="1:9">
      <c r="C158" s="16" t="s">
        <v>197</v>
      </c>
    </row>
    <row r="160" spans="1:9">
      <c r="A160" s="287" t="str">
        <f>+A$1</f>
        <v>MIDAMERICAN ENERGY COMPANY</v>
      </c>
      <c r="B160" s="287"/>
      <c r="C160" s="287"/>
      <c r="D160" s="287"/>
      <c r="E160" s="287"/>
      <c r="H160" s="44" t="s">
        <v>178</v>
      </c>
      <c r="I160" s="16">
        <f>I134+1</f>
        <v>11</v>
      </c>
    </row>
    <row r="161" spans="1:5">
      <c r="A161" s="287" t="str">
        <f>+A$2</f>
        <v>2026 SOUTH DAKOTA GAS RATE CASE</v>
      </c>
      <c r="B161" s="287"/>
      <c r="C161" s="287"/>
      <c r="D161" s="287"/>
      <c r="E161" s="287"/>
    </row>
    <row r="162" spans="1:5">
      <c r="A162" s="287" t="s">
        <v>790</v>
      </c>
      <c r="B162" s="287"/>
      <c r="C162" s="287"/>
      <c r="D162" s="287"/>
      <c r="E162" s="287"/>
    </row>
    <row r="163" spans="1:5">
      <c r="A163" s="287" t="str">
        <f>+A$4</f>
        <v>South Dakota Gas Operating Income Statement</v>
      </c>
      <c r="B163" s="287"/>
      <c r="C163" s="287"/>
      <c r="D163" s="287"/>
      <c r="E163" s="287"/>
    </row>
    <row r="164" spans="1:5">
      <c r="A164" s="287" t="s">
        <v>207</v>
      </c>
      <c r="B164" s="287"/>
      <c r="C164" s="287"/>
      <c r="D164" s="287"/>
      <c r="E164" s="287"/>
    </row>
    <row r="165" spans="1:5">
      <c r="A165" s="287" t="str">
        <f>+A$6</f>
        <v>FOR THE YEAR ENDING DECEMBER 31, 2025</v>
      </c>
      <c r="B165" s="287"/>
      <c r="C165" s="287"/>
      <c r="D165" s="287"/>
      <c r="E165" s="287"/>
    </row>
    <row r="166" spans="1:5">
      <c r="A166" s="287" t="s">
        <v>793</v>
      </c>
      <c r="B166" s="287"/>
      <c r="C166" s="287"/>
      <c r="D166" s="287"/>
      <c r="E166" s="287"/>
    </row>
    <row r="168" spans="1:5">
      <c r="A168" s="20" t="s">
        <v>2</v>
      </c>
      <c r="C168" s="21" t="s">
        <v>3</v>
      </c>
      <c r="E168" s="20" t="s">
        <v>77</v>
      </c>
    </row>
    <row r="169" spans="1:5">
      <c r="C169" s="18" t="s">
        <v>50</v>
      </c>
      <c r="E169" s="18" t="s">
        <v>51</v>
      </c>
    </row>
    <row r="170" spans="1:5">
      <c r="A170" s="26">
        <v>1</v>
      </c>
      <c r="C170" s="16" t="s">
        <v>180</v>
      </c>
    </row>
    <row r="171" spans="1:5">
      <c r="A171" s="26">
        <f>+A170+1</f>
        <v>2</v>
      </c>
      <c r="C171" s="16" t="s">
        <v>184</v>
      </c>
    </row>
    <row r="172" spans="1:5">
      <c r="A172" s="26">
        <f>+A171+1</f>
        <v>3</v>
      </c>
      <c r="C172" s="16" t="s">
        <v>208</v>
      </c>
      <c r="E172" s="40">
        <f>'Sch 11 WP pg.1 -Rate Case Exp'!F21</f>
        <v>228000</v>
      </c>
    </row>
    <row r="174" spans="1:5">
      <c r="A174" s="26">
        <f>+A172+1</f>
        <v>4</v>
      </c>
      <c r="C174" s="16" t="s">
        <v>188</v>
      </c>
      <c r="E174" s="40">
        <f>ROUND(-E172*0.21,0)</f>
        <v>-47880</v>
      </c>
    </row>
    <row r="177" spans="1:9">
      <c r="C177" s="16" t="s">
        <v>104</v>
      </c>
    </row>
    <row r="178" spans="1:9">
      <c r="C178" s="16" t="s">
        <v>864</v>
      </c>
    </row>
    <row r="179" spans="1:9">
      <c r="C179" s="16" t="s">
        <v>197</v>
      </c>
    </row>
    <row r="182" spans="1:9">
      <c r="A182" s="287" t="str">
        <f>+A$1</f>
        <v>MIDAMERICAN ENERGY COMPANY</v>
      </c>
      <c r="B182" s="287"/>
      <c r="C182" s="287"/>
      <c r="D182" s="287"/>
      <c r="E182" s="287"/>
      <c r="H182" s="44" t="s">
        <v>178</v>
      </c>
      <c r="I182" s="16">
        <f>I160+1</f>
        <v>12</v>
      </c>
    </row>
    <row r="183" spans="1:9">
      <c r="A183" s="287" t="str">
        <f>+A$2</f>
        <v>2026 SOUTH DAKOTA GAS RATE CASE</v>
      </c>
      <c r="B183" s="287"/>
      <c r="C183" s="287"/>
      <c r="D183" s="287"/>
      <c r="E183" s="287"/>
    </row>
    <row r="184" spans="1:9">
      <c r="A184" s="287" t="s">
        <v>790</v>
      </c>
      <c r="B184" s="287"/>
      <c r="C184" s="287"/>
      <c r="D184" s="287"/>
      <c r="E184" s="287"/>
    </row>
    <row r="185" spans="1:9">
      <c r="A185" s="287" t="str">
        <f>+A$4</f>
        <v>South Dakota Gas Operating Income Statement</v>
      </c>
      <c r="B185" s="287"/>
      <c r="C185" s="287"/>
      <c r="D185" s="287"/>
      <c r="E185" s="287"/>
    </row>
    <row r="186" spans="1:9">
      <c r="A186" s="287" t="s">
        <v>209</v>
      </c>
      <c r="B186" s="287"/>
      <c r="C186" s="287"/>
      <c r="D186" s="287"/>
      <c r="E186" s="287"/>
    </row>
    <row r="187" spans="1:9">
      <c r="A187" s="287" t="str">
        <f>+A$6</f>
        <v>FOR THE YEAR ENDING DECEMBER 31, 2025</v>
      </c>
      <c r="B187" s="287"/>
      <c r="C187" s="287"/>
      <c r="D187" s="287"/>
      <c r="E187" s="287"/>
    </row>
    <row r="188" spans="1:9">
      <c r="A188" s="287" t="s">
        <v>793</v>
      </c>
      <c r="B188" s="287"/>
      <c r="C188" s="287"/>
      <c r="D188" s="287"/>
      <c r="E188" s="287"/>
    </row>
    <row r="190" spans="1:9">
      <c r="A190" s="20" t="s">
        <v>2</v>
      </c>
      <c r="C190" s="21" t="s">
        <v>3</v>
      </c>
      <c r="E190" s="20" t="s">
        <v>77</v>
      </c>
    </row>
    <row r="191" spans="1:9">
      <c r="C191" s="18" t="s">
        <v>50</v>
      </c>
      <c r="E191" s="18" t="s">
        <v>51</v>
      </c>
    </row>
    <row r="193" spans="1:9">
      <c r="A193" s="26">
        <v>1</v>
      </c>
      <c r="C193" s="16" t="s">
        <v>191</v>
      </c>
    </row>
    <row r="194" spans="1:9">
      <c r="A194" s="26">
        <f>+A193+1</f>
        <v>2</v>
      </c>
      <c r="C194" s="16" t="s">
        <v>153</v>
      </c>
    </row>
    <row r="195" spans="1:9">
      <c r="A195" s="26">
        <f>+A194+1</f>
        <v>3</v>
      </c>
      <c r="C195" s="16" t="s">
        <v>210</v>
      </c>
      <c r="E195" s="40">
        <f>+'Sch 12 WP pg.1 - LPC'!E19</f>
        <v>-144093</v>
      </c>
    </row>
    <row r="196" spans="1:9">
      <c r="E196" s="39"/>
    </row>
    <row r="197" spans="1:9">
      <c r="A197" s="26">
        <f>+A195+1</f>
        <v>4</v>
      </c>
      <c r="C197" s="16" t="s">
        <v>188</v>
      </c>
      <c r="E197" s="40">
        <f>ROUND(+E195*0.21,0)</f>
        <v>-30260</v>
      </c>
    </row>
    <row r="200" spans="1:9">
      <c r="C200" s="16" t="s">
        <v>104</v>
      </c>
    </row>
    <row r="201" spans="1:9">
      <c r="C201" s="16" t="s">
        <v>865</v>
      </c>
    </row>
    <row r="202" spans="1:9">
      <c r="C202" s="16" t="s">
        <v>194</v>
      </c>
    </row>
    <row r="204" spans="1:9">
      <c r="A204" s="287" t="str">
        <f>+A$1</f>
        <v>MIDAMERICAN ENERGY COMPANY</v>
      </c>
      <c r="B204" s="287"/>
      <c r="C204" s="287"/>
      <c r="D204" s="287"/>
      <c r="E204" s="287"/>
      <c r="H204" s="44" t="s">
        <v>178</v>
      </c>
      <c r="I204" s="16">
        <f>I182+1</f>
        <v>13</v>
      </c>
    </row>
    <row r="205" spans="1:9">
      <c r="A205" s="287" t="str">
        <f>+A$2</f>
        <v>2026 SOUTH DAKOTA GAS RATE CASE</v>
      </c>
      <c r="B205" s="287"/>
      <c r="C205" s="287"/>
      <c r="D205" s="287"/>
      <c r="E205" s="287"/>
    </row>
    <row r="206" spans="1:9">
      <c r="A206" s="287" t="s">
        <v>790</v>
      </c>
      <c r="B206" s="287"/>
      <c r="C206" s="287"/>
      <c r="D206" s="287"/>
      <c r="E206" s="287"/>
    </row>
    <row r="207" spans="1:9">
      <c r="A207" s="287" t="str">
        <f>+A$4</f>
        <v>South Dakota Gas Operating Income Statement</v>
      </c>
      <c r="B207" s="287"/>
      <c r="C207" s="287"/>
      <c r="D207" s="287"/>
      <c r="E207" s="287"/>
    </row>
    <row r="208" spans="1:9">
      <c r="A208" s="287" t="s">
        <v>211</v>
      </c>
      <c r="B208" s="287"/>
      <c r="C208" s="287"/>
      <c r="D208" s="287"/>
      <c r="E208" s="287"/>
    </row>
    <row r="209" spans="1:5">
      <c r="A209" s="287" t="str">
        <f>+A$6</f>
        <v>FOR THE YEAR ENDING DECEMBER 31, 2025</v>
      </c>
      <c r="B209" s="287"/>
      <c r="C209" s="287"/>
      <c r="D209" s="287"/>
      <c r="E209" s="287"/>
    </row>
    <row r="210" spans="1:5">
      <c r="A210" s="287" t="s">
        <v>793</v>
      </c>
      <c r="B210" s="287"/>
      <c r="C210" s="287"/>
      <c r="D210" s="287"/>
      <c r="E210" s="287"/>
    </row>
    <row r="212" spans="1:5">
      <c r="A212" s="20" t="s">
        <v>2</v>
      </c>
      <c r="C212" s="21" t="s">
        <v>3</v>
      </c>
      <c r="E212" s="20" t="s">
        <v>77</v>
      </c>
    </row>
    <row r="213" spans="1:5">
      <c r="C213" s="18" t="s">
        <v>50</v>
      </c>
      <c r="E213" s="18" t="s">
        <v>51</v>
      </c>
    </row>
    <row r="215" spans="1:5">
      <c r="A215" s="26">
        <v>1</v>
      </c>
      <c r="C215" s="16" t="s">
        <v>180</v>
      </c>
    </row>
    <row r="216" spans="1:5">
      <c r="A216" s="26">
        <f>+A215+1</f>
        <v>2</v>
      </c>
      <c r="C216" s="16" t="s">
        <v>156</v>
      </c>
    </row>
    <row r="217" spans="1:5">
      <c r="A217" s="26">
        <f>+A216+1</f>
        <v>3</v>
      </c>
      <c r="C217" s="16" t="s">
        <v>212</v>
      </c>
      <c r="E217" s="40">
        <f>'Sch 13 WP pg.1 - LTIP'!F16</f>
        <v>-75180.34</v>
      </c>
    </row>
    <row r="219" spans="1:5">
      <c r="A219" s="26">
        <f>+A217+1</f>
        <v>4</v>
      </c>
      <c r="C219" s="16" t="s">
        <v>188</v>
      </c>
      <c r="E219" s="40">
        <f>ROUND(-E217*0.21,0)</f>
        <v>15788</v>
      </c>
    </row>
    <row r="222" spans="1:5">
      <c r="C222" s="16" t="s">
        <v>104</v>
      </c>
    </row>
    <row r="223" spans="1:5">
      <c r="C223" s="16" t="s">
        <v>866</v>
      </c>
    </row>
    <row r="224" spans="1:5">
      <c r="C224" s="16" t="s">
        <v>197</v>
      </c>
    </row>
    <row r="227" spans="1:9" s="153" customFormat="1">
      <c r="A227" s="287" t="str">
        <f>+A$1</f>
        <v>MIDAMERICAN ENERGY COMPANY</v>
      </c>
      <c r="B227" s="287"/>
      <c r="C227" s="287"/>
      <c r="D227" s="287"/>
      <c r="E227" s="287"/>
      <c r="H227" s="44" t="s">
        <v>178</v>
      </c>
      <c r="I227" s="16">
        <f>I204+1</f>
        <v>14</v>
      </c>
    </row>
    <row r="228" spans="1:9" s="153" customFormat="1">
      <c r="A228" s="287" t="str">
        <f>+A$2</f>
        <v>2026 SOUTH DAKOTA GAS RATE CASE</v>
      </c>
      <c r="B228" s="287"/>
      <c r="C228" s="287"/>
      <c r="D228" s="287"/>
      <c r="E228" s="287"/>
    </row>
    <row r="229" spans="1:9" s="153" customFormat="1">
      <c r="A229" s="287" t="s">
        <v>790</v>
      </c>
      <c r="B229" s="287"/>
      <c r="C229" s="287"/>
      <c r="D229" s="287"/>
      <c r="E229" s="287"/>
    </row>
    <row r="230" spans="1:9" s="153" customFormat="1">
      <c r="A230" s="287" t="str">
        <f>+A$4</f>
        <v>South Dakota Gas Operating Income Statement</v>
      </c>
      <c r="B230" s="287"/>
      <c r="C230" s="287"/>
      <c r="D230" s="287"/>
      <c r="E230" s="287"/>
    </row>
    <row r="231" spans="1:9" s="153" customFormat="1">
      <c r="A231" s="287" t="s">
        <v>213</v>
      </c>
      <c r="B231" s="287"/>
      <c r="C231" s="287"/>
      <c r="D231" s="287"/>
      <c r="E231" s="287"/>
    </row>
    <row r="232" spans="1:9" s="153" customFormat="1">
      <c r="A232" s="287" t="str">
        <f>+A$6</f>
        <v>FOR THE YEAR ENDING DECEMBER 31, 2025</v>
      </c>
      <c r="B232" s="287"/>
      <c r="C232" s="287"/>
      <c r="D232" s="287"/>
      <c r="E232" s="287"/>
    </row>
    <row r="233" spans="1:9" s="153" customFormat="1">
      <c r="A233" s="287" t="s">
        <v>793</v>
      </c>
      <c r="B233" s="287"/>
      <c r="C233" s="287"/>
      <c r="D233" s="287"/>
      <c r="E233" s="287"/>
    </row>
    <row r="234" spans="1:9" s="153" customFormat="1" ht="12.75"/>
    <row r="235" spans="1:9" s="153" customFormat="1">
      <c r="A235" s="20" t="s">
        <v>2</v>
      </c>
      <c r="B235" s="16"/>
      <c r="C235" s="21" t="s">
        <v>3</v>
      </c>
      <c r="D235" s="16"/>
      <c r="E235" s="20" t="s">
        <v>77</v>
      </c>
    </row>
    <row r="236" spans="1:9" s="153" customFormat="1">
      <c r="A236" s="16"/>
      <c r="B236" s="16"/>
      <c r="C236" s="18" t="s">
        <v>50</v>
      </c>
      <c r="D236" s="16"/>
      <c r="E236" s="18" t="s">
        <v>51</v>
      </c>
    </row>
    <row r="237" spans="1:9" s="153" customFormat="1">
      <c r="A237" s="16"/>
      <c r="B237" s="16"/>
      <c r="C237" s="16"/>
      <c r="D237" s="16"/>
      <c r="E237" s="16"/>
    </row>
    <row r="238" spans="1:9" s="153" customFormat="1">
      <c r="A238" s="26">
        <v>1</v>
      </c>
      <c r="B238" s="16"/>
      <c r="C238" s="16" t="s">
        <v>214</v>
      </c>
      <c r="D238" s="16"/>
      <c r="E238"/>
    </row>
    <row r="239" spans="1:9" s="153" customFormat="1">
      <c r="A239" s="26">
        <v>2</v>
      </c>
      <c r="B239" s="16"/>
      <c r="C239" s="16" t="s">
        <v>215</v>
      </c>
      <c r="D239" s="16"/>
      <c r="E239"/>
    </row>
    <row r="240" spans="1:9" s="153" customFormat="1">
      <c r="A240" s="26">
        <v>3</v>
      </c>
      <c r="B240" s="16"/>
      <c r="C240" s="16" t="s">
        <v>216</v>
      </c>
      <c r="D240" s="16"/>
      <c r="E240" s="40">
        <f>'Sch 14 WP pg.1 - Prop Tax'!F17</f>
        <v>-83264.52</v>
      </c>
    </row>
    <row r="241" spans="1:9" s="153" customFormat="1">
      <c r="A241" s="26"/>
      <c r="B241" s="16"/>
      <c r="C241" s="16"/>
      <c r="D241" s="16"/>
      <c r="E241" s="16"/>
    </row>
    <row r="242" spans="1:9" s="153" customFormat="1">
      <c r="A242" s="26">
        <v>4</v>
      </c>
      <c r="B242" s="16"/>
      <c r="C242" s="16" t="s">
        <v>188</v>
      </c>
      <c r="D242" s="16"/>
      <c r="E242" s="40">
        <f>ROUND(-E240*0.21,0)</f>
        <v>17486</v>
      </c>
    </row>
    <row r="243" spans="1:9" s="153" customFormat="1">
      <c r="A243" s="16"/>
      <c r="B243" s="16"/>
      <c r="C243" s="16"/>
      <c r="D243" s="16"/>
      <c r="E243" s="16"/>
    </row>
    <row r="244" spans="1:9" s="153" customFormat="1">
      <c r="C244" s="16" t="s">
        <v>104</v>
      </c>
    </row>
    <row r="245" spans="1:9" s="153" customFormat="1">
      <c r="C245" s="16" t="s">
        <v>867</v>
      </c>
    </row>
    <row r="246" spans="1:9" s="153" customFormat="1">
      <c r="C246" s="16" t="s">
        <v>217</v>
      </c>
    </row>
    <row r="247" spans="1:9" s="153" customFormat="1">
      <c r="C247" s="16"/>
    </row>
    <row r="248" spans="1:9" s="153" customFormat="1">
      <c r="A248" s="287" t="str">
        <f>+A$1</f>
        <v>MIDAMERICAN ENERGY COMPANY</v>
      </c>
      <c r="B248" s="287"/>
      <c r="C248" s="287"/>
      <c r="D248" s="287"/>
      <c r="E248" s="287"/>
      <c r="H248" s="44" t="s">
        <v>178</v>
      </c>
      <c r="I248" s="16">
        <f>I227+1</f>
        <v>15</v>
      </c>
    </row>
    <row r="249" spans="1:9" s="153" customFormat="1">
      <c r="A249" s="287" t="str">
        <f>+A$2</f>
        <v>2026 SOUTH DAKOTA GAS RATE CASE</v>
      </c>
      <c r="B249" s="287"/>
      <c r="C249" s="287"/>
      <c r="D249" s="287"/>
      <c r="E249" s="287"/>
    </row>
    <row r="250" spans="1:9" s="153" customFormat="1">
      <c r="A250" s="287" t="s">
        <v>790</v>
      </c>
      <c r="B250" s="287"/>
      <c r="C250" s="287"/>
      <c r="D250" s="287"/>
      <c r="E250" s="287"/>
    </row>
    <row r="251" spans="1:9" s="153" customFormat="1">
      <c r="A251" s="287" t="str">
        <f>+A$4</f>
        <v>South Dakota Gas Operating Income Statement</v>
      </c>
      <c r="B251" s="287"/>
      <c r="C251" s="287"/>
      <c r="D251" s="287"/>
      <c r="E251" s="287"/>
    </row>
    <row r="252" spans="1:9" s="153" customFormat="1">
      <c r="A252" s="287" t="s">
        <v>218</v>
      </c>
      <c r="B252" s="287"/>
      <c r="C252" s="287"/>
      <c r="D252" s="287"/>
      <c r="E252" s="287"/>
    </row>
    <row r="253" spans="1:9" s="153" customFormat="1">
      <c r="A253" s="287" t="str">
        <f>+A$6</f>
        <v>FOR THE YEAR ENDING DECEMBER 31, 2025</v>
      </c>
      <c r="B253" s="287"/>
      <c r="C253" s="287"/>
      <c r="D253" s="287"/>
      <c r="E253" s="287"/>
    </row>
    <row r="254" spans="1:9" s="153" customFormat="1">
      <c r="A254" s="287" t="s">
        <v>793</v>
      </c>
      <c r="B254" s="287"/>
      <c r="C254" s="287"/>
      <c r="D254" s="287"/>
      <c r="E254" s="287"/>
    </row>
    <row r="255" spans="1:9" s="153" customFormat="1" ht="12.75"/>
    <row r="256" spans="1:9" s="153" customFormat="1">
      <c r="A256" s="20" t="s">
        <v>2</v>
      </c>
      <c r="B256" s="16"/>
      <c r="C256" s="21" t="s">
        <v>3</v>
      </c>
      <c r="D256" s="16"/>
      <c r="E256" s="20" t="s">
        <v>77</v>
      </c>
    </row>
    <row r="257" spans="1:5" s="153" customFormat="1">
      <c r="A257" s="16"/>
      <c r="B257" s="16"/>
      <c r="C257" s="18" t="s">
        <v>50</v>
      </c>
      <c r="D257" s="16"/>
      <c r="E257" s="18" t="s">
        <v>51</v>
      </c>
    </row>
    <row r="258" spans="1:5" s="153" customFormat="1">
      <c r="A258" s="16"/>
      <c r="B258" s="16"/>
      <c r="C258" s="16"/>
      <c r="D258" s="16"/>
      <c r="E258" s="16"/>
    </row>
    <row r="259" spans="1:5" s="153" customFormat="1">
      <c r="A259" s="26">
        <v>1</v>
      </c>
      <c r="B259" s="16"/>
      <c r="C259" s="16" t="s">
        <v>191</v>
      </c>
      <c r="D259" s="16"/>
      <c r="E259" s="16"/>
    </row>
    <row r="260" spans="1:5" s="153" customFormat="1">
      <c r="A260" s="26">
        <f>+A259+1</f>
        <v>2</v>
      </c>
      <c r="B260" s="16"/>
      <c r="C260" s="16" t="s">
        <v>219</v>
      </c>
      <c r="D260" s="16"/>
      <c r="E260" s="39"/>
    </row>
    <row r="261" spans="1:5" s="153" customFormat="1">
      <c r="A261" s="26">
        <f>+A260+1</f>
        <v>3</v>
      </c>
      <c r="B261" s="16"/>
      <c r="C261" s="16" t="s">
        <v>220</v>
      </c>
      <c r="D261" s="16"/>
      <c r="E261" s="40">
        <f>'Sch 15 WP pg.1 - PGA'!F32</f>
        <v>-57037950.090000011</v>
      </c>
    </row>
    <row r="262" spans="1:5" s="153" customFormat="1">
      <c r="A262" s="16"/>
      <c r="B262" s="16"/>
      <c r="C262" s="16"/>
      <c r="D262" s="16"/>
      <c r="E262" s="39"/>
    </row>
    <row r="263" spans="1:5" s="153" customFormat="1">
      <c r="A263" s="26">
        <v>4</v>
      </c>
      <c r="B263" s="16"/>
      <c r="C263" s="16" t="s">
        <v>180</v>
      </c>
      <c r="D263" s="16"/>
      <c r="E263"/>
    </row>
    <row r="264" spans="1:5" s="153" customFormat="1">
      <c r="A264" s="26">
        <f>+A263+1</f>
        <v>5</v>
      </c>
      <c r="B264" s="16"/>
      <c r="C264" s="16" t="s">
        <v>156</v>
      </c>
      <c r="D264" s="16"/>
      <c r="E264"/>
    </row>
    <row r="265" spans="1:5" s="153" customFormat="1">
      <c r="A265" s="26">
        <f>+A264+1</f>
        <v>6</v>
      </c>
      <c r="B265" s="16"/>
      <c r="C265" s="16" t="s">
        <v>221</v>
      </c>
      <c r="D265" s="16"/>
      <c r="E265" s="40">
        <f>'Sch 15 WP pg.1 - PGA'!F34</f>
        <v>-56953216.749999955</v>
      </c>
    </row>
    <row r="266" spans="1:5" s="153" customFormat="1">
      <c r="A266" s="26">
        <f t="shared" ref="A266:A267" si="0">+A265+1</f>
        <v>7</v>
      </c>
      <c r="B266" s="16"/>
      <c r="C266" s="16" t="s">
        <v>222</v>
      </c>
      <c r="D266" s="16"/>
      <c r="E266" s="41">
        <f>'Sch 15 WP pg.1 - PGA'!F36</f>
        <v>-16347.689999999999</v>
      </c>
    </row>
    <row r="267" spans="1:5" s="153" customFormat="1">
      <c r="A267" s="26">
        <f t="shared" si="0"/>
        <v>8</v>
      </c>
      <c r="B267" s="16"/>
      <c r="C267" s="16" t="s">
        <v>186</v>
      </c>
      <c r="D267" s="16"/>
      <c r="E267" s="41">
        <f>'Sch 15 WP pg.1 - PGA'!F38</f>
        <v>-101080.62</v>
      </c>
    </row>
    <row r="268" spans="1:5" s="153" customFormat="1">
      <c r="A268" s="26"/>
      <c r="B268" s="16"/>
      <c r="C268" s="16"/>
      <c r="D268" s="16"/>
      <c r="E268" s="39"/>
    </row>
    <row r="269" spans="1:5" s="153" customFormat="1">
      <c r="A269" s="26"/>
      <c r="B269" s="16"/>
      <c r="C269" s="16"/>
      <c r="D269" s="16"/>
      <c r="E269" s="16"/>
    </row>
    <row r="270" spans="1:5" s="153" customFormat="1">
      <c r="A270" s="26">
        <v>9</v>
      </c>
      <c r="B270" s="16"/>
      <c r="C270" s="16" t="s">
        <v>188</v>
      </c>
      <c r="D270" s="16"/>
      <c r="E270" s="40">
        <f>ROUND((E261-E265+E266-E267)*0.21,0)</f>
        <v>0</v>
      </c>
    </row>
    <row r="271" spans="1:5" s="153" customFormat="1">
      <c r="A271" s="16"/>
      <c r="B271" s="16"/>
      <c r="C271" s="16"/>
      <c r="D271" s="16"/>
      <c r="E271" s="16"/>
    </row>
    <row r="272" spans="1:5" s="153" customFormat="1" ht="12.75">
      <c r="C272" s="153" t="s">
        <v>104</v>
      </c>
    </row>
    <row r="273" spans="1:9" s="153" customFormat="1">
      <c r="C273" s="153" t="s">
        <v>868</v>
      </c>
      <c r="F273" s="16"/>
    </row>
    <row r="274" spans="1:9" s="153" customFormat="1" ht="12.75">
      <c r="C274" s="153" t="s">
        <v>869</v>
      </c>
    </row>
    <row r="275" spans="1:9" s="153" customFormat="1" ht="12.75">
      <c r="C275" s="153" t="s">
        <v>870</v>
      </c>
    </row>
    <row r="276" spans="1:9" s="153" customFormat="1" ht="12.75">
      <c r="C276" s="153" t="s">
        <v>871</v>
      </c>
    </row>
    <row r="277" spans="1:9" s="153" customFormat="1" ht="12.75">
      <c r="C277" s="153" t="s">
        <v>223</v>
      </c>
    </row>
    <row r="278" spans="1:9" s="153" customFormat="1" ht="12.75"/>
    <row r="279" spans="1:9">
      <c r="A279" s="287" t="str">
        <f>+A$1</f>
        <v>MIDAMERICAN ENERGY COMPANY</v>
      </c>
      <c r="B279" s="287"/>
      <c r="C279" s="287"/>
      <c r="D279" s="287"/>
      <c r="E279" s="287"/>
      <c r="H279" s="44" t="s">
        <v>178</v>
      </c>
      <c r="I279" s="16">
        <f>I248+1</f>
        <v>16</v>
      </c>
    </row>
    <row r="280" spans="1:9">
      <c r="A280" s="287" t="str">
        <f>+A$2</f>
        <v>2026 SOUTH DAKOTA GAS RATE CASE</v>
      </c>
      <c r="B280" s="287"/>
      <c r="C280" s="287"/>
      <c r="D280" s="287"/>
      <c r="E280" s="287"/>
    </row>
    <row r="281" spans="1:9">
      <c r="A281" s="287" t="s">
        <v>790</v>
      </c>
      <c r="B281" s="287"/>
      <c r="C281" s="287"/>
      <c r="D281" s="287"/>
      <c r="E281" s="287"/>
    </row>
    <row r="282" spans="1:9">
      <c r="A282" s="287" t="str">
        <f>+A$4</f>
        <v>South Dakota Gas Operating Income Statement</v>
      </c>
      <c r="B282" s="287"/>
      <c r="C282" s="287"/>
      <c r="D282" s="287"/>
      <c r="E282" s="287"/>
    </row>
    <row r="283" spans="1:9">
      <c r="A283" s="287" t="s">
        <v>224</v>
      </c>
      <c r="B283" s="287"/>
      <c r="C283" s="287"/>
      <c r="D283" s="287"/>
      <c r="E283" s="287"/>
    </row>
    <row r="284" spans="1:9">
      <c r="A284" s="287" t="str">
        <f>+A$6</f>
        <v>FOR THE YEAR ENDING DECEMBER 31, 2025</v>
      </c>
      <c r="B284" s="287"/>
      <c r="C284" s="287"/>
      <c r="D284" s="287"/>
      <c r="E284" s="287"/>
    </row>
    <row r="285" spans="1:9">
      <c r="A285" s="287" t="s">
        <v>793</v>
      </c>
      <c r="B285" s="287"/>
      <c r="C285" s="287"/>
      <c r="D285" s="287"/>
      <c r="E285" s="287"/>
    </row>
    <row r="287" spans="1:9">
      <c r="A287" s="20" t="s">
        <v>2</v>
      </c>
      <c r="C287" s="21" t="s">
        <v>3</v>
      </c>
      <c r="E287" s="20" t="s">
        <v>77</v>
      </c>
    </row>
    <row r="288" spans="1:9">
      <c r="C288" s="18" t="s">
        <v>50</v>
      </c>
      <c r="E288" s="18" t="s">
        <v>51</v>
      </c>
    </row>
    <row r="290" spans="1:9">
      <c r="A290" s="26">
        <v>1</v>
      </c>
      <c r="C290" s="16" t="s">
        <v>180</v>
      </c>
    </row>
    <row r="291" spans="1:9">
      <c r="A291" s="26">
        <f>A290+1</f>
        <v>2</v>
      </c>
      <c r="C291" s="16" t="s">
        <v>156</v>
      </c>
      <c r="E291" s="39"/>
    </row>
    <row r="292" spans="1:9">
      <c r="A292" s="26">
        <f>A291+1</f>
        <v>3</v>
      </c>
      <c r="C292" s="16" t="s">
        <v>225</v>
      </c>
      <c r="E292" s="40">
        <f>'Sch 16 WP pg.1 - Econ Dev'!F23</f>
        <v>-61070.820000000007</v>
      </c>
    </row>
    <row r="293" spans="1:9">
      <c r="E293" s="39"/>
    </row>
    <row r="294" spans="1:9">
      <c r="A294" s="26">
        <f>A292+1</f>
        <v>4</v>
      </c>
      <c r="C294" s="16" t="s">
        <v>188</v>
      </c>
      <c r="E294" s="40">
        <f>ROUND(-E292*0.21,0)</f>
        <v>12825</v>
      </c>
    </row>
    <row r="297" spans="1:9">
      <c r="C297" s="16" t="s">
        <v>104</v>
      </c>
    </row>
    <row r="298" spans="1:9">
      <c r="C298" s="16" t="s">
        <v>872</v>
      </c>
    </row>
    <row r="299" spans="1:9">
      <c r="C299" s="16" t="s">
        <v>197</v>
      </c>
    </row>
    <row r="300" spans="1:9" s="153" customFormat="1" ht="12.75"/>
    <row r="301" spans="1:9">
      <c r="A301" s="287" t="str">
        <f>+A$1</f>
        <v>MIDAMERICAN ENERGY COMPANY</v>
      </c>
      <c r="B301" s="287"/>
      <c r="C301" s="287"/>
      <c r="D301" s="287"/>
      <c r="E301" s="287"/>
      <c r="H301" s="44" t="s">
        <v>178</v>
      </c>
      <c r="I301" s="16">
        <f>I279+1</f>
        <v>17</v>
      </c>
    </row>
    <row r="302" spans="1:9">
      <c r="A302" s="287" t="str">
        <f>+A$2</f>
        <v>2026 SOUTH DAKOTA GAS RATE CASE</v>
      </c>
      <c r="B302" s="287"/>
      <c r="C302" s="287"/>
      <c r="D302" s="287"/>
      <c r="E302" s="287"/>
    </row>
    <row r="303" spans="1:9">
      <c r="A303" s="287" t="s">
        <v>790</v>
      </c>
      <c r="B303" s="287"/>
      <c r="C303" s="287"/>
      <c r="D303" s="287"/>
      <c r="E303" s="287"/>
    </row>
    <row r="304" spans="1:9">
      <c r="A304" s="287" t="str">
        <f>+A$4</f>
        <v>South Dakota Gas Operating Income Statement</v>
      </c>
      <c r="B304" s="287"/>
      <c r="C304" s="287"/>
      <c r="D304" s="287"/>
      <c r="E304" s="287"/>
    </row>
    <row r="305" spans="1:5">
      <c r="A305" s="287" t="s">
        <v>226</v>
      </c>
      <c r="B305" s="287"/>
      <c r="C305" s="287"/>
      <c r="D305" s="287"/>
      <c r="E305" s="287"/>
    </row>
    <row r="306" spans="1:5">
      <c r="A306" s="287" t="str">
        <f>+A$6</f>
        <v>FOR THE YEAR ENDING DECEMBER 31, 2025</v>
      </c>
      <c r="B306" s="287"/>
      <c r="C306" s="287"/>
      <c r="D306" s="287"/>
      <c r="E306" s="287"/>
    </row>
    <row r="307" spans="1:5">
      <c r="A307" s="287" t="s">
        <v>793</v>
      </c>
      <c r="B307" s="287"/>
      <c r="C307" s="287"/>
      <c r="D307" s="287"/>
      <c r="E307" s="287"/>
    </row>
    <row r="309" spans="1:5">
      <c r="A309" s="20" t="s">
        <v>2</v>
      </c>
      <c r="C309" s="21" t="s">
        <v>3</v>
      </c>
      <c r="E309" s="20" t="s">
        <v>77</v>
      </c>
    </row>
    <row r="310" spans="1:5">
      <c r="C310" s="18" t="s">
        <v>50</v>
      </c>
      <c r="E310" s="18" t="s">
        <v>51</v>
      </c>
    </row>
    <row r="312" spans="1:5">
      <c r="A312" s="26">
        <v>1</v>
      </c>
      <c r="C312" s="16" t="s">
        <v>191</v>
      </c>
    </row>
    <row r="313" spans="1:5">
      <c r="A313" s="26">
        <f>A312+1</f>
        <v>2</v>
      </c>
      <c r="C313" s="16" t="s">
        <v>227</v>
      </c>
      <c r="E313" s="39">
        <f>'Sch 17 WP pg.1 - Wholesale Rev'!E21</f>
        <v>-10207100.779999999</v>
      </c>
    </row>
    <row r="314" spans="1:5">
      <c r="A314" s="26"/>
      <c r="E314" s="39"/>
    </row>
    <row r="315" spans="1:5">
      <c r="A315" s="26">
        <f>A313+1</f>
        <v>3</v>
      </c>
      <c r="C315" s="16" t="s">
        <v>180</v>
      </c>
      <c r="E315" s="39"/>
    </row>
    <row r="316" spans="1:5">
      <c r="A316" s="26">
        <f>A315+1</f>
        <v>4</v>
      </c>
      <c r="C316" s="16" t="s">
        <v>228</v>
      </c>
      <c r="E316" s="39">
        <f>'Sch 17 WP pg.1 - Wholesale Rev'!E23</f>
        <v>-10207100.779999999</v>
      </c>
    </row>
    <row r="317" spans="1:5">
      <c r="A317" s="26"/>
      <c r="E317" s="39"/>
    </row>
    <row r="318" spans="1:5">
      <c r="A318" s="26">
        <f>A316+1</f>
        <v>5</v>
      </c>
      <c r="C318" s="16" t="s">
        <v>188</v>
      </c>
      <c r="E318" s="40">
        <f>-(E313-E316)*0.21</f>
        <v>0</v>
      </c>
    </row>
    <row r="321" spans="3:3">
      <c r="C321" s="16" t="s">
        <v>104</v>
      </c>
    </row>
    <row r="322" spans="3:3">
      <c r="C322" s="16" t="s">
        <v>873</v>
      </c>
    </row>
    <row r="323" spans="3:3">
      <c r="C323" s="16" t="s">
        <v>874</v>
      </c>
    </row>
    <row r="324" spans="3:3">
      <c r="C324" s="16" t="s">
        <v>229</v>
      </c>
    </row>
    <row r="325" spans="3:3" s="153" customFormat="1" ht="12.75"/>
  </sheetData>
  <mergeCells count="98">
    <mergeCell ref="A70:E70"/>
    <mergeCell ref="A71:E71"/>
    <mergeCell ref="A53:E53"/>
    <mergeCell ref="A27:E27"/>
    <mergeCell ref="A49:E49"/>
    <mergeCell ref="A50:E50"/>
    <mergeCell ref="A51:E51"/>
    <mergeCell ref="A52:E52"/>
    <mergeCell ref="A25:E25"/>
    <mergeCell ref="A26:E26"/>
    <mergeCell ref="A47:E47"/>
    <mergeCell ref="A48:E48"/>
    <mergeCell ref="A69:E69"/>
    <mergeCell ref="A307:E307"/>
    <mergeCell ref="A285:E285"/>
    <mergeCell ref="A254:E254"/>
    <mergeCell ref="A233:E233"/>
    <mergeCell ref="A210:E210"/>
    <mergeCell ref="A252:E252"/>
    <mergeCell ref="A253:E253"/>
    <mergeCell ref="A227:E227"/>
    <mergeCell ref="A228:E228"/>
    <mergeCell ref="A229:E229"/>
    <mergeCell ref="A230:E230"/>
    <mergeCell ref="A231:E231"/>
    <mergeCell ref="A232:E232"/>
    <mergeCell ref="A248:E248"/>
    <mergeCell ref="A249:E249"/>
    <mergeCell ref="A250:E250"/>
    <mergeCell ref="A1:E1"/>
    <mergeCell ref="A2:E2"/>
    <mergeCell ref="A3:E3"/>
    <mergeCell ref="A4:E4"/>
    <mergeCell ref="A5:E5"/>
    <mergeCell ref="A6:E6"/>
    <mergeCell ref="A21:E21"/>
    <mergeCell ref="A22:E22"/>
    <mergeCell ref="A23:E23"/>
    <mergeCell ref="A24:E24"/>
    <mergeCell ref="A7:E7"/>
    <mergeCell ref="A72:E72"/>
    <mergeCell ref="A73:E73"/>
    <mergeCell ref="A74:E74"/>
    <mergeCell ref="A91:E91"/>
    <mergeCell ref="A92:E92"/>
    <mergeCell ref="A75:E75"/>
    <mergeCell ref="A93:E93"/>
    <mergeCell ref="A94:E94"/>
    <mergeCell ref="A95:E95"/>
    <mergeCell ref="A96:E96"/>
    <mergeCell ref="A113:E113"/>
    <mergeCell ref="A97:E97"/>
    <mergeCell ref="A114:E114"/>
    <mergeCell ref="A115:E115"/>
    <mergeCell ref="A116:E116"/>
    <mergeCell ref="A117:E117"/>
    <mergeCell ref="A118:E118"/>
    <mergeCell ref="A134:E134"/>
    <mergeCell ref="A135:E135"/>
    <mergeCell ref="A136:E136"/>
    <mergeCell ref="A137:E137"/>
    <mergeCell ref="A119:E119"/>
    <mergeCell ref="A138:E138"/>
    <mergeCell ref="A139:E139"/>
    <mergeCell ref="A160:E160"/>
    <mergeCell ref="A161:E161"/>
    <mergeCell ref="A162:E162"/>
    <mergeCell ref="A140:E140"/>
    <mergeCell ref="A163:E163"/>
    <mergeCell ref="A164:E164"/>
    <mergeCell ref="A165:E165"/>
    <mergeCell ref="A182:E182"/>
    <mergeCell ref="A183:E183"/>
    <mergeCell ref="A166:E166"/>
    <mergeCell ref="A184:E184"/>
    <mergeCell ref="A185:E185"/>
    <mergeCell ref="A186:E186"/>
    <mergeCell ref="A187:E187"/>
    <mergeCell ref="A204:E204"/>
    <mergeCell ref="A188:E188"/>
    <mergeCell ref="A205:E205"/>
    <mergeCell ref="A206:E206"/>
    <mergeCell ref="A207:E207"/>
    <mergeCell ref="A208:E208"/>
    <mergeCell ref="A209:E209"/>
    <mergeCell ref="A251:E251"/>
    <mergeCell ref="A304:E304"/>
    <mergeCell ref="A305:E305"/>
    <mergeCell ref="A306:E306"/>
    <mergeCell ref="A279:E279"/>
    <mergeCell ref="A280:E280"/>
    <mergeCell ref="A281:E281"/>
    <mergeCell ref="A282:E282"/>
    <mergeCell ref="A283:E283"/>
    <mergeCell ref="A284:E284"/>
    <mergeCell ref="A301:E301"/>
    <mergeCell ref="A302:E302"/>
    <mergeCell ref="A303:E303"/>
  </mergeCells>
  <phoneticPr fontId="8" type="noConversion"/>
  <printOptions horizontalCentered="1"/>
  <pageMargins left="0.75" right="0.68" top="1" bottom="1" header="0.5" footer="0.5"/>
  <pageSetup scale="96" firstPageNumber="4" orientation="portrait" useFirstPageNumber="1" r:id="rId1"/>
  <headerFooter alignWithMargins="0">
    <oddHeader xml:space="preserve">&amp;RGroen Direct Exhibit 1.1, Schedule &amp;P
&amp;"Arial,Bold"&amp;12
</oddHeader>
  </headerFooter>
  <rowBreaks count="13" manualBreakCount="13">
    <brk id="20" max="16383" man="1"/>
    <brk id="46" max="16383" man="1"/>
    <brk id="68" max="16383" man="1"/>
    <brk id="90" max="16383" man="1"/>
    <brk id="112" max="16383" man="1"/>
    <brk id="133" max="4" man="1"/>
    <brk id="159" max="16383" man="1"/>
    <brk id="181" max="16383" man="1"/>
    <brk id="203" max="16383" man="1"/>
    <brk id="226" max="16383" man="1"/>
    <brk id="247" max="16383" man="1"/>
    <brk id="278" max="16383" man="1"/>
    <brk id="29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2"/>
  <sheetViews>
    <sheetView view="pageLayout" zoomScaleNormal="100" workbookViewId="0">
      <selection activeCell="G21" sqref="G21"/>
    </sheetView>
  </sheetViews>
  <sheetFormatPr defaultColWidth="8" defaultRowHeight="15.75"/>
  <cols>
    <col min="1" max="1" width="4.140625" style="2" customWidth="1"/>
    <col min="2" max="2" width="0.85546875" style="2" customWidth="1"/>
    <col min="3" max="3" width="34.7109375" style="2" customWidth="1"/>
    <col min="4" max="4" width="0.85546875" style="2" customWidth="1"/>
    <col min="5" max="5" width="16.140625" style="2" customWidth="1"/>
    <col min="6" max="6" width="0.85546875" style="2" customWidth="1"/>
    <col min="7" max="7" width="58.5703125" style="2" customWidth="1"/>
    <col min="8" max="16384" width="8" style="2"/>
  </cols>
  <sheetData>
    <row r="1" spans="1:13">
      <c r="A1" s="287" t="s">
        <v>787</v>
      </c>
      <c r="B1" s="287"/>
      <c r="C1" s="287"/>
      <c r="D1" s="287"/>
      <c r="E1" s="287"/>
      <c r="F1" s="287"/>
      <c r="G1" s="287"/>
      <c r="H1" s="16"/>
      <c r="I1" s="16"/>
      <c r="J1" s="16"/>
      <c r="K1" s="16"/>
      <c r="L1" s="16"/>
      <c r="M1" s="16"/>
    </row>
    <row r="2" spans="1:13">
      <c r="A2" s="287" t="s">
        <v>791</v>
      </c>
      <c r="B2" s="287"/>
      <c r="C2" s="287"/>
      <c r="D2" s="287"/>
      <c r="E2" s="287"/>
      <c r="F2" s="287"/>
      <c r="G2" s="287"/>
      <c r="H2" s="16"/>
      <c r="I2" s="16"/>
      <c r="J2" s="16"/>
      <c r="K2" s="16"/>
      <c r="L2" s="16"/>
      <c r="M2" s="16"/>
    </row>
    <row r="3" spans="1:13">
      <c r="A3" s="287" t="s">
        <v>792</v>
      </c>
      <c r="B3" s="287"/>
      <c r="C3" s="287"/>
      <c r="D3" s="287"/>
      <c r="E3" s="287"/>
      <c r="F3" s="287"/>
      <c r="G3" s="287"/>
      <c r="H3" s="16"/>
      <c r="I3" s="16"/>
      <c r="J3" s="16"/>
      <c r="K3" s="16"/>
      <c r="L3" s="16"/>
      <c r="M3" s="16"/>
    </row>
    <row r="4" spans="1:13">
      <c r="A4" s="289" t="s">
        <v>236</v>
      </c>
      <c r="B4" s="289"/>
      <c r="C4" s="289"/>
      <c r="D4" s="289"/>
      <c r="E4" s="289"/>
      <c r="F4" s="289"/>
      <c r="G4" s="289"/>
    </row>
    <row r="5" spans="1:13">
      <c r="A5" s="289" t="s">
        <v>179</v>
      </c>
      <c r="B5" s="289"/>
      <c r="C5" s="289"/>
      <c r="D5" s="289"/>
      <c r="E5" s="289"/>
      <c r="F5" s="289"/>
      <c r="G5" s="289"/>
    </row>
    <row r="6" spans="1:13">
      <c r="A6" s="289" t="str">
        <f>'Sch 1 - RevReq'!A5</f>
        <v>FOR THE YEAR ENDING DECEMBER 31, 2025</v>
      </c>
      <c r="B6" s="289"/>
      <c r="C6" s="289"/>
      <c r="D6" s="289"/>
      <c r="E6" s="289"/>
      <c r="F6" s="289"/>
      <c r="G6" s="289"/>
    </row>
    <row r="7" spans="1:13">
      <c r="A7" s="287" t="s">
        <v>793</v>
      </c>
      <c r="B7" s="287"/>
      <c r="C7" s="287"/>
      <c r="D7" s="287"/>
      <c r="E7" s="287"/>
      <c r="F7" s="287"/>
      <c r="G7" s="287"/>
    </row>
    <row r="9" spans="1:13">
      <c r="A9" s="2" t="s">
        <v>2</v>
      </c>
      <c r="E9" s="3" t="s">
        <v>75</v>
      </c>
    </row>
    <row r="10" spans="1:13">
      <c r="A10" s="4" t="s">
        <v>234</v>
      </c>
      <c r="C10" s="4" t="s">
        <v>3</v>
      </c>
      <c r="E10" s="4" t="s">
        <v>49</v>
      </c>
      <c r="G10" s="4" t="s">
        <v>237</v>
      </c>
    </row>
    <row r="11" spans="1:13">
      <c r="C11" s="3" t="s">
        <v>50</v>
      </c>
      <c r="E11" s="3" t="s">
        <v>51</v>
      </c>
      <c r="G11" s="3" t="s">
        <v>86</v>
      </c>
    </row>
    <row r="13" spans="1:13">
      <c r="A13" s="5">
        <v>1</v>
      </c>
      <c r="C13" s="2" t="s">
        <v>238</v>
      </c>
    </row>
    <row r="14" spans="1:13">
      <c r="A14" s="5"/>
    </row>
    <row r="15" spans="1:13">
      <c r="A15" s="5">
        <f>A13+1</f>
        <v>2</v>
      </c>
      <c r="C15" s="2" t="s">
        <v>52</v>
      </c>
      <c r="E15" s="6">
        <f>'Sch 1 - RevReq'!E14*1000</f>
        <v>198457000</v>
      </c>
      <c r="G15" s="2" t="s">
        <v>239</v>
      </c>
    </row>
    <row r="16" spans="1:13">
      <c r="A16" s="5"/>
      <c r="E16" s="6"/>
    </row>
    <row r="17" spans="1:7">
      <c r="A17" s="5">
        <f>A15+1</f>
        <v>3</v>
      </c>
      <c r="C17" s="2" t="s">
        <v>240</v>
      </c>
      <c r="E17" s="253">
        <f>'Sch 25 - WACC'!H13</f>
        <v>2.0619461513630873E-2</v>
      </c>
      <c r="G17" s="2" t="s">
        <v>801</v>
      </c>
    </row>
    <row r="18" spans="1:7">
      <c r="A18" s="5">
        <f>A17+1</f>
        <v>4</v>
      </c>
      <c r="C18" s="2" t="s">
        <v>241</v>
      </c>
      <c r="E18" s="7">
        <f>E15*E17</f>
        <v>4092076.4736106419</v>
      </c>
      <c r="G18" s="2" t="s">
        <v>242</v>
      </c>
    </row>
    <row r="19" spans="1:7">
      <c r="A19" s="5"/>
      <c r="E19" s="7"/>
    </row>
    <row r="20" spans="1:7">
      <c r="A20" s="5">
        <f>A18+1</f>
        <v>5</v>
      </c>
      <c r="C20" s="2" t="s">
        <v>243</v>
      </c>
      <c r="E20" s="7">
        <f>'Sch 4 WP pg. 2 - Int Synch'!E15</f>
        <v>4058948.86</v>
      </c>
      <c r="G20" s="8" t="s">
        <v>796</v>
      </c>
    </row>
    <row r="21" spans="1:7">
      <c r="A21" s="5">
        <f>A20+1</f>
        <v>6</v>
      </c>
      <c r="C21" s="8" t="s">
        <v>244</v>
      </c>
      <c r="E21" s="9">
        <f>-'Sch 4 WP pg. 2 - Int Synch'!E24/0.21</f>
        <v>-263000</v>
      </c>
      <c r="G21" s="8" t="s">
        <v>797</v>
      </c>
    </row>
    <row r="22" spans="1:7">
      <c r="A22" s="5">
        <f>A21+1</f>
        <v>7</v>
      </c>
      <c r="C22" s="8" t="s">
        <v>245</v>
      </c>
      <c r="E22" s="7">
        <f>E20+E21</f>
        <v>3795948.86</v>
      </c>
    </row>
    <row r="23" spans="1:7">
      <c r="A23" s="5"/>
      <c r="E23" s="7"/>
    </row>
    <row r="24" spans="1:7" ht="16.5" thickBot="1">
      <c r="A24" s="5">
        <f>A22+1</f>
        <v>8</v>
      </c>
      <c r="C24" s="2" t="s">
        <v>246</v>
      </c>
      <c r="E24" s="10">
        <f>E18-E22</f>
        <v>296127.61361064203</v>
      </c>
      <c r="G24" s="2" t="s">
        <v>247</v>
      </c>
    </row>
    <row r="25" spans="1:7" s="8" customFormat="1" ht="16.5" thickTop="1">
      <c r="A25" s="11"/>
      <c r="E25" s="12"/>
    </row>
    <row r="26" spans="1:7" s="8" customFormat="1">
      <c r="A26" s="11">
        <v>9</v>
      </c>
      <c r="C26" s="8" t="s">
        <v>248</v>
      </c>
      <c r="E26" s="12">
        <f>-E24*0.21</f>
        <v>-62186.798858234826</v>
      </c>
      <c r="G26" s="8" t="s">
        <v>249</v>
      </c>
    </row>
    <row r="27" spans="1:7">
      <c r="A27" s="5" t="s">
        <v>232</v>
      </c>
    </row>
    <row r="28" spans="1:7">
      <c r="A28" s="5">
        <v>10</v>
      </c>
      <c r="C28" s="13" t="s">
        <v>250</v>
      </c>
      <c r="E28" s="14"/>
      <c r="G28" s="2" t="s">
        <v>232</v>
      </c>
    </row>
    <row r="29" spans="1:7">
      <c r="A29" s="5"/>
    </row>
    <row r="30" spans="1:7">
      <c r="A30" s="5">
        <f>A28+1</f>
        <v>11</v>
      </c>
      <c r="C30" s="8" t="s">
        <v>251</v>
      </c>
      <c r="D30" s="8"/>
      <c r="E30" s="15">
        <f>E26</f>
        <v>-62186.798858234826</v>
      </c>
      <c r="G30" s="2" t="s">
        <v>252</v>
      </c>
    </row>
    <row r="31" spans="1:7">
      <c r="A31" s="5"/>
      <c r="C31" s="8"/>
      <c r="D31" s="8"/>
      <c r="E31" s="12"/>
    </row>
    <row r="32" spans="1:7">
      <c r="E32" s="2" t="s">
        <v>253</v>
      </c>
    </row>
  </sheetData>
  <mergeCells count="7">
    <mergeCell ref="A7:G7"/>
    <mergeCell ref="A4:G4"/>
    <mergeCell ref="A5:G5"/>
    <mergeCell ref="A6:G6"/>
    <mergeCell ref="A1:G1"/>
    <mergeCell ref="A2:G2"/>
    <mergeCell ref="A3:G3"/>
  </mergeCells>
  <phoneticPr fontId="8" type="noConversion"/>
  <printOptions horizontalCentered="1"/>
  <pageMargins left="0.75" right="0.68" top="1" bottom="1" header="0.5" footer="0.5"/>
  <pageSetup scale="73" orientation="portrait" r:id="rId1"/>
  <headerFooter alignWithMargins="0">
    <oddHeader xml:space="preserve">&amp;RGroen Direct Exhibit 1.1, Schedule 4, WP
Page 1 of 2
&amp;"Arial,Bold"&amp;12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60"/>
  <sheetViews>
    <sheetView view="pageLayout" zoomScaleNormal="85" workbookViewId="0">
      <selection activeCell="E15" sqref="E15"/>
    </sheetView>
  </sheetViews>
  <sheetFormatPr defaultColWidth="9.140625" defaultRowHeight="15.75"/>
  <cols>
    <col min="1" max="1" width="4.42578125" style="1" customWidth="1"/>
    <col min="2" max="2" width="0.7109375" style="1" customWidth="1"/>
    <col min="3" max="3" width="48.28515625" style="1" customWidth="1"/>
    <col min="4" max="4" width="0.7109375" style="1" customWidth="1"/>
    <col min="5" max="5" width="13.28515625" style="1" bestFit="1" customWidth="1"/>
    <col min="6" max="16384" width="9.140625" style="1"/>
  </cols>
  <sheetData>
    <row r="1" spans="1:5" s="45" customFormat="1">
      <c r="A1" s="287" t="s">
        <v>787</v>
      </c>
      <c r="B1" s="287"/>
      <c r="C1" s="287"/>
      <c r="D1" s="287"/>
      <c r="E1" s="287"/>
    </row>
    <row r="2" spans="1:5" s="45" customFormat="1">
      <c r="A2" s="287" t="s">
        <v>791</v>
      </c>
      <c r="B2" s="287"/>
      <c r="C2" s="287"/>
      <c r="D2" s="287"/>
      <c r="E2" s="287"/>
    </row>
    <row r="3" spans="1:5" s="45" customFormat="1">
      <c r="A3" s="287" t="s">
        <v>792</v>
      </c>
      <c r="B3" s="287"/>
      <c r="C3" s="287"/>
      <c r="D3" s="287"/>
      <c r="E3" s="287"/>
    </row>
    <row r="4" spans="1:5" s="45" customFormat="1">
      <c r="A4" s="289" t="s">
        <v>112</v>
      </c>
      <c r="B4" s="289"/>
      <c r="C4" s="289"/>
      <c r="D4" s="289"/>
      <c r="E4" s="289"/>
    </row>
    <row r="5" spans="1:5" s="45" customFormat="1">
      <c r="A5" s="289" t="s">
        <v>254</v>
      </c>
      <c r="B5" s="289"/>
      <c r="C5" s="289"/>
      <c r="D5" s="289"/>
      <c r="E5" s="289"/>
    </row>
    <row r="6" spans="1:5" ht="15.6" hidden="1" customHeight="1">
      <c r="A6" s="291"/>
      <c r="B6" s="291"/>
      <c r="C6" s="291"/>
      <c r="D6" s="291"/>
      <c r="E6" s="291"/>
    </row>
    <row r="7" spans="1:5" s="45" customFormat="1">
      <c r="A7" s="289" t="str">
        <f>'Sch 1 - RevReq'!A5</f>
        <v>FOR THE YEAR ENDING DECEMBER 31, 2025</v>
      </c>
      <c r="B7" s="289"/>
      <c r="C7" s="289"/>
      <c r="D7" s="289"/>
      <c r="E7" s="289"/>
    </row>
    <row r="8" spans="1:5" ht="15" customHeight="1">
      <c r="A8" s="287" t="s">
        <v>793</v>
      </c>
      <c r="B8" s="287"/>
      <c r="C8" s="287"/>
      <c r="D8" s="287"/>
      <c r="E8" s="287"/>
    </row>
    <row r="10" spans="1:5">
      <c r="A10" s="46" t="s">
        <v>2</v>
      </c>
      <c r="E10" s="46" t="s">
        <v>255</v>
      </c>
    </row>
    <row r="11" spans="1:5">
      <c r="A11" s="47" t="s">
        <v>234</v>
      </c>
      <c r="C11" s="47" t="s">
        <v>3</v>
      </c>
      <c r="E11" s="47" t="s">
        <v>256</v>
      </c>
    </row>
    <row r="12" spans="1:5">
      <c r="C12" s="46" t="s">
        <v>257</v>
      </c>
    </row>
    <row r="14" spans="1:5">
      <c r="A14" s="46">
        <v>1</v>
      </c>
      <c r="C14" s="1" t="s">
        <v>258</v>
      </c>
      <c r="E14" s="160">
        <v>9917504.0800000001</v>
      </c>
    </row>
    <row r="15" spans="1:5">
      <c r="A15" s="46">
        <f>+A14+1</f>
        <v>2</v>
      </c>
      <c r="C15" s="1" t="s">
        <v>259</v>
      </c>
      <c r="E15" s="160">
        <v>4058948.86</v>
      </c>
    </row>
    <row r="16" spans="1:5" ht="14.25" customHeight="1">
      <c r="A16" s="46">
        <f t="shared" ref="A16:A53" si="0">+A15+1</f>
        <v>3</v>
      </c>
      <c r="C16" s="1" t="s">
        <v>260</v>
      </c>
      <c r="E16" s="162">
        <v>0</v>
      </c>
    </row>
    <row r="17" spans="1:5" ht="14.25" customHeight="1">
      <c r="A17" s="46">
        <f t="shared" si="0"/>
        <v>4</v>
      </c>
      <c r="C17" s="1" t="s">
        <v>261</v>
      </c>
      <c r="E17" s="160">
        <f>E14-E15-E16</f>
        <v>5858555.2200000007</v>
      </c>
    </row>
    <row r="18" spans="1:5" ht="14.25" customHeight="1">
      <c r="A18" s="46">
        <f t="shared" si="0"/>
        <v>5</v>
      </c>
      <c r="C18" s="1" t="s">
        <v>262</v>
      </c>
      <c r="E18" s="160">
        <v>733015.90000000014</v>
      </c>
    </row>
    <row r="19" spans="1:5">
      <c r="A19" s="46">
        <f t="shared" si="0"/>
        <v>6</v>
      </c>
      <c r="C19" s="1" t="s">
        <v>263</v>
      </c>
      <c r="E19" s="162">
        <v>-361549.07</v>
      </c>
    </row>
    <row r="20" spans="1:5">
      <c r="A20" s="46">
        <f t="shared" si="0"/>
        <v>7</v>
      </c>
      <c r="C20" s="1" t="s">
        <v>264</v>
      </c>
      <c r="E20" s="160">
        <f>E17+E18+E19</f>
        <v>6230022.0500000007</v>
      </c>
    </row>
    <row r="21" spans="1:5">
      <c r="A21" s="46">
        <f t="shared" si="0"/>
        <v>8</v>
      </c>
      <c r="C21" s="1" t="s">
        <v>265</v>
      </c>
      <c r="E21" s="160">
        <f>ROUND(E20*0.21,2)</f>
        <v>1308304.6299999999</v>
      </c>
    </row>
    <row r="22" spans="1:5">
      <c r="A22" s="46">
        <f t="shared" si="0"/>
        <v>9</v>
      </c>
      <c r="C22" s="1" t="s">
        <v>266</v>
      </c>
      <c r="E22" s="162">
        <v>75925.3</v>
      </c>
    </row>
    <row r="23" spans="1:5" ht="18.75" customHeight="1">
      <c r="A23" s="46">
        <f t="shared" si="0"/>
        <v>10</v>
      </c>
      <c r="C23" s="1" t="s">
        <v>267</v>
      </c>
      <c r="E23" s="160">
        <f>SUM(E21:E22)</f>
        <v>1384229.93</v>
      </c>
    </row>
    <row r="24" spans="1:5" ht="18.75" customHeight="1">
      <c r="A24" s="46">
        <f t="shared" si="0"/>
        <v>11</v>
      </c>
      <c r="C24" s="1" t="s">
        <v>268</v>
      </c>
      <c r="E24" s="160">
        <v>55230</v>
      </c>
    </row>
    <row r="25" spans="1:5" ht="18.75" customHeight="1">
      <c r="A25" s="46">
        <f t="shared" si="0"/>
        <v>12</v>
      </c>
      <c r="C25" s="1" t="s">
        <v>269</v>
      </c>
      <c r="E25" s="160">
        <v>0</v>
      </c>
    </row>
    <row r="26" spans="1:5" ht="18.75" customHeight="1">
      <c r="A26" s="46">
        <f t="shared" si="0"/>
        <v>13</v>
      </c>
      <c r="C26" s="1" t="s">
        <v>270</v>
      </c>
      <c r="E26" s="160">
        <v>0</v>
      </c>
    </row>
    <row r="27" spans="1:5" ht="18.75" customHeight="1">
      <c r="A27" s="46">
        <f t="shared" si="0"/>
        <v>14</v>
      </c>
      <c r="C27" s="1" t="s">
        <v>271</v>
      </c>
      <c r="E27" s="160">
        <v>-328204.12999999989</v>
      </c>
    </row>
    <row r="28" spans="1:5" ht="18.75" customHeight="1">
      <c r="A28" s="46">
        <f t="shared" si="0"/>
        <v>15</v>
      </c>
      <c r="C28" s="1" t="s">
        <v>272</v>
      </c>
      <c r="E28" s="162">
        <v>0</v>
      </c>
    </row>
    <row r="29" spans="1:5">
      <c r="A29" s="46">
        <f t="shared" si="0"/>
        <v>16</v>
      </c>
      <c r="C29" s="1" t="s">
        <v>235</v>
      </c>
      <c r="E29" s="160">
        <f>E23+E24+E25+E26+E27+E28</f>
        <v>1111255.8</v>
      </c>
    </row>
    <row r="30" spans="1:5">
      <c r="A30" s="46">
        <f t="shared" si="0"/>
        <v>17</v>
      </c>
      <c r="C30" s="1" t="s">
        <v>273</v>
      </c>
      <c r="D30" s="48"/>
      <c r="E30" s="160"/>
    </row>
    <row r="31" spans="1:5">
      <c r="A31" s="46">
        <f t="shared" si="0"/>
        <v>18</v>
      </c>
      <c r="C31" s="1" t="s">
        <v>265</v>
      </c>
      <c r="E31" s="160">
        <v>-954542.42</v>
      </c>
    </row>
    <row r="32" spans="1:5">
      <c r="A32" s="46">
        <f t="shared" si="0"/>
        <v>19</v>
      </c>
      <c r="C32" s="1" t="s">
        <v>269</v>
      </c>
      <c r="E32" s="160">
        <v>0</v>
      </c>
    </row>
    <row r="33" spans="1:5">
      <c r="A33" s="46">
        <f t="shared" si="0"/>
        <v>20</v>
      </c>
      <c r="C33" s="1" t="s">
        <v>274</v>
      </c>
      <c r="E33" s="160">
        <v>892284.44</v>
      </c>
    </row>
    <row r="34" spans="1:5">
      <c r="A34" s="46">
        <f t="shared" si="0"/>
        <v>21</v>
      </c>
      <c r="C34" s="1" t="s">
        <v>275</v>
      </c>
      <c r="E34" s="160">
        <v>7.0000000006984919E-2</v>
      </c>
    </row>
    <row r="35" spans="1:5">
      <c r="A35" s="46">
        <f t="shared" si="0"/>
        <v>22</v>
      </c>
      <c r="C35" s="1" t="s">
        <v>276</v>
      </c>
      <c r="E35" s="162">
        <v>-860.07</v>
      </c>
    </row>
    <row r="36" spans="1:5">
      <c r="A36" s="46">
        <f t="shared" si="0"/>
        <v>23</v>
      </c>
      <c r="C36" s="1" t="s">
        <v>77</v>
      </c>
      <c r="E36" s="160">
        <f>SUM(E29:E35)</f>
        <v>1048137.82</v>
      </c>
    </row>
    <row r="37" spans="1:5">
      <c r="A37" s="46">
        <f t="shared" si="0"/>
        <v>24</v>
      </c>
      <c r="C37" s="49"/>
      <c r="E37" s="160"/>
    </row>
    <row r="38" spans="1:5">
      <c r="A38" s="46">
        <f t="shared" si="0"/>
        <v>25</v>
      </c>
      <c r="C38" s="258" t="s">
        <v>277</v>
      </c>
      <c r="E38" s="160"/>
    </row>
    <row r="39" spans="1:5">
      <c r="A39" s="46">
        <f t="shared" si="0"/>
        <v>26</v>
      </c>
      <c r="C39" s="1" t="s">
        <v>276</v>
      </c>
      <c r="E39" s="160">
        <f>E35</f>
        <v>-860.07</v>
      </c>
    </row>
    <row r="40" spans="1:5">
      <c r="A40" s="46">
        <f t="shared" si="0"/>
        <v>27</v>
      </c>
      <c r="C40" s="1" t="s">
        <v>265</v>
      </c>
      <c r="E40" s="160">
        <f>E23+E31+E24</f>
        <v>484917.50999999989</v>
      </c>
    </row>
    <row r="41" spans="1:5">
      <c r="A41" s="46">
        <f t="shared" si="0"/>
        <v>28</v>
      </c>
      <c r="C41" s="1" t="s">
        <v>269</v>
      </c>
      <c r="E41" s="160">
        <f>E25+E32+E26</f>
        <v>0</v>
      </c>
    </row>
    <row r="42" spans="1:5">
      <c r="A42" s="46">
        <f t="shared" si="0"/>
        <v>29</v>
      </c>
      <c r="C42" s="1" t="s">
        <v>278</v>
      </c>
      <c r="E42" s="160">
        <f t="shared" ref="E42:E43" si="1">E27+E33</f>
        <v>564080.31000000006</v>
      </c>
    </row>
    <row r="43" spans="1:5">
      <c r="A43" s="46">
        <f t="shared" si="0"/>
        <v>30</v>
      </c>
      <c r="C43" s="1" t="s">
        <v>279</v>
      </c>
      <c r="E43" s="162">
        <f t="shared" si="1"/>
        <v>7.0000000006984919E-2</v>
      </c>
    </row>
    <row r="44" spans="1:5" ht="16.5" thickBot="1">
      <c r="A44" s="46">
        <f t="shared" si="0"/>
        <v>31</v>
      </c>
      <c r="C44" s="1" t="s">
        <v>77</v>
      </c>
      <c r="E44" s="163">
        <f>SUM(E39:E43)</f>
        <v>1048137.8200000001</v>
      </c>
    </row>
    <row r="45" spans="1:5" ht="16.5" thickTop="1">
      <c r="A45" s="46">
        <f t="shared" si="0"/>
        <v>32</v>
      </c>
      <c r="C45" s="49"/>
      <c r="E45" s="160"/>
    </row>
    <row r="46" spans="1:5">
      <c r="A46" s="46">
        <f t="shared" si="0"/>
        <v>33</v>
      </c>
      <c r="E46" s="160"/>
    </row>
    <row r="47" spans="1:5">
      <c r="A47" s="46">
        <f t="shared" si="0"/>
        <v>34</v>
      </c>
      <c r="C47" s="1" t="s">
        <v>280</v>
      </c>
      <c r="E47" s="160"/>
    </row>
    <row r="48" spans="1:5">
      <c r="A48" s="46">
        <f t="shared" si="0"/>
        <v>35</v>
      </c>
      <c r="C48" s="1" t="s">
        <v>281</v>
      </c>
      <c r="E48" s="160">
        <v>-860.07</v>
      </c>
    </row>
    <row r="49" spans="1:5">
      <c r="A49" s="46">
        <f t="shared" si="0"/>
        <v>36</v>
      </c>
      <c r="C49" s="1" t="s">
        <v>282</v>
      </c>
      <c r="E49" s="160">
        <v>484917.51</v>
      </c>
    </row>
    <row r="50" spans="1:5">
      <c r="A50" s="46">
        <f t="shared" si="0"/>
        <v>37</v>
      </c>
      <c r="C50" s="1" t="s">
        <v>283</v>
      </c>
      <c r="E50" s="160">
        <v>0</v>
      </c>
    </row>
    <row r="51" spans="1:5">
      <c r="A51" s="46">
        <f t="shared" si="0"/>
        <v>38</v>
      </c>
      <c r="C51" s="1" t="s">
        <v>284</v>
      </c>
      <c r="E51" s="160">
        <v>564080.31000000052</v>
      </c>
    </row>
    <row r="52" spans="1:5">
      <c r="A52" s="46">
        <f t="shared" si="0"/>
        <v>39</v>
      </c>
      <c r="C52" s="50" t="s">
        <v>285</v>
      </c>
      <c r="E52" s="162">
        <v>0</v>
      </c>
    </row>
    <row r="53" spans="1:5" ht="16.5" thickBot="1">
      <c r="A53" s="46">
        <f t="shared" si="0"/>
        <v>40</v>
      </c>
      <c r="C53" s="1" t="s">
        <v>77</v>
      </c>
      <c r="E53" s="163">
        <f>SUM(E48:E52)</f>
        <v>1048137.7500000005</v>
      </c>
    </row>
    <row r="54" spans="1:5" ht="16.5" thickTop="1">
      <c r="E54" s="161"/>
    </row>
    <row r="55" spans="1:5">
      <c r="E55" s="161"/>
    </row>
    <row r="56" spans="1:5">
      <c r="E56" s="45"/>
    </row>
    <row r="57" spans="1:5">
      <c r="E57" s="161"/>
    </row>
    <row r="58" spans="1:5">
      <c r="E58" s="161"/>
    </row>
    <row r="59" spans="1:5">
      <c r="E59" s="161"/>
    </row>
    <row r="60" spans="1:5">
      <c r="E60" s="161"/>
    </row>
  </sheetData>
  <mergeCells count="8">
    <mergeCell ref="A8:E8"/>
    <mergeCell ref="A7:E7"/>
    <mergeCell ref="A1:E1"/>
    <mergeCell ref="A2:E2"/>
    <mergeCell ref="A3:E3"/>
    <mergeCell ref="A4:E4"/>
    <mergeCell ref="A5:E5"/>
    <mergeCell ref="A6:E6"/>
  </mergeCells>
  <phoneticPr fontId="5" type="noConversion"/>
  <printOptions horizontalCentered="1"/>
  <pageMargins left="0.75" right="0.68" top="1" bottom="1" header="0.5" footer="0.5"/>
  <pageSetup scale="79" orientation="portrait" r:id="rId1"/>
  <headerFooter alignWithMargins="0">
    <oddHeader xml:space="preserve">&amp;RGroen Direct Exhibit 1.1, Schedule 4, WP 
Page 2 of 2
&amp;"Arial,Bold"&amp;12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59"/>
  <sheetViews>
    <sheetView view="pageLayout" zoomScaleNormal="100" workbookViewId="0">
      <selection activeCell="H45" sqref="H45"/>
    </sheetView>
  </sheetViews>
  <sheetFormatPr defaultColWidth="8" defaultRowHeight="15.75"/>
  <cols>
    <col min="1" max="1" width="4.42578125" style="2" customWidth="1"/>
    <col min="2" max="2" width="0.85546875" style="2" customWidth="1"/>
    <col min="3" max="3" width="28.28515625" style="2" customWidth="1"/>
    <col min="4" max="4" width="15.42578125" style="2" customWidth="1"/>
    <col min="5" max="5" width="0.85546875" style="2" customWidth="1"/>
    <col min="6" max="6" width="13.5703125" style="2" customWidth="1"/>
    <col min="7" max="7" width="0.85546875" style="2" customWidth="1"/>
    <col min="8" max="8" width="42.85546875" style="2" customWidth="1"/>
    <col min="9" max="9" width="8.7109375" style="2" customWidth="1"/>
    <col min="10" max="16384" width="8" style="2"/>
  </cols>
  <sheetData>
    <row r="1" spans="1:8">
      <c r="A1" s="287" t="s">
        <v>787</v>
      </c>
      <c r="B1" s="287"/>
      <c r="C1" s="287"/>
      <c r="D1" s="287"/>
      <c r="E1" s="287"/>
      <c r="F1" s="287"/>
      <c r="G1" s="287"/>
      <c r="H1" s="287"/>
    </row>
    <row r="2" spans="1:8">
      <c r="A2" s="287" t="s">
        <v>791</v>
      </c>
      <c r="B2" s="287"/>
      <c r="C2" s="287"/>
      <c r="D2" s="287"/>
      <c r="E2" s="287"/>
      <c r="F2" s="287"/>
      <c r="G2" s="287"/>
      <c r="H2" s="287"/>
    </row>
    <row r="3" spans="1:8">
      <c r="A3" s="287" t="s">
        <v>792</v>
      </c>
      <c r="B3" s="287"/>
      <c r="C3" s="287"/>
      <c r="D3" s="287"/>
      <c r="E3" s="287"/>
      <c r="F3" s="287"/>
      <c r="G3" s="287"/>
      <c r="H3" s="287"/>
    </row>
    <row r="4" spans="1:8">
      <c r="A4" s="289" t="s">
        <v>112</v>
      </c>
      <c r="B4" s="289"/>
      <c r="C4" s="289"/>
      <c r="D4" s="289"/>
      <c r="E4" s="289"/>
      <c r="F4" s="289"/>
      <c r="G4" s="289"/>
      <c r="H4" s="289"/>
    </row>
    <row r="5" spans="1:8">
      <c r="A5" s="289" t="s">
        <v>286</v>
      </c>
      <c r="B5" s="289"/>
      <c r="C5" s="289"/>
      <c r="D5" s="289"/>
      <c r="E5" s="289"/>
      <c r="F5" s="289"/>
      <c r="G5" s="289"/>
      <c r="H5" s="289"/>
    </row>
    <row r="6" spans="1:8">
      <c r="A6" s="289" t="str">
        <f>'Sch 1 - RevReq'!A5</f>
        <v>FOR THE YEAR ENDING DECEMBER 31, 2025</v>
      </c>
      <c r="B6" s="289"/>
      <c r="C6" s="289"/>
      <c r="D6" s="289"/>
      <c r="E6" s="289"/>
      <c r="F6" s="289"/>
      <c r="G6" s="289"/>
      <c r="H6" s="289"/>
    </row>
    <row r="7" spans="1:8">
      <c r="A7" s="287" t="s">
        <v>793</v>
      </c>
      <c r="B7" s="287"/>
      <c r="C7" s="287"/>
      <c r="D7" s="287"/>
      <c r="E7" s="287"/>
      <c r="F7" s="287"/>
      <c r="G7" s="287"/>
      <c r="H7" s="287"/>
    </row>
    <row r="9" spans="1:8" ht="48" thickBot="1">
      <c r="A9" s="281" t="s">
        <v>876</v>
      </c>
      <c r="C9" s="75" t="s">
        <v>3</v>
      </c>
      <c r="D9" s="51"/>
      <c r="F9" s="53" t="s">
        <v>287</v>
      </c>
      <c r="H9" s="53" t="s">
        <v>237</v>
      </c>
    </row>
    <row r="10" spans="1:8">
      <c r="A10" s="13"/>
      <c r="C10" s="3" t="s">
        <v>50</v>
      </c>
      <c r="F10" s="3" t="s">
        <v>51</v>
      </c>
      <c r="H10" s="3" t="s">
        <v>86</v>
      </c>
    </row>
    <row r="11" spans="1:8">
      <c r="A11" s="13"/>
      <c r="C11" s="76"/>
      <c r="F11" s="76"/>
      <c r="H11" s="76"/>
    </row>
    <row r="12" spans="1:8">
      <c r="A12" s="5">
        <v>1</v>
      </c>
      <c r="C12" s="2" t="s">
        <v>288</v>
      </c>
      <c r="F12" s="78">
        <v>8085673.5300000003</v>
      </c>
      <c r="H12" s="2" t="s">
        <v>798</v>
      </c>
    </row>
    <row r="13" spans="1:8">
      <c r="A13" s="5">
        <f>+A12+1</f>
        <v>2</v>
      </c>
      <c r="C13" s="2" t="s">
        <v>289</v>
      </c>
      <c r="F13" s="48">
        <v>9.3200000000000005E-2</v>
      </c>
      <c r="H13" s="2" t="s">
        <v>799</v>
      </c>
    </row>
    <row r="14" spans="1:8">
      <c r="A14" s="5">
        <f>+A13+1</f>
        <v>3</v>
      </c>
      <c r="C14" s="2" t="s">
        <v>290</v>
      </c>
      <c r="F14" s="78">
        <f>F12*F13</f>
        <v>753584.77299600001</v>
      </c>
      <c r="H14" s="2" t="s">
        <v>291</v>
      </c>
    </row>
    <row r="15" spans="1:8">
      <c r="A15" s="5"/>
      <c r="F15" s="78"/>
    </row>
    <row r="16" spans="1:8">
      <c r="A16" s="5">
        <f>A14+1</f>
        <v>4</v>
      </c>
      <c r="C16" s="2" t="s">
        <v>292</v>
      </c>
      <c r="F16" s="48">
        <v>3.7900000000000003E-2</v>
      </c>
      <c r="H16" s="2" t="s">
        <v>799</v>
      </c>
    </row>
    <row r="17" spans="1:8">
      <c r="A17" s="5">
        <f>A16+1</f>
        <v>5</v>
      </c>
      <c r="C17" s="2" t="s">
        <v>293</v>
      </c>
      <c r="F17" s="78">
        <f>F12*F16</f>
        <v>306447.02678700001</v>
      </c>
      <c r="H17" s="2" t="s">
        <v>294</v>
      </c>
    </row>
    <row r="18" spans="1:8">
      <c r="A18" s="5"/>
    </row>
    <row r="19" spans="1:8">
      <c r="A19" s="5">
        <f>+A17+1</f>
        <v>6</v>
      </c>
      <c r="C19" s="2" t="s">
        <v>295</v>
      </c>
      <c r="F19" s="272">
        <f>'Sch 5 WP pg. 5 - DirectPay2025'!O41</f>
        <v>0.6359265546374645</v>
      </c>
      <c r="H19" s="2" t="s">
        <v>800</v>
      </c>
    </row>
    <row r="20" spans="1:8">
      <c r="A20" s="5"/>
    </row>
    <row r="21" spans="1:8">
      <c r="A21" s="5">
        <f>+A19+1</f>
        <v>7</v>
      </c>
      <c r="C21" s="2" t="s">
        <v>296</v>
      </c>
      <c r="F21" s="7">
        <f>F12*F19</f>
        <v>5141894.5098562455</v>
      </c>
      <c r="H21" s="2" t="s">
        <v>297</v>
      </c>
    </row>
    <row r="22" spans="1:8">
      <c r="A22" s="5">
        <f>A21+1</f>
        <v>8</v>
      </c>
      <c r="C22" s="2" t="s">
        <v>298</v>
      </c>
      <c r="F22" s="78">
        <f>F17*F19</f>
        <v>194877.80192355171</v>
      </c>
      <c r="H22" s="2" t="s">
        <v>299</v>
      </c>
    </row>
    <row r="23" spans="1:8">
      <c r="A23" s="5">
        <f>A22+1</f>
        <v>9</v>
      </c>
      <c r="C23" s="2" t="s">
        <v>300</v>
      </c>
      <c r="F23" s="78">
        <f>F14*F19</f>
        <v>479224.56831860211</v>
      </c>
      <c r="H23" s="2" t="s">
        <v>301</v>
      </c>
    </row>
    <row r="24" spans="1:8">
      <c r="A24" s="5"/>
      <c r="F24" s="7" t="s">
        <v>232</v>
      </c>
    </row>
    <row r="25" spans="1:8">
      <c r="A25" s="5">
        <f>A23+1</f>
        <v>10</v>
      </c>
      <c r="C25" s="2" t="s">
        <v>302</v>
      </c>
      <c r="D25" s="48">
        <f>'Sch 5 WP pg. 5 - DirectPay2025'!O49</f>
        <v>0.21732677103123441</v>
      </c>
      <c r="F25" s="79">
        <f>F21*D25</f>
        <v>1117471.3308102896</v>
      </c>
      <c r="H25" s="2" t="s">
        <v>802</v>
      </c>
    </row>
    <row r="26" spans="1:8">
      <c r="A26" s="5">
        <f>A25+1</f>
        <v>11</v>
      </c>
      <c r="C26" s="2" t="s">
        <v>303</v>
      </c>
      <c r="D26" s="48">
        <f>'Sch 5 WP pg. 5 - DirectPay2025'!O49</f>
        <v>0.21732677103123441</v>
      </c>
      <c r="F26" s="79">
        <f>F22*D26</f>
        <v>42352.163437709976</v>
      </c>
      <c r="H26" s="2" t="s">
        <v>803</v>
      </c>
    </row>
    <row r="27" spans="1:8">
      <c r="A27" s="5">
        <f>A26+1</f>
        <v>12</v>
      </c>
      <c r="C27" s="2" t="s">
        <v>304</v>
      </c>
      <c r="D27" s="48">
        <f>'Sch 5 WP pg. 5 - DirectPay2025'!O49</f>
        <v>0.21732677103123441</v>
      </c>
      <c r="F27" s="78">
        <f>F23*D27</f>
        <v>104148.32803151899</v>
      </c>
      <c r="H27" s="2" t="s">
        <v>804</v>
      </c>
    </row>
    <row r="28" spans="1:8">
      <c r="A28" s="5"/>
    </row>
    <row r="29" spans="1:8">
      <c r="A29" s="5">
        <f>+A27+1</f>
        <v>13</v>
      </c>
      <c r="C29" s="2" t="s">
        <v>305</v>
      </c>
    </row>
    <row r="30" spans="1:8">
      <c r="A30" s="5">
        <f>A29+1</f>
        <v>14</v>
      </c>
      <c r="C30" s="2" t="s">
        <v>306</v>
      </c>
      <c r="D30" s="48">
        <f>'Sch 5 WP pg. 5 - DirectPay2025'!E26</f>
        <v>0.89520792281035533</v>
      </c>
      <c r="F30" s="78">
        <f>F25*D30</f>
        <v>1000369.1888548027</v>
      </c>
      <c r="H30" s="2" t="s">
        <v>805</v>
      </c>
    </row>
    <row r="31" spans="1:8">
      <c r="A31" s="5">
        <f>A30+1</f>
        <v>15</v>
      </c>
      <c r="C31" s="2" t="s">
        <v>307</v>
      </c>
      <c r="D31" s="48">
        <f>'Sch 5 WP pg. 5 - DirectPay2025'!G26</f>
        <v>9.8040586703548899E-2</v>
      </c>
      <c r="F31" s="78">
        <f>F25*D31</f>
        <v>109557.54489703637</v>
      </c>
      <c r="H31" s="2" t="s">
        <v>805</v>
      </c>
    </row>
    <row r="32" spans="1:8">
      <c r="A32" s="5">
        <f>A31+1</f>
        <v>16</v>
      </c>
      <c r="C32" s="2" t="s">
        <v>308</v>
      </c>
      <c r="D32" s="48">
        <f>'Sch 5 WP pg. 5 - DirectPay2025'!I26</f>
        <v>0.13656760267732215</v>
      </c>
      <c r="F32" s="78">
        <f>F25*D32</f>
        <v>152610.38070939804</v>
      </c>
      <c r="H32" s="2" t="s">
        <v>805</v>
      </c>
    </row>
    <row r="33" spans="1:8">
      <c r="A33" s="5">
        <f>A32+1</f>
        <v>17</v>
      </c>
      <c r="C33" s="2" t="s">
        <v>309</v>
      </c>
      <c r="D33" s="48">
        <f>'Sch 5 WP pg. 5 - DirectPay2025'!K26</f>
        <v>5.1560739865607842E-3</v>
      </c>
      <c r="F33" s="78">
        <f>F25*D33</f>
        <v>5761.7648595183946</v>
      </c>
      <c r="H33" s="2" t="s">
        <v>805</v>
      </c>
    </row>
    <row r="34" spans="1:8">
      <c r="A34" s="5"/>
      <c r="F34" s="7" t="s">
        <v>232</v>
      </c>
    </row>
    <row r="35" spans="1:8">
      <c r="A35" s="5">
        <f>+A33+1</f>
        <v>18</v>
      </c>
      <c r="C35" s="2" t="s">
        <v>310</v>
      </c>
    </row>
    <row r="36" spans="1:8">
      <c r="A36" s="5">
        <f>A35+1</f>
        <v>19</v>
      </c>
      <c r="C36" s="2" t="s">
        <v>306</v>
      </c>
      <c r="D36" s="48">
        <f>D30</f>
        <v>0.89520792281035533</v>
      </c>
      <c r="F36" s="78">
        <f>F26*D36</f>
        <v>37913.992257597027</v>
      </c>
      <c r="H36" s="2" t="s">
        <v>806</v>
      </c>
    </row>
    <row r="37" spans="1:8">
      <c r="A37" s="5">
        <f>A36+1</f>
        <v>20</v>
      </c>
      <c r="C37" s="2" t="s">
        <v>307</v>
      </c>
      <c r="D37" s="48">
        <f>D31</f>
        <v>9.8040586703548899E-2</v>
      </c>
      <c r="F37" s="78">
        <f>F26*D37</f>
        <v>4152.2309515976785</v>
      </c>
      <c r="H37" s="2" t="s">
        <v>806</v>
      </c>
    </row>
    <row r="38" spans="1:8">
      <c r="A38" s="5">
        <f>A37+1</f>
        <v>21</v>
      </c>
      <c r="C38" s="2" t="s">
        <v>308</v>
      </c>
      <c r="D38" s="48">
        <f>D32</f>
        <v>0.13656760267732215</v>
      </c>
      <c r="F38" s="78">
        <f>F26*D38</f>
        <v>5783.9334288861864</v>
      </c>
      <c r="H38" s="2" t="s">
        <v>806</v>
      </c>
    </row>
    <row r="39" spans="1:8">
      <c r="A39" s="5">
        <f>A38+1</f>
        <v>22</v>
      </c>
      <c r="C39" s="2" t="s">
        <v>309</v>
      </c>
      <c r="D39" s="48">
        <f>D33</f>
        <v>5.1560739865607842E-3</v>
      </c>
      <c r="F39" s="78">
        <f>F26*D39</f>
        <v>218.37088817574715</v>
      </c>
      <c r="H39" s="2" t="s">
        <v>806</v>
      </c>
    </row>
    <row r="40" spans="1:8">
      <c r="A40" s="5"/>
      <c r="F40" s="7" t="s">
        <v>232</v>
      </c>
    </row>
    <row r="41" spans="1:8">
      <c r="A41" s="5">
        <f>+A39+1</f>
        <v>23</v>
      </c>
      <c r="C41" s="2" t="s">
        <v>311</v>
      </c>
    </row>
    <row r="42" spans="1:8">
      <c r="A42" s="5">
        <f>A41+1</f>
        <v>24</v>
      </c>
      <c r="C42" s="2" t="s">
        <v>306</v>
      </c>
      <c r="D42" s="48">
        <f>D30</f>
        <v>0.89520792281035533</v>
      </c>
      <c r="F42" s="78">
        <f>F27*D42</f>
        <v>93234.408401267618</v>
      </c>
      <c r="H42" s="2" t="s">
        <v>807</v>
      </c>
    </row>
    <row r="43" spans="1:8">
      <c r="A43" s="5">
        <f>A42+1</f>
        <v>25</v>
      </c>
      <c r="C43" s="2" t="s">
        <v>307</v>
      </c>
      <c r="D43" s="48">
        <f>D31</f>
        <v>9.8040586703548899E-2</v>
      </c>
      <c r="F43" s="78">
        <f>F27*D43</f>
        <v>10210.76318440379</v>
      </c>
      <c r="H43" s="2" t="s">
        <v>807</v>
      </c>
    </row>
    <row r="44" spans="1:8">
      <c r="A44" s="5">
        <f>A43+1</f>
        <v>26</v>
      </c>
      <c r="C44" s="2" t="s">
        <v>308</v>
      </c>
      <c r="D44" s="48">
        <f>D32</f>
        <v>0.13656760267732215</v>
      </c>
      <c r="F44" s="78">
        <f>F27*D44</f>
        <v>14223.287482115898</v>
      </c>
      <c r="H44" s="2" t="s">
        <v>807</v>
      </c>
    </row>
    <row r="45" spans="1:8">
      <c r="A45" s="5">
        <f>A44+1</f>
        <v>27</v>
      </c>
      <c r="C45" s="2" t="s">
        <v>309</v>
      </c>
      <c r="D45" s="48">
        <f>D33</f>
        <v>5.1560739865607842E-3</v>
      </c>
      <c r="F45" s="78">
        <f>F27*D45</f>
        <v>536.99648490711445</v>
      </c>
      <c r="H45" s="2" t="s">
        <v>807</v>
      </c>
    </row>
    <row r="46" spans="1:8">
      <c r="A46" s="5"/>
    </row>
    <row r="47" spans="1:8" ht="16.5" thickBot="1">
      <c r="A47" s="5">
        <f>+A45+1</f>
        <v>28</v>
      </c>
      <c r="C47" s="13" t="s">
        <v>312</v>
      </c>
    </row>
    <row r="48" spans="1:8" ht="16.5" thickBot="1">
      <c r="A48" s="5">
        <f>A47+1</f>
        <v>29</v>
      </c>
      <c r="C48" s="13" t="s">
        <v>313</v>
      </c>
      <c r="F48" s="80">
        <f>+F32</f>
        <v>152610.38070939804</v>
      </c>
      <c r="H48" s="2" t="s">
        <v>314</v>
      </c>
    </row>
    <row r="49" spans="1:8">
      <c r="A49" s="5"/>
    </row>
    <row r="50" spans="1:8" ht="16.5" thickBot="1">
      <c r="A50" s="5">
        <f>+A48+1</f>
        <v>30</v>
      </c>
      <c r="C50" s="13" t="s">
        <v>312</v>
      </c>
    </row>
    <row r="51" spans="1:8" ht="16.5" thickBot="1">
      <c r="A51" s="5">
        <f>A50+1</f>
        <v>31</v>
      </c>
      <c r="C51" s="13" t="s">
        <v>315</v>
      </c>
      <c r="F51" s="80">
        <f>F38</f>
        <v>5783.9334288861864</v>
      </c>
      <c r="H51" s="2" t="s">
        <v>316</v>
      </c>
    </row>
    <row r="53" spans="1:8" ht="16.5" thickBot="1">
      <c r="A53" s="5">
        <f>+A51+1</f>
        <v>32</v>
      </c>
      <c r="C53" s="13" t="s">
        <v>317</v>
      </c>
    </row>
    <row r="54" spans="1:8">
      <c r="A54" s="5">
        <f>A53+1</f>
        <v>33</v>
      </c>
      <c r="C54" s="13" t="s">
        <v>318</v>
      </c>
      <c r="F54" s="81">
        <f>F48*0.0877</f>
        <v>13383.930388214209</v>
      </c>
    </row>
    <row r="55" spans="1:8">
      <c r="A55" s="5">
        <f>A54+1</f>
        <v>34</v>
      </c>
      <c r="C55" s="13" t="s">
        <v>319</v>
      </c>
      <c r="F55" s="82">
        <f>F48*0.0005</f>
        <v>76.305190354699022</v>
      </c>
    </row>
    <row r="56" spans="1:8" ht="16.5" thickBot="1">
      <c r="A56" s="5">
        <f>A55+1</f>
        <v>35</v>
      </c>
      <c r="C56" s="13" t="s">
        <v>320</v>
      </c>
      <c r="F56" s="83">
        <f>F48*0.0006</f>
        <v>91.566228425638812</v>
      </c>
    </row>
    <row r="57" spans="1:8" ht="16.5" thickBot="1">
      <c r="A57" s="5">
        <f>A56+1</f>
        <v>36</v>
      </c>
      <c r="C57" s="13" t="s">
        <v>321</v>
      </c>
      <c r="F57" s="83">
        <f>+F54+F55+F56</f>
        <v>13551.801806994546</v>
      </c>
      <c r="H57" s="2" t="s">
        <v>322</v>
      </c>
    </row>
    <row r="59" spans="1:8">
      <c r="F59" s="2" t="s">
        <v>323</v>
      </c>
    </row>
  </sheetData>
  <mergeCells count="7">
    <mergeCell ref="A7:H7"/>
    <mergeCell ref="A6:H6"/>
    <mergeCell ref="A1:H1"/>
    <mergeCell ref="A2:H2"/>
    <mergeCell ref="A3:H3"/>
    <mergeCell ref="A4:H4"/>
    <mergeCell ref="A5:H5"/>
  </mergeCells>
  <phoneticPr fontId="8" type="noConversion"/>
  <printOptions horizontalCentered="1"/>
  <pageMargins left="0.75" right="0.75" top="1" bottom="1" header="0.5" footer="0.5"/>
  <pageSetup scale="68" orientation="portrait" r:id="rId1"/>
  <headerFooter alignWithMargins="0">
    <oddHeader xml:space="preserve">&amp;RGroen Direct Exhibit 1.1, Schedule 5, WP 
Page 1 of 6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50"/>
  <sheetViews>
    <sheetView view="pageLayout" zoomScaleNormal="100" workbookViewId="0">
      <selection activeCell="C13" sqref="C13"/>
    </sheetView>
  </sheetViews>
  <sheetFormatPr defaultColWidth="9.140625" defaultRowHeight="15.75"/>
  <cols>
    <col min="1" max="1" width="4" style="18" customWidth="1"/>
    <col min="2" max="2" width="0.85546875" style="16" customWidth="1"/>
    <col min="3" max="3" width="41.5703125" style="16" customWidth="1"/>
    <col min="4" max="4" width="0.85546875" style="16" hidden="1" customWidth="1"/>
    <col min="5" max="5" width="15.140625" style="16" hidden="1" customWidth="1"/>
    <col min="6" max="6" width="0.85546875" style="16" hidden="1" customWidth="1"/>
    <col min="7" max="7" width="14" style="16" hidden="1" customWidth="1"/>
    <col min="8" max="8" width="0.85546875" style="16" hidden="1" customWidth="1"/>
    <col min="9" max="9" width="13.140625" style="16" hidden="1" customWidth="1"/>
    <col min="10" max="10" width="0.85546875" style="16" hidden="1" customWidth="1"/>
    <col min="11" max="11" width="11" style="16" hidden="1" customWidth="1"/>
    <col min="12" max="12" width="0.85546875" style="16" hidden="1" customWidth="1"/>
    <col min="13" max="13" width="11" style="16" hidden="1" customWidth="1"/>
    <col min="14" max="14" width="0.85546875" style="16" hidden="1" customWidth="1"/>
    <col min="15" max="15" width="15.140625" style="16" bestFit="1" customWidth="1"/>
    <col min="16" max="16" width="13" style="16" customWidth="1"/>
    <col min="17" max="16384" width="9.140625" style="16"/>
  </cols>
  <sheetData>
    <row r="1" spans="1:16">
      <c r="A1" s="287" t="s">
        <v>787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</row>
    <row r="2" spans="1:16">
      <c r="A2" s="287" t="s">
        <v>791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</row>
    <row r="3" spans="1:16">
      <c r="A3" s="287" t="s">
        <v>792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</row>
    <row r="4" spans="1:16">
      <c r="A4" s="287" t="s">
        <v>112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</row>
    <row r="5" spans="1:16">
      <c r="A5" s="287" t="s">
        <v>324</v>
      </c>
      <c r="B5" s="287"/>
      <c r="C5" s="287"/>
      <c r="D5" s="287"/>
      <c r="E5" s="287"/>
      <c r="F5" s="287"/>
      <c r="G5" s="287"/>
      <c r="H5" s="287"/>
      <c r="I5" s="287"/>
      <c r="J5" s="287"/>
      <c r="K5" s="287"/>
      <c r="L5" s="287"/>
      <c r="M5" s="287"/>
      <c r="N5" s="287"/>
      <c r="O5" s="287"/>
    </row>
    <row r="6" spans="1:16">
      <c r="A6" s="289" t="str">
        <f>'Sch 1 - RevReq'!A5</f>
        <v>FOR THE YEAR ENDING DECEMBER 31, 2025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</row>
    <row r="7" spans="1:16">
      <c r="A7" s="287" t="s">
        <v>793</v>
      </c>
      <c r="B7" s="287"/>
      <c r="C7" s="287"/>
      <c r="D7" s="287"/>
      <c r="E7" s="287"/>
      <c r="F7" s="287"/>
      <c r="G7" s="287"/>
      <c r="H7" s="287"/>
      <c r="I7" s="287"/>
      <c r="J7" s="287"/>
      <c r="K7" s="287"/>
      <c r="L7" s="287"/>
      <c r="M7" s="287"/>
      <c r="N7" s="287"/>
      <c r="O7" s="287"/>
    </row>
    <row r="8" spans="1:16">
      <c r="A8" s="287" t="s">
        <v>325</v>
      </c>
      <c r="B8" s="287"/>
      <c r="C8" s="287"/>
      <c r="D8" s="287"/>
      <c r="E8" s="287"/>
      <c r="F8" s="287"/>
      <c r="G8" s="287"/>
      <c r="H8" s="287"/>
      <c r="I8" s="287"/>
      <c r="J8" s="287"/>
      <c r="K8" s="287"/>
      <c r="L8" s="287"/>
      <c r="M8" s="287"/>
      <c r="N8" s="287"/>
      <c r="O8" s="287"/>
      <c r="P8" s="18"/>
    </row>
    <row r="9" spans="1:16">
      <c r="A9" s="16"/>
      <c r="E9" s="18"/>
      <c r="I9" s="18"/>
      <c r="K9" s="18"/>
      <c r="M9" s="18"/>
      <c r="O9" s="18"/>
      <c r="P9" s="18"/>
    </row>
    <row r="10" spans="1:16">
      <c r="A10" s="16"/>
      <c r="E10" s="18"/>
      <c r="I10" s="18"/>
      <c r="K10" s="18"/>
      <c r="M10" s="18"/>
      <c r="O10" s="18" t="s">
        <v>326</v>
      </c>
      <c r="P10" s="18"/>
    </row>
    <row r="11" spans="1:16">
      <c r="A11" s="16" t="s">
        <v>2</v>
      </c>
      <c r="E11" s="18"/>
      <c r="I11" s="18"/>
      <c r="K11" s="18"/>
      <c r="M11" s="18"/>
      <c r="O11" s="18" t="s">
        <v>327</v>
      </c>
      <c r="P11" s="18"/>
    </row>
    <row r="12" spans="1:16">
      <c r="A12" s="20" t="s">
        <v>234</v>
      </c>
      <c r="C12" s="21" t="s">
        <v>3</v>
      </c>
      <c r="E12" s="20" t="s">
        <v>328</v>
      </c>
      <c r="G12" s="20" t="s">
        <v>329</v>
      </c>
      <c r="I12" s="20" t="s">
        <v>75</v>
      </c>
      <c r="K12" s="20" t="s">
        <v>330</v>
      </c>
      <c r="M12" s="20" t="s">
        <v>331</v>
      </c>
      <c r="O12" s="20" t="s">
        <v>49</v>
      </c>
      <c r="P12" s="18"/>
    </row>
    <row r="13" spans="1:16">
      <c r="C13" s="18" t="s">
        <v>332</v>
      </c>
      <c r="D13" s="18"/>
      <c r="E13" s="18" t="s">
        <v>333</v>
      </c>
      <c r="G13" s="18" t="s">
        <v>334</v>
      </c>
      <c r="I13" s="18" t="s">
        <v>335</v>
      </c>
      <c r="K13" s="18" t="s">
        <v>336</v>
      </c>
      <c r="M13" s="18" t="s">
        <v>337</v>
      </c>
      <c r="O13" s="18" t="s">
        <v>338</v>
      </c>
      <c r="P13" s="18"/>
    </row>
    <row r="14" spans="1:16">
      <c r="E14" s="18"/>
      <c r="G14" s="18"/>
      <c r="I14" s="18"/>
      <c r="K14" s="18"/>
      <c r="M14" s="18"/>
      <c r="O14" s="18"/>
      <c r="P14" s="18"/>
    </row>
    <row r="15" spans="1:16">
      <c r="A15" s="18">
        <v>1</v>
      </c>
      <c r="C15" s="16" t="s">
        <v>339</v>
      </c>
      <c r="E15" s="56"/>
      <c r="G15" s="56"/>
      <c r="I15" s="56"/>
      <c r="K15" s="56"/>
      <c r="M15" s="56"/>
      <c r="O15" s="56"/>
    </row>
    <row r="16" spans="1:16">
      <c r="A16" s="18">
        <f t="shared" ref="A16:A24" si="0">A15+1</f>
        <v>2</v>
      </c>
      <c r="C16" s="16" t="s">
        <v>340</v>
      </c>
      <c r="E16" s="57">
        <v>12840</v>
      </c>
      <c r="F16" s="58"/>
      <c r="G16" s="57">
        <v>0</v>
      </c>
      <c r="H16" s="58"/>
      <c r="I16" s="57">
        <v>0</v>
      </c>
      <c r="J16" s="58"/>
      <c r="K16" s="57">
        <v>0</v>
      </c>
      <c r="L16" s="31"/>
      <c r="M16" s="59">
        <v>0</v>
      </c>
      <c r="N16" s="31"/>
      <c r="O16" s="60">
        <v>10065</v>
      </c>
    </row>
    <row r="17" spans="1:20">
      <c r="A17" s="18">
        <f t="shared" si="0"/>
        <v>3</v>
      </c>
      <c r="C17" s="16" t="s">
        <v>341</v>
      </c>
      <c r="E17" s="61">
        <v>1163999</v>
      </c>
      <c r="F17" s="61"/>
      <c r="G17" s="61">
        <v>158430.49</v>
      </c>
      <c r="H17" s="61"/>
      <c r="I17" s="61">
        <v>200628.34</v>
      </c>
      <c r="J17" s="61"/>
      <c r="K17" s="61">
        <v>7554.58</v>
      </c>
      <c r="L17" s="35"/>
      <c r="M17" s="62">
        <v>0</v>
      </c>
      <c r="N17" s="35"/>
      <c r="O17" s="63">
        <v>1257971</v>
      </c>
    </row>
    <row r="18" spans="1:20">
      <c r="A18" s="18">
        <f t="shared" si="0"/>
        <v>4</v>
      </c>
      <c r="C18" s="16" t="s">
        <v>342</v>
      </c>
      <c r="E18" s="61">
        <v>1209296</v>
      </c>
      <c r="F18" s="61"/>
      <c r="G18" s="61">
        <v>132909.75</v>
      </c>
      <c r="H18" s="61"/>
      <c r="I18" s="61">
        <v>199394.63</v>
      </c>
      <c r="J18" s="61"/>
      <c r="K18" s="61">
        <v>8808.130000000001</v>
      </c>
      <c r="L18" s="35"/>
      <c r="M18" s="62">
        <v>0</v>
      </c>
      <c r="N18" s="35"/>
      <c r="O18" s="63">
        <v>1627030</v>
      </c>
    </row>
    <row r="19" spans="1:20">
      <c r="A19" s="18">
        <f t="shared" si="0"/>
        <v>5</v>
      </c>
      <c r="C19" s="16" t="s">
        <v>343</v>
      </c>
      <c r="E19" s="61">
        <v>30761076</v>
      </c>
      <c r="F19" s="61"/>
      <c r="G19" s="61">
        <v>3430052.22</v>
      </c>
      <c r="H19" s="61"/>
      <c r="I19" s="61">
        <v>4429870.04</v>
      </c>
      <c r="J19" s="61"/>
      <c r="K19" s="61">
        <v>150510.16999999998</v>
      </c>
      <c r="L19" s="35"/>
      <c r="M19" s="62">
        <v>0</v>
      </c>
      <c r="N19" s="35"/>
      <c r="O19" s="63">
        <v>40490376</v>
      </c>
    </row>
    <row r="20" spans="1:20">
      <c r="A20" s="18">
        <f t="shared" si="0"/>
        <v>6</v>
      </c>
      <c r="C20" s="16" t="s">
        <v>344</v>
      </c>
      <c r="E20" s="61">
        <v>11284321</v>
      </c>
      <c r="F20" s="61"/>
      <c r="G20" s="61">
        <v>1129317.92</v>
      </c>
      <c r="H20" s="61"/>
      <c r="I20" s="61">
        <v>1971993.94</v>
      </c>
      <c r="J20" s="61"/>
      <c r="K20" s="61">
        <v>68536.3</v>
      </c>
      <c r="L20" s="35"/>
      <c r="M20" s="62">
        <v>0</v>
      </c>
      <c r="N20" s="35"/>
      <c r="O20" s="63">
        <v>4026515</v>
      </c>
    </row>
    <row r="21" spans="1:20">
      <c r="A21" s="18">
        <f t="shared" si="0"/>
        <v>7</v>
      </c>
      <c r="C21" s="16" t="s">
        <v>345</v>
      </c>
      <c r="E21" s="61">
        <v>479</v>
      </c>
      <c r="F21" s="61"/>
      <c r="G21" s="61">
        <v>0</v>
      </c>
      <c r="H21" s="61"/>
      <c r="I21" s="61">
        <v>0</v>
      </c>
      <c r="J21" s="61"/>
      <c r="K21" s="61">
        <v>1049.29</v>
      </c>
      <c r="L21" s="35"/>
      <c r="M21" s="62">
        <v>0</v>
      </c>
      <c r="N21" s="35"/>
      <c r="O21" s="63">
        <v>1196</v>
      </c>
    </row>
    <row r="22" spans="1:20">
      <c r="A22" s="18">
        <f t="shared" si="0"/>
        <v>8</v>
      </c>
      <c r="C22" s="16" t="s">
        <v>346</v>
      </c>
      <c r="E22" s="61">
        <v>724950</v>
      </c>
      <c r="F22" s="61"/>
      <c r="G22" s="61">
        <v>46091.53</v>
      </c>
      <c r="H22" s="61"/>
      <c r="I22" s="61">
        <v>86941.18</v>
      </c>
      <c r="J22" s="61"/>
      <c r="K22" s="61">
        <v>6971.8</v>
      </c>
      <c r="L22" s="35"/>
      <c r="M22" s="62">
        <v>0</v>
      </c>
      <c r="N22" s="35"/>
      <c r="O22" s="63">
        <v>759732</v>
      </c>
    </row>
    <row r="23" spans="1:20">
      <c r="A23" s="18">
        <f t="shared" si="0"/>
        <v>9</v>
      </c>
      <c r="C23" s="16" t="s">
        <v>347</v>
      </c>
      <c r="E23" s="61">
        <v>3853202</v>
      </c>
      <c r="F23" s="61"/>
      <c r="G23" s="61">
        <v>470649.62</v>
      </c>
      <c r="H23" s="61"/>
      <c r="I23" s="61">
        <v>587871.18999999994</v>
      </c>
      <c r="J23" s="61"/>
      <c r="K23" s="61">
        <v>38850.550000000003</v>
      </c>
      <c r="L23" s="35"/>
      <c r="M23" s="62">
        <v>0</v>
      </c>
      <c r="N23" s="35"/>
      <c r="O23" s="63">
        <v>6574355</v>
      </c>
    </row>
    <row r="24" spans="1:20" ht="16.5" thickBot="1">
      <c r="A24" s="18">
        <f t="shared" si="0"/>
        <v>10</v>
      </c>
      <c r="C24" s="16" t="s">
        <v>348</v>
      </c>
      <c r="E24" s="33">
        <f>SUM(E16:E23)</f>
        <v>49010163</v>
      </c>
      <c r="F24" s="31"/>
      <c r="G24" s="33">
        <f>SUM(G16:G23)</f>
        <v>5367451.53</v>
      </c>
      <c r="H24" s="31"/>
      <c r="I24" s="33">
        <f>SUM(I16:I23)</f>
        <v>7476699.3199999984</v>
      </c>
      <c r="J24" s="31"/>
      <c r="K24" s="33">
        <f>SUM(K16:K23)</f>
        <v>282280.82</v>
      </c>
      <c r="L24" s="31"/>
      <c r="M24" s="33">
        <f>SUM(M16:M23)</f>
        <v>0</v>
      </c>
      <c r="N24" s="31"/>
      <c r="O24" s="33">
        <f>SUM(O16:O23)</f>
        <v>54747240</v>
      </c>
      <c r="P24" s="64"/>
    </row>
    <row r="25" spans="1:20" ht="16.5" thickTop="1"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64"/>
    </row>
    <row r="26" spans="1:20" ht="16.5" thickBot="1">
      <c r="A26" s="18">
        <f>A24+1</f>
        <v>11</v>
      </c>
      <c r="C26" s="16" t="s">
        <v>349</v>
      </c>
      <c r="E26" s="65">
        <f>E24/$O24</f>
        <v>0.89520792281035533</v>
      </c>
      <c r="F26" s="31"/>
      <c r="G26" s="65">
        <f>G24/$O24</f>
        <v>9.8040586703548899E-2</v>
      </c>
      <c r="H26" s="31"/>
      <c r="I26" s="65">
        <f>I24/$O24</f>
        <v>0.13656760267732215</v>
      </c>
      <c r="J26" s="31"/>
      <c r="K26" s="65">
        <f>K24/$O24</f>
        <v>5.1560739865607842E-3</v>
      </c>
      <c r="L26" s="31"/>
      <c r="M26" s="65">
        <f>M24/$O24</f>
        <v>0</v>
      </c>
      <c r="N26" s="31"/>
      <c r="O26" s="65">
        <f>O24/$O24</f>
        <v>1</v>
      </c>
      <c r="P26" s="64"/>
    </row>
    <row r="27" spans="1:20" ht="16.5" thickTop="1">
      <c r="E27" s="56"/>
      <c r="G27" s="56"/>
      <c r="I27" s="56"/>
      <c r="K27" s="56"/>
      <c r="M27" s="56"/>
      <c r="O27" s="56"/>
    </row>
    <row r="28" spans="1:20">
      <c r="T28" s="155"/>
    </row>
    <row r="29" spans="1:20">
      <c r="A29" s="66"/>
      <c r="B29" s="67"/>
      <c r="C29" s="68" t="s">
        <v>350</v>
      </c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</row>
    <row r="30" spans="1:20">
      <c r="A30" s="66">
        <f>A26+1</f>
        <v>12</v>
      </c>
      <c r="B30" s="67"/>
      <c r="C30" s="67" t="s">
        <v>351</v>
      </c>
      <c r="D30" s="67"/>
      <c r="E30" s="77">
        <v>143283075</v>
      </c>
      <c r="F30" s="164"/>
      <c r="G30" s="77">
        <v>13861486</v>
      </c>
      <c r="H30" s="77">
        <f>H25</f>
        <v>0</v>
      </c>
      <c r="I30" s="77">
        <v>1904711</v>
      </c>
      <c r="J30" s="77"/>
      <c r="K30" s="77">
        <v>0</v>
      </c>
      <c r="L30" s="77">
        <f>L25</f>
        <v>0</v>
      </c>
      <c r="M30" s="77">
        <v>558333</v>
      </c>
      <c r="N30" s="69">
        <f>N25</f>
        <v>0</v>
      </c>
      <c r="O30" s="70">
        <v>197165576</v>
      </c>
    </row>
    <row r="31" spans="1:20">
      <c r="A31" s="66">
        <f>A30+1</f>
        <v>13</v>
      </c>
      <c r="B31" s="67"/>
      <c r="C31" s="67" t="s">
        <v>352</v>
      </c>
      <c r="D31" s="67"/>
      <c r="E31" s="71">
        <v>68476426</v>
      </c>
      <c r="F31" s="71"/>
      <c r="G31" s="71">
        <v>3308755</v>
      </c>
      <c r="H31" s="71"/>
      <c r="I31" s="71">
        <v>484405</v>
      </c>
      <c r="J31" s="71"/>
      <c r="K31" s="71">
        <v>0</v>
      </c>
      <c r="L31" s="71"/>
      <c r="M31" s="71">
        <v>561167</v>
      </c>
      <c r="N31" s="71"/>
      <c r="O31" s="72">
        <v>107873305</v>
      </c>
    </row>
    <row r="32" spans="1:20">
      <c r="A32" s="66">
        <f>A31+1</f>
        <v>14</v>
      </c>
      <c r="B32" s="67"/>
      <c r="C32" s="67" t="s">
        <v>353</v>
      </c>
      <c r="D32" s="67"/>
      <c r="E32" s="71">
        <v>5010599</v>
      </c>
      <c r="F32" s="71"/>
      <c r="G32" s="71">
        <v>237124</v>
      </c>
      <c r="H32" s="71"/>
      <c r="I32" s="71">
        <v>39601</v>
      </c>
      <c r="J32" s="71"/>
      <c r="K32" s="71">
        <v>0</v>
      </c>
      <c r="L32" s="71"/>
      <c r="M32" s="71">
        <v>31452</v>
      </c>
      <c r="N32" s="71"/>
      <c r="O32" s="72">
        <v>100146</v>
      </c>
    </row>
    <row r="33" spans="1:15">
      <c r="A33" s="66">
        <f>A32+1</f>
        <v>15</v>
      </c>
      <c r="B33" s="67"/>
      <c r="C33" s="67" t="s">
        <v>354</v>
      </c>
      <c r="D33" s="67"/>
      <c r="E33" s="69">
        <f>SUM(E30:E32)</f>
        <v>216770100</v>
      </c>
      <c r="F33" s="67"/>
      <c r="G33" s="69">
        <f t="shared" ref="G33:O33" si="1">SUM(G30:G32)</f>
        <v>17407365</v>
      </c>
      <c r="H33" s="69">
        <f t="shared" si="1"/>
        <v>0</v>
      </c>
      <c r="I33" s="69">
        <f t="shared" si="1"/>
        <v>2428717</v>
      </c>
      <c r="J33" s="69"/>
      <c r="K33" s="69">
        <f t="shared" ref="K33:L33" si="2">SUM(K30:K32)</f>
        <v>0</v>
      </c>
      <c r="L33" s="69">
        <f t="shared" si="2"/>
        <v>0</v>
      </c>
      <c r="M33" s="69">
        <f t="shared" si="1"/>
        <v>1150952</v>
      </c>
      <c r="N33" s="69">
        <f t="shared" si="1"/>
        <v>0</v>
      </c>
      <c r="O33" s="69">
        <f t="shared" si="1"/>
        <v>305139027</v>
      </c>
    </row>
    <row r="34" spans="1:15" ht="16.5" thickBot="1">
      <c r="A34" s="66">
        <f>A33+1</f>
        <v>16</v>
      </c>
      <c r="B34" s="67"/>
      <c r="C34" s="67" t="s">
        <v>355</v>
      </c>
      <c r="D34" s="67"/>
      <c r="E34" s="73">
        <f>E30/E33</f>
        <v>0.66099095308808731</v>
      </c>
      <c r="F34" s="67"/>
      <c r="G34" s="73">
        <f t="shared" ref="G34:N34" si="3">G30/G33</f>
        <v>0.79630007183740903</v>
      </c>
      <c r="H34" s="73"/>
      <c r="I34" s="73">
        <f t="shared" si="3"/>
        <v>0.78424575609262015</v>
      </c>
      <c r="J34" s="73"/>
      <c r="K34" s="73"/>
      <c r="L34" s="73" t="e">
        <f t="shared" ref="L34" si="4">L30/L33</f>
        <v>#DIV/0!</v>
      </c>
      <c r="M34" s="73"/>
      <c r="N34" s="73" t="e">
        <f t="shared" si="3"/>
        <v>#DIV/0!</v>
      </c>
      <c r="O34" s="74">
        <f>O30/O33</f>
        <v>0.64614997936661833</v>
      </c>
    </row>
    <row r="35" spans="1:15" ht="16.5" thickTop="1">
      <c r="A35" s="66"/>
      <c r="B35" s="67"/>
      <c r="C35" s="67"/>
      <c r="D35" s="67"/>
      <c r="E35" s="73"/>
      <c r="F35" s="67"/>
      <c r="G35" s="73"/>
      <c r="H35" s="73"/>
      <c r="I35" s="73"/>
      <c r="J35" s="73"/>
      <c r="K35" s="73"/>
      <c r="L35" s="73"/>
      <c r="M35" s="73"/>
      <c r="N35" s="73"/>
      <c r="O35" s="73"/>
    </row>
    <row r="36" spans="1:15">
      <c r="A36" s="66"/>
      <c r="B36" s="67"/>
      <c r="C36" s="68" t="s">
        <v>356</v>
      </c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</row>
    <row r="37" spans="1:15">
      <c r="A37" s="66">
        <f>A34+1</f>
        <v>17</v>
      </c>
      <c r="B37" s="67"/>
      <c r="C37" s="67" t="s">
        <v>351</v>
      </c>
      <c r="D37" s="67"/>
      <c r="E37" s="77">
        <v>47915403</v>
      </c>
      <c r="F37" s="164"/>
      <c r="G37" s="77">
        <v>5299681</v>
      </c>
      <c r="H37" s="77">
        <f t="shared" ref="H37:M37" si="5">H24</f>
        <v>0</v>
      </c>
      <c r="I37" s="77">
        <v>7234464</v>
      </c>
      <c r="J37" s="77">
        <f t="shared" si="5"/>
        <v>0</v>
      </c>
      <c r="K37" s="77">
        <v>239063</v>
      </c>
      <c r="L37" s="77"/>
      <c r="M37" s="77">
        <f t="shared" si="5"/>
        <v>0</v>
      </c>
      <c r="N37" s="71"/>
      <c r="O37" s="72">
        <v>54747443</v>
      </c>
    </row>
    <row r="38" spans="1:15">
      <c r="A38" s="66">
        <f>A37+1</f>
        <v>18</v>
      </c>
      <c r="B38" s="67"/>
      <c r="C38" s="67" t="s">
        <v>352</v>
      </c>
      <c r="D38" s="67"/>
      <c r="E38" s="71">
        <v>16676011</v>
      </c>
      <c r="F38" s="71"/>
      <c r="G38" s="71">
        <v>1574736</v>
      </c>
      <c r="H38" s="71"/>
      <c r="I38" s="71">
        <v>3314630</v>
      </c>
      <c r="J38" s="71"/>
      <c r="K38" s="71">
        <v>160911</v>
      </c>
      <c r="L38" s="71"/>
      <c r="M38" s="71"/>
      <c r="N38" s="71"/>
      <c r="O38" s="72">
        <v>31336232</v>
      </c>
    </row>
    <row r="39" spans="1:15">
      <c r="A39" s="66">
        <f t="shared" ref="A39:A40" si="6">A38+1</f>
        <v>19</v>
      </c>
      <c r="B39" s="67"/>
      <c r="C39" s="67" t="s">
        <v>353</v>
      </c>
      <c r="D39" s="67"/>
      <c r="E39" s="71">
        <v>1128377</v>
      </c>
      <c r="F39" s="71"/>
      <c r="G39" s="71">
        <v>142185</v>
      </c>
      <c r="H39" s="71"/>
      <c r="I39" s="71">
        <v>110577</v>
      </c>
      <c r="J39" s="71"/>
      <c r="K39" s="71">
        <v>10654</v>
      </c>
      <c r="L39" s="71"/>
      <c r="M39" s="71">
        <v>0</v>
      </c>
      <c r="N39" s="71"/>
      <c r="O39" s="72">
        <v>7152</v>
      </c>
    </row>
    <row r="40" spans="1:15">
      <c r="A40" s="66">
        <f t="shared" si="6"/>
        <v>20</v>
      </c>
      <c r="B40" s="67"/>
      <c r="C40" s="67" t="s">
        <v>354</v>
      </c>
      <c r="D40" s="67"/>
      <c r="E40" s="69">
        <f>SUM(E37:E39)</f>
        <v>65719791</v>
      </c>
      <c r="F40" s="67"/>
      <c r="G40" s="69">
        <f t="shared" ref="G40:O40" si="7">SUM(G37:G39)</f>
        <v>7016602</v>
      </c>
      <c r="H40" s="69">
        <f t="shared" si="7"/>
        <v>0</v>
      </c>
      <c r="I40" s="69">
        <f t="shared" si="7"/>
        <v>10659671</v>
      </c>
      <c r="J40" s="69"/>
      <c r="K40" s="69">
        <f t="shared" ref="K40:L40" si="8">SUM(K37:K39)</f>
        <v>410628</v>
      </c>
      <c r="L40" s="69">
        <f t="shared" si="8"/>
        <v>0</v>
      </c>
      <c r="M40" s="27">
        <f t="shared" si="7"/>
        <v>0</v>
      </c>
      <c r="N40" s="69">
        <f t="shared" si="7"/>
        <v>0</v>
      </c>
      <c r="O40" s="69">
        <f t="shared" si="7"/>
        <v>86090827</v>
      </c>
    </row>
    <row r="41" spans="1:15" ht="16.5" thickBot="1">
      <c r="A41" s="66">
        <f>A40+1</f>
        <v>21</v>
      </c>
      <c r="B41" s="67"/>
      <c r="C41" s="67" t="s">
        <v>355</v>
      </c>
      <c r="D41" s="67"/>
      <c r="E41" s="73">
        <f>E37/E40</f>
        <v>0.72908635695448276</v>
      </c>
      <c r="F41" s="67"/>
      <c r="G41" s="73">
        <f t="shared" ref="G41:N41" si="9">G37/G40</f>
        <v>0.75530591588350027</v>
      </c>
      <c r="H41" s="73"/>
      <c r="I41" s="73">
        <f t="shared" si="9"/>
        <v>0.6786761054820547</v>
      </c>
      <c r="J41" s="73"/>
      <c r="K41" s="73">
        <f t="shared" si="9"/>
        <v>0.58218874504417628</v>
      </c>
      <c r="L41" s="73" t="e">
        <f t="shared" si="9"/>
        <v>#DIV/0!</v>
      </c>
      <c r="M41" s="73"/>
      <c r="N41" s="73" t="e">
        <f t="shared" si="9"/>
        <v>#DIV/0!</v>
      </c>
      <c r="O41" s="74">
        <f>O37/O40</f>
        <v>0.6359265546374645</v>
      </c>
    </row>
    <row r="42" spans="1:15" ht="16.5" thickTop="1">
      <c r="A42" s="66"/>
      <c r="B42" s="67"/>
      <c r="C42" s="67"/>
      <c r="D42" s="67"/>
      <c r="E42" s="69"/>
      <c r="F42" s="67"/>
      <c r="G42" s="69"/>
      <c r="H42" s="69"/>
      <c r="I42" s="69"/>
      <c r="J42" s="69"/>
      <c r="K42" s="69"/>
      <c r="L42" s="69"/>
      <c r="M42" s="69"/>
      <c r="N42" s="69"/>
      <c r="O42" s="69"/>
    </row>
    <row r="43" spans="1:15">
      <c r="A43" s="66">
        <f>A41+1</f>
        <v>22</v>
      </c>
      <c r="B43" s="67"/>
      <c r="C43" s="67" t="s">
        <v>357</v>
      </c>
      <c r="D43" s="67"/>
      <c r="E43" s="69"/>
      <c r="F43" s="67"/>
      <c r="G43" s="69"/>
      <c r="H43" s="69"/>
      <c r="I43" s="69"/>
      <c r="J43" s="69"/>
      <c r="K43" s="69"/>
      <c r="L43" s="69"/>
      <c r="M43" s="69"/>
      <c r="N43" s="69"/>
      <c r="O43" s="69">
        <v>14691289</v>
      </c>
    </row>
    <row r="44" spans="1:15">
      <c r="A44" s="66">
        <f>A43+1</f>
        <v>23</v>
      </c>
      <c r="B44" s="67"/>
      <c r="C44" s="67" t="s">
        <v>358</v>
      </c>
      <c r="D44" s="67"/>
      <c r="E44" s="69"/>
      <c r="F44" s="67"/>
      <c r="G44" s="69"/>
      <c r="H44" s="69"/>
      <c r="I44" s="69"/>
      <c r="J44" s="69"/>
      <c r="K44" s="69"/>
      <c r="L44" s="69"/>
      <c r="M44" s="69"/>
      <c r="N44" s="69"/>
      <c r="O44" s="69">
        <v>30504945</v>
      </c>
    </row>
    <row r="45" spans="1:15">
      <c r="A45" s="66">
        <v>24</v>
      </c>
      <c r="B45" s="67"/>
      <c r="C45" s="67" t="s">
        <v>359</v>
      </c>
      <c r="D45" s="67"/>
      <c r="E45" s="69"/>
      <c r="F45" s="67"/>
      <c r="G45" s="69"/>
      <c r="H45" s="69"/>
      <c r="I45" s="69"/>
      <c r="J45" s="69"/>
      <c r="K45" s="69"/>
      <c r="L45" s="69"/>
      <c r="M45" s="69"/>
      <c r="N45" s="69"/>
      <c r="O45" s="69">
        <v>8250060</v>
      </c>
    </row>
    <row r="46" spans="1:15">
      <c r="A46" s="66"/>
      <c r="B46" s="67"/>
      <c r="C46" s="67"/>
      <c r="D46" s="67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2"/>
    </row>
    <row r="47" spans="1:15">
      <c r="A47" s="66">
        <v>25</v>
      </c>
      <c r="B47" s="67"/>
      <c r="C47" s="67" t="s">
        <v>360</v>
      </c>
      <c r="D47" s="67"/>
      <c r="E47" s="69">
        <f>E33+E40+E43+E44</f>
        <v>282489891</v>
      </c>
      <c r="F47" s="67"/>
      <c r="G47" s="69">
        <f t="shared" ref="G47:N47" si="10">G33+G40+G43+G44</f>
        <v>24423967</v>
      </c>
      <c r="H47" s="69">
        <f t="shared" si="10"/>
        <v>0</v>
      </c>
      <c r="I47" s="69">
        <f t="shared" si="10"/>
        <v>13088388</v>
      </c>
      <c r="J47" s="69">
        <f t="shared" si="10"/>
        <v>0</v>
      </c>
      <c r="K47" s="69">
        <f t="shared" ref="K47:L47" si="11">K33+K40+K43+K44</f>
        <v>410628</v>
      </c>
      <c r="L47" s="69">
        <f t="shared" si="11"/>
        <v>0</v>
      </c>
      <c r="M47" s="69">
        <f t="shared" si="10"/>
        <v>1150952</v>
      </c>
      <c r="N47" s="69">
        <f t="shared" si="10"/>
        <v>0</v>
      </c>
      <c r="O47" s="69">
        <f>O33+O40+O43+O44+O45</f>
        <v>444676148</v>
      </c>
    </row>
    <row r="48" spans="1:15">
      <c r="A48" s="66"/>
      <c r="B48" s="67"/>
      <c r="C48" s="67"/>
      <c r="D48" s="67"/>
      <c r="E48" s="69"/>
      <c r="F48" s="67"/>
      <c r="G48" s="69"/>
      <c r="H48" s="69"/>
      <c r="I48" s="69"/>
      <c r="J48" s="69"/>
      <c r="K48" s="69"/>
      <c r="L48" s="69"/>
      <c r="M48" s="69"/>
      <c r="N48" s="69"/>
      <c r="O48" s="69"/>
    </row>
    <row r="49" spans="1:15">
      <c r="A49" s="66">
        <f>A47+1</f>
        <v>26</v>
      </c>
      <c r="B49" s="67"/>
      <c r="C49" s="67" t="s">
        <v>361</v>
      </c>
      <c r="D49" s="67"/>
      <c r="E49" s="73">
        <f>E37/(E30+E37)</f>
        <v>0.25060556705895953</v>
      </c>
      <c r="F49" s="67"/>
      <c r="G49" s="73">
        <f>G37/(G30+G37)</f>
        <v>0.27658445855620378</v>
      </c>
      <c r="H49" s="73" t="e">
        <f t="shared" ref="H49:L49" si="12">H40/H47</f>
        <v>#DIV/0!</v>
      </c>
      <c r="I49" s="73">
        <f>I37/(I30+I37)</f>
        <v>0.79158829981918499</v>
      </c>
      <c r="J49" s="73" t="e">
        <f t="shared" si="12"/>
        <v>#DIV/0!</v>
      </c>
      <c r="K49" s="73">
        <f>K37/(K30+K37)</f>
        <v>1</v>
      </c>
      <c r="L49" s="73" t="e">
        <f t="shared" si="12"/>
        <v>#DIV/0!</v>
      </c>
      <c r="M49" s="73"/>
      <c r="N49" s="67"/>
      <c r="O49" s="73">
        <f>O37/(O30+O37)</f>
        <v>0.21732677103123441</v>
      </c>
    </row>
    <row r="50" spans="1:15">
      <c r="A50" s="66">
        <f>A49+1</f>
        <v>27</v>
      </c>
      <c r="B50" s="67"/>
      <c r="C50" s="67" t="s">
        <v>362</v>
      </c>
      <c r="D50" s="67"/>
      <c r="E50" s="73">
        <f>E30/(E30+E37)</f>
        <v>0.74939443294104047</v>
      </c>
      <c r="F50" s="67"/>
      <c r="G50" s="73">
        <f>G30/(G30+G37)</f>
        <v>0.72341554144379616</v>
      </c>
      <c r="H50" s="73" t="e">
        <f t="shared" ref="H50:N50" si="13">H33/H47</f>
        <v>#DIV/0!</v>
      </c>
      <c r="I50" s="73">
        <f>I30/(I30+I37)</f>
        <v>0.20841170018081501</v>
      </c>
      <c r="J50" s="73" t="e">
        <f t="shared" si="13"/>
        <v>#DIV/0!</v>
      </c>
      <c r="K50" s="73">
        <f>K30/(K30+K37)</f>
        <v>0</v>
      </c>
      <c r="L50" s="73" t="e">
        <f t="shared" si="13"/>
        <v>#DIV/0!</v>
      </c>
      <c r="M50" s="73"/>
      <c r="N50" s="73" t="e">
        <f t="shared" si="13"/>
        <v>#DIV/0!</v>
      </c>
      <c r="O50" s="73">
        <f>O30/(O30+O37)</f>
        <v>0.78267322896876557</v>
      </c>
    </row>
  </sheetData>
  <mergeCells count="8">
    <mergeCell ref="A8:O8"/>
    <mergeCell ref="A1:O1"/>
    <mergeCell ref="A2:O2"/>
    <mergeCell ref="A3:O3"/>
    <mergeCell ref="A4:O4"/>
    <mergeCell ref="A5:O5"/>
    <mergeCell ref="A6:O6"/>
    <mergeCell ref="A7:O7"/>
  </mergeCells>
  <phoneticPr fontId="0" type="noConversion"/>
  <printOptions horizontalCentered="1"/>
  <pageMargins left="0.75" right="0.56999999999999995" top="1" bottom="1" header="0.5" footer="0.5"/>
  <pageSetup scale="65" firstPageNumber="5" orientation="portrait" horizontalDpi="300" verticalDpi="300" r:id="rId1"/>
  <headerFooter alignWithMargins="0">
    <oddHeader>&amp;RGroen Direct Exhibit 1.1, Schedule 5, WP
Page 5 of 6</oddHeader>
  </headerFooter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41</vt:i4>
      </vt:variant>
      <vt:variant>
        <vt:lpstr>Named Ranges</vt:lpstr>
      </vt:variant>
      <vt:variant>
        <vt:i4>38</vt:i4>
      </vt:variant>
    </vt:vector>
  </HeadingPairs>
  <TitlesOfParts>
    <vt:vector size="79" baseType="lpstr">
      <vt:lpstr>Index</vt:lpstr>
      <vt:lpstr>Sch 1 - RevReq</vt:lpstr>
      <vt:lpstr>Sch 2 - Op Income Summary</vt:lpstr>
      <vt:lpstr>Sch 3 - Pro Forma Summary</vt:lpstr>
      <vt:lpstr>Schs 4-17 - Pro Forma Adj.'s</vt:lpstr>
      <vt:lpstr>Sch 4 WP pg. 1 - Int Sync</vt:lpstr>
      <vt:lpstr>Sch 4 WP pg. 2 - Int Synch</vt:lpstr>
      <vt:lpstr>Sch 5 WP pg. 1 - Payroll Adj</vt:lpstr>
      <vt:lpstr>Sch 5 WP pg. 5 - DirectPay2025</vt:lpstr>
      <vt:lpstr>Sch 5 WP pg. 6 - Detail Dist</vt:lpstr>
      <vt:lpstr>Sch 6 WP pg. 1 - Weather</vt:lpstr>
      <vt:lpstr>Sch 7 WP pg. 1 - Pension Costs</vt:lpstr>
      <vt:lpstr>Sch 7 WP pg. 2 - Pension Costs </vt:lpstr>
      <vt:lpstr>Sch 8 WP pg. 1 - Dep Exp</vt:lpstr>
      <vt:lpstr>Sch 9 WP pg. 1 - Sales Growth</vt:lpstr>
      <vt:lpstr>WP10-Meter Read Labor</vt:lpstr>
      <vt:lpstr>Sch 10 WP pg.1 -Reg Asset Amort</vt:lpstr>
      <vt:lpstr>Sch 10 WP pg.2 - EECR</vt:lpstr>
      <vt:lpstr>Sch 11 WP pg.1 -Rate Case Exp</vt:lpstr>
      <vt:lpstr>Sch 12 WP pg.1 - LPC</vt:lpstr>
      <vt:lpstr>Sch 13 WP pg.1 - LTIP</vt:lpstr>
      <vt:lpstr>Sch 14 WP pg.1 - Prop Tax</vt:lpstr>
      <vt:lpstr>Sch 15 WP pg.1 - PGA</vt:lpstr>
      <vt:lpstr>Sch 16 WP pg.1 - Econ Dev</vt:lpstr>
      <vt:lpstr>Sch 17 WP pg.1 - Wholesale Rev</vt:lpstr>
      <vt:lpstr>Sch 25 - WACC</vt:lpstr>
      <vt:lpstr>Sch 26 pg. 1 - Cost LT Debt</vt:lpstr>
      <vt:lpstr>Sch 26 pg. 2 - LT Debt</vt:lpstr>
      <vt:lpstr>Sch 26 pg. 3 - Unam Debt Prem</vt:lpstr>
      <vt:lpstr>Sch 26 pg. 4 - Unam Gain Reacq</vt:lpstr>
      <vt:lpstr>Sch 26 pg. 5 - Unam Debt Disc</vt:lpstr>
      <vt:lpstr>Sch 26 pg. 6 - Unam Debt Exp</vt:lpstr>
      <vt:lpstr>Sch 26 pg. 7 - Unam Loss Reacq</vt:lpstr>
      <vt:lpstr>Sch 26 pg. 8 - Interest</vt:lpstr>
      <vt:lpstr>Sch 26 pg. 9 - Amort Disc</vt:lpstr>
      <vt:lpstr>Sch 26 pg. 10 - Amort Exp</vt:lpstr>
      <vt:lpstr>Sch 26 pg. 11 - Amort Loss</vt:lpstr>
      <vt:lpstr>Sch 26 pg. 12 - Amort Premium</vt:lpstr>
      <vt:lpstr>Sch 26 pg. 13 - Amort Gain</vt:lpstr>
      <vt:lpstr>Sch 27 pg. 1 - Com Eq</vt:lpstr>
      <vt:lpstr>Sch 27 pg. 2 - Unam G&amp;L</vt:lpstr>
      <vt:lpstr>Index!Print_Area</vt:lpstr>
      <vt:lpstr>'Sch 1 - RevReq'!Print_Area</vt:lpstr>
      <vt:lpstr>'Sch 11 WP pg.1 -Rate Case Exp'!Print_Area</vt:lpstr>
      <vt:lpstr>'Sch 12 WP pg.1 - LPC'!Print_Area</vt:lpstr>
      <vt:lpstr>'Sch 13 WP pg.1 - LTIP'!Print_Area</vt:lpstr>
      <vt:lpstr>'Sch 16 WP pg.1 - Econ Dev'!Print_Area</vt:lpstr>
      <vt:lpstr>'Sch 17 WP pg.1 - Wholesale Rev'!Print_Area</vt:lpstr>
      <vt:lpstr>'Sch 2 - Op Income Summary'!Print_Area</vt:lpstr>
      <vt:lpstr>'Sch 25 - WACC'!Print_Area</vt:lpstr>
      <vt:lpstr>'Sch 26 pg. 1 - Cost LT Debt'!Print_Area</vt:lpstr>
      <vt:lpstr>'Sch 26 pg. 10 - Amort Exp'!Print_Area</vt:lpstr>
      <vt:lpstr>'Sch 26 pg. 11 - Amort Loss'!Print_Area</vt:lpstr>
      <vt:lpstr>'Sch 26 pg. 13 - Amort Gain'!Print_Area</vt:lpstr>
      <vt:lpstr>'Sch 26 pg. 2 - LT Debt'!Print_Area</vt:lpstr>
      <vt:lpstr>'Sch 26 pg. 3 - Unam Debt Prem'!Print_Area</vt:lpstr>
      <vt:lpstr>'Sch 26 pg. 4 - Unam Gain Reacq'!Print_Area</vt:lpstr>
      <vt:lpstr>'Sch 26 pg. 5 - Unam Debt Disc'!Print_Area</vt:lpstr>
      <vt:lpstr>'Sch 26 pg. 6 - Unam Debt Exp'!Print_Area</vt:lpstr>
      <vt:lpstr>'Sch 26 pg. 7 - Unam Loss Reacq'!Print_Area</vt:lpstr>
      <vt:lpstr>'Sch 26 pg. 8 - Interest'!Print_Area</vt:lpstr>
      <vt:lpstr>'Sch 26 pg. 9 - Amort Disc'!Print_Area</vt:lpstr>
      <vt:lpstr>'Sch 27 pg. 1 - Com Eq'!Print_Area</vt:lpstr>
      <vt:lpstr>'Sch 27 pg. 2 - Unam G&amp;L'!Print_Area</vt:lpstr>
      <vt:lpstr>'Sch 3 - Pro Forma Summary'!Print_Area</vt:lpstr>
      <vt:lpstr>'Sch 4 WP pg. 1 - Int Sync'!Print_Area</vt:lpstr>
      <vt:lpstr>'Sch 4 WP pg. 2 - Int Synch'!Print_Area</vt:lpstr>
      <vt:lpstr>'Sch 5 WP pg. 1 - Payroll Adj'!Print_Area</vt:lpstr>
      <vt:lpstr>'Sch 5 WP pg. 5 - DirectPay2025'!Print_Area</vt:lpstr>
      <vt:lpstr>'Sch 6 WP pg. 1 - Weather'!Print_Area</vt:lpstr>
      <vt:lpstr>'Sch 7 WP pg. 1 - Pension Costs'!Print_Area</vt:lpstr>
      <vt:lpstr>'Sch 7 WP pg. 2 - Pension Costs '!Print_Area</vt:lpstr>
      <vt:lpstr>'Sch 8 WP pg. 1 - Dep Exp'!Print_Area</vt:lpstr>
      <vt:lpstr>'Sch 9 WP pg. 1 - Sales Growth'!Print_Area</vt:lpstr>
      <vt:lpstr>'Schs 4-17 - Pro Forma Adj.''s'!Print_Area</vt:lpstr>
      <vt:lpstr>'WP10-Meter Read Labor'!Print_Area</vt:lpstr>
      <vt:lpstr>'Sch 3 - Pro Forma Summary'!Print_Titles</vt:lpstr>
      <vt:lpstr>'Sch 4 WP pg. 1 - Int Sync'!Print_Titles</vt:lpstr>
      <vt:lpstr>'Sch 5 WP pg. 5 - DirectPay2025'!Print_Titles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2026-08-18T20:20:43Z</dcterms:created>
  <dcterms:modified xsi:type="dcterms:W3CDTF">2026-08-18T20:20:59Z</dcterms:modified>
  <cp:category/>
  <cp:contentStatus/>
</cp:coreProperties>
</file>