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BC223EC-C688-4756-98BB-B668FE639180}" xr6:coauthVersionLast="47" xr6:coauthVersionMax="47" xr10:uidLastSave="{00000000-0000-0000-0000-000000000000}"/>
  <bookViews>
    <workbookView xWindow="-120" yWindow="-120" windowWidth="29040" windowHeight="15720" xr2:uid="{068D7D1C-6068-4483-9592-AC45C391502D}"/>
  </bookViews>
  <sheets>
    <sheet name="WP C, pg 1" sheetId="1" r:id="rId1"/>
    <sheet name="WP C, pg 2 &amp; 3" sheetId="2" r:id="rId2"/>
    <sheet name="CAPGDS1000001240 Input" sheetId="3" r:id="rId3"/>
    <sheet name="CAPGDS1000001240 TotalWO" sheetId="4" r:id="rId4"/>
    <sheet name="CAPGDS1000001240 Acct1" sheetId="5" r:id="rId5"/>
    <sheet name="CAPGDS1000001240 Support" sheetId="6" r:id="rId6"/>
    <sheet name="CAPGDS1000001236 Input" sheetId="7" r:id="rId7"/>
    <sheet name="CAPGDS1000001236 TotalWO" sheetId="8" r:id="rId8"/>
    <sheet name="CAPGDS1000001236 Acct1" sheetId="9" r:id="rId9"/>
    <sheet name="CAPGDS1000001236 Support" sheetId="11" r:id="rId10"/>
    <sheet name="CAPGDS1000001150 Input" sheetId="20" r:id="rId11"/>
    <sheet name="CAPGDS1000001150 TotalWO" sheetId="21" r:id="rId12"/>
    <sheet name="CAPGDS1000001150 Acct1" sheetId="22" r:id="rId13"/>
    <sheet name="CAPGDS1000001150 Acct2" sheetId="98" r:id="rId14"/>
    <sheet name="CAPGDS1000001150 Support" sheetId="23" r:id="rId15"/>
    <sheet name="CAPGDS1000001243 Input" sheetId="24" r:id="rId16"/>
    <sheet name="CAPGDS1000001243 TotalWO" sheetId="25" r:id="rId17"/>
    <sheet name="CAPGDS1000001243 Acct1" sheetId="26" r:id="rId18"/>
    <sheet name="CAPGDS1000001243 Support" sheetId="27" r:id="rId19"/>
    <sheet name="CAPGDS1000001239 Input" sheetId="69" r:id="rId20"/>
    <sheet name="CAPGDS1000001239 TotalWO" sheetId="70" r:id="rId21"/>
    <sheet name="CAPGDS1000001239 Acct1" sheetId="71" r:id="rId22"/>
    <sheet name="CAPGDS1000001239 Support" sheetId="72" r:id="rId23"/>
    <sheet name="CAPGDS1000001184 Input" sheetId="97" r:id="rId24"/>
    <sheet name="CAPGDS1000001184 TotalWO" sheetId="99" r:id="rId25"/>
    <sheet name="CAPGDS1000001184 Acct1 " sheetId="100" r:id="rId26"/>
    <sheet name="CAPGDS1000001184 Support" sheetId="101" r:id="rId27"/>
    <sheet name="CAPGDS1000001253 Input" sheetId="73" r:id="rId28"/>
    <sheet name="CAPGDS1000001253 TotalWO" sheetId="74" r:id="rId29"/>
    <sheet name="CAPGDS1000001253 Acct1" sheetId="75" r:id="rId30"/>
    <sheet name="CAPGDS1000001253 Support" sheetId="76" r:id="rId31"/>
    <sheet name="CAPGDS1000001244 Input" sheetId="65" r:id="rId32"/>
    <sheet name="CAPGDS1000001244 TotalWO" sheetId="66" r:id="rId33"/>
    <sheet name="CAPGDS1000001244  Acct1" sheetId="67" r:id="rId34"/>
    <sheet name="CAPGDS1000001244  Acct2" sheetId="96" r:id="rId35"/>
    <sheet name="CAPGDS1000001244  Support" sheetId="68" r:id="rId36"/>
  </sheets>
  <definedNames>
    <definedName name="\a">#REF!</definedName>
    <definedName name="\b">#REF!</definedName>
    <definedName name="_a1">#REF!</definedName>
    <definedName name="_Key1" localSheetId="11" hidden="1">#REF!</definedName>
    <definedName name="_Key1" localSheetId="24" hidden="1">#REF!</definedName>
    <definedName name="_Key1" localSheetId="7" hidden="1">#REF!</definedName>
    <definedName name="_Key1" localSheetId="20" hidden="1">#REF!</definedName>
    <definedName name="_Key1" localSheetId="3" hidden="1">#REF!</definedName>
    <definedName name="_Key1" localSheetId="16" hidden="1">#REF!</definedName>
    <definedName name="_Key1" localSheetId="32" hidden="1">#REF!</definedName>
    <definedName name="_Key1" localSheetId="28" hidden="1">#REF!</definedName>
    <definedName name="_Order1" localSheetId="11" hidden="1">255</definedName>
    <definedName name="_Order1" localSheetId="24" hidden="1">255</definedName>
    <definedName name="_Order1" localSheetId="7" hidden="1">255</definedName>
    <definedName name="_Order1" localSheetId="20" hidden="1">255</definedName>
    <definedName name="_Order1" localSheetId="3" hidden="1">255</definedName>
    <definedName name="_Order1" localSheetId="16" hidden="1">255</definedName>
    <definedName name="_Order1" localSheetId="32" hidden="1">255</definedName>
    <definedName name="_Order1" localSheetId="28" hidden="1">255</definedName>
    <definedName name="_Regression_Int" localSheetId="11" hidden="1">1</definedName>
    <definedName name="_Regression_Int" localSheetId="24" hidden="1">1</definedName>
    <definedName name="_Regression_Int" localSheetId="7" hidden="1">1</definedName>
    <definedName name="_Regression_Int" localSheetId="20" hidden="1">1</definedName>
    <definedName name="_Regression_Int" localSheetId="3" hidden="1">1</definedName>
    <definedName name="_Regression_Int" localSheetId="16" hidden="1">1</definedName>
    <definedName name="_Regression_Int" localSheetId="32" hidden="1">1</definedName>
    <definedName name="_Regression_Int" localSheetId="28" hidden="1">1</definedName>
    <definedName name="_Sort" localSheetId="11" hidden="1">#REF!</definedName>
    <definedName name="_Sort" localSheetId="24" hidden="1">#REF!</definedName>
    <definedName name="_Sort" localSheetId="7" hidden="1">#REF!</definedName>
    <definedName name="_Sort" localSheetId="20" hidden="1">#REF!</definedName>
    <definedName name="_Sort" localSheetId="3" hidden="1">#REF!</definedName>
    <definedName name="_Sort" localSheetId="16" hidden="1">#REF!</definedName>
    <definedName name="_Sort" localSheetId="32" hidden="1">#REF!</definedName>
    <definedName name="_Sort" localSheetId="28" hidden="1">#REF!</definedName>
    <definedName name="ab">#REF!</definedName>
    <definedName name="b">#REF!</definedName>
    <definedName name="LINE">#REF!</definedName>
    <definedName name="_xlnm.Print_Area" localSheetId="12">'CAPGDS1000001150 Acct1'!$A$1:$M$124</definedName>
    <definedName name="_xlnm.Print_Area" localSheetId="13">'CAPGDS1000001150 Acct2'!$A$1:$M$128</definedName>
    <definedName name="_xlnm.Print_Area" localSheetId="14">'CAPGDS1000001150 Support'!$A$1:$L$233</definedName>
    <definedName name="_xlnm.Print_Area" localSheetId="11">'CAPGDS1000001150 TotalWO'!$A$1:$I$40</definedName>
    <definedName name="_xlnm.Print_Area" localSheetId="25">'CAPGDS1000001184 Acct1 '!$A$3:$M$128</definedName>
    <definedName name="_xlnm.Print_Area" localSheetId="26">'CAPGDS1000001184 Support'!$A$1:$L$200</definedName>
    <definedName name="_xlnm.Print_Area" localSheetId="24">'CAPGDS1000001184 TotalWO'!$A$3:$I$40</definedName>
    <definedName name="_xlnm.Print_Area" localSheetId="8">'CAPGDS1000001236 Acct1'!$A$1:$M$128</definedName>
    <definedName name="_xlnm.Print_Area" localSheetId="9">'CAPGDS1000001236 Support'!$A$1:$K$175</definedName>
    <definedName name="_xlnm.Print_Area" localSheetId="7">'CAPGDS1000001236 TotalWO'!$A$1:$I$40</definedName>
    <definedName name="_xlnm.Print_Area" localSheetId="21">'CAPGDS1000001239 Acct1'!$A$1:$M$128</definedName>
    <definedName name="_xlnm.Print_Area" localSheetId="22">'CAPGDS1000001239 Support'!$A$1:$L$178</definedName>
    <definedName name="_xlnm.Print_Area" localSheetId="20">'CAPGDS1000001239 TotalWO'!$A$1:$I$40</definedName>
    <definedName name="_xlnm.Print_Area" localSheetId="4">'CAPGDS1000001240 Acct1'!$A$1:$M$128</definedName>
    <definedName name="_xlnm.Print_Area" localSheetId="5">'CAPGDS1000001240 Support'!$A$1:$L$197</definedName>
    <definedName name="_xlnm.Print_Area" localSheetId="3">'CAPGDS1000001240 TotalWO'!$A$1:$I$40</definedName>
    <definedName name="_xlnm.Print_Area" localSheetId="17">'CAPGDS1000001243 Acct1'!$A$1:$M$128</definedName>
    <definedName name="_xlnm.Print_Area" localSheetId="18">'CAPGDS1000001243 Support'!$A$1:$L$181</definedName>
    <definedName name="_xlnm.Print_Area" localSheetId="16">'CAPGDS1000001243 TotalWO'!$A$1:$I$40</definedName>
    <definedName name="_xlnm.Print_Area" localSheetId="33">'CAPGDS1000001244  Acct1'!$A$1:$M$128</definedName>
    <definedName name="_xlnm.Print_Area" localSheetId="34">'CAPGDS1000001244  Acct2'!$A$1:$M$128</definedName>
    <definedName name="_xlnm.Print_Area" localSheetId="35">'CAPGDS1000001244  Support'!$A$1:$L$181</definedName>
    <definedName name="_xlnm.Print_Area" localSheetId="32">'CAPGDS1000001244 TotalWO'!$A$1:$I$40</definedName>
    <definedName name="_xlnm.Print_Area" localSheetId="29">'CAPGDS1000001253 Acct1'!$A$1:$M$128</definedName>
    <definedName name="_xlnm.Print_Area" localSheetId="30">'CAPGDS1000001253 Support'!$A$1:$L$181</definedName>
    <definedName name="_xlnm.Print_Area" localSheetId="28">'CAPGDS1000001253 TotalWO'!$A$3:$I$40</definedName>
    <definedName name="_xlnm.Print_Area" localSheetId="0">'WP C, pg 1'!$A$1:$H$35</definedName>
    <definedName name="_xlnm.Print_Area" localSheetId="1">'WP C, pg 2 &amp; 3'!$A$1:$T$64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25" l="1"/>
  <c r="J15" i="97"/>
  <c r="E78" i="100" s="1"/>
  <c r="J16" i="65" l="1"/>
  <c r="J15" i="65"/>
  <c r="J16" i="20"/>
  <c r="E99" i="96"/>
  <c r="E99" i="75"/>
  <c r="E99" i="100"/>
  <c r="G78" i="100"/>
  <c r="A8" i="101" l="1"/>
  <c r="G17" i="100"/>
  <c r="E19" i="100"/>
  <c r="E20" i="100"/>
  <c r="E61" i="100" s="1"/>
  <c r="E21" i="100"/>
  <c r="E22" i="100"/>
  <c r="E18" i="100"/>
  <c r="E13" i="100"/>
  <c r="E53" i="100" s="1"/>
  <c r="C78" i="100" s="1"/>
  <c r="C123" i="100" s="1"/>
  <c r="A8" i="100"/>
  <c r="A48" i="100" s="1"/>
  <c r="A8" i="99"/>
  <c r="A100" i="100"/>
  <c r="A101" i="100" s="1"/>
  <c r="A102" i="100" s="1"/>
  <c r="A103" i="100" s="1"/>
  <c r="A104" i="100" s="1"/>
  <c r="A105" i="100" s="1"/>
  <c r="A106" i="100" s="1"/>
  <c r="A107" i="100" s="1"/>
  <c r="A108" i="100" s="1"/>
  <c r="A109" i="100" s="1"/>
  <c r="A110" i="100" s="1"/>
  <c r="A111" i="100" s="1"/>
  <c r="A112" i="100" s="1"/>
  <c r="A113" i="100" s="1"/>
  <c r="A114" i="100" s="1"/>
  <c r="A115" i="100" s="1"/>
  <c r="A116" i="100" s="1"/>
  <c r="A117" i="100" s="1"/>
  <c r="A118" i="100" s="1"/>
  <c r="A119" i="100" s="1"/>
  <c r="A120" i="100" s="1"/>
  <c r="A121" i="100" s="1"/>
  <c r="A122" i="100" s="1"/>
  <c r="A123" i="100" s="1"/>
  <c r="A124" i="100" s="1"/>
  <c r="A125" i="100" s="1"/>
  <c r="A126" i="100" s="1"/>
  <c r="A127" i="100" s="1"/>
  <c r="A128" i="100" s="1"/>
  <c r="M78" i="100"/>
  <c r="K78" i="100"/>
  <c r="A58" i="100"/>
  <c r="A59" i="100" s="1"/>
  <c r="A60" i="100" s="1"/>
  <c r="A61" i="100" s="1"/>
  <c r="A62" i="100" s="1"/>
  <c r="A63" i="100" s="1"/>
  <c r="A64" i="100" s="1"/>
  <c r="A65" i="100" s="1"/>
  <c r="A66" i="100" s="1"/>
  <c r="A67" i="100" s="1"/>
  <c r="A68" i="100" s="1"/>
  <c r="A69" i="100" s="1"/>
  <c r="A70" i="100" s="1"/>
  <c r="A71" i="100" s="1"/>
  <c r="A72" i="100" s="1"/>
  <c r="A73" i="100" s="1"/>
  <c r="A74" i="100" s="1"/>
  <c r="A75" i="100" s="1"/>
  <c r="A76" i="100" s="1"/>
  <c r="A77" i="100" s="1"/>
  <c r="A78" i="100" s="1"/>
  <c r="A79" i="100" s="1"/>
  <c r="A80" i="100" s="1"/>
  <c r="A81" i="100" s="1"/>
  <c r="A18" i="100"/>
  <c r="A19" i="100" s="1"/>
  <c r="A20" i="100" s="1"/>
  <c r="A21" i="100" s="1"/>
  <c r="A22" i="100" s="1"/>
  <c r="A23" i="100" s="1"/>
  <c r="A24" i="100" s="1"/>
  <c r="A25" i="100" s="1"/>
  <c r="A26" i="100" s="1"/>
  <c r="A27" i="100" s="1"/>
  <c r="A28" i="100" s="1"/>
  <c r="A29" i="100" s="1"/>
  <c r="A30" i="100" s="1"/>
  <c r="A31" i="100" s="1"/>
  <c r="A32" i="100" s="1"/>
  <c r="A33" i="100" s="1"/>
  <c r="A34" i="100" s="1"/>
  <c r="A35" i="100" s="1"/>
  <c r="A36" i="100" s="1"/>
  <c r="A37" i="100" s="1"/>
  <c r="A38" i="100" s="1"/>
  <c r="A39" i="100" s="1"/>
  <c r="A40" i="100" s="1"/>
  <c r="A10" i="100"/>
  <c r="G18" i="99"/>
  <c r="G21" i="99" s="1"/>
  <c r="G17" i="99"/>
  <c r="E18" i="99"/>
  <c r="E19" i="99"/>
  <c r="E20" i="99"/>
  <c r="E21" i="99"/>
  <c r="E22" i="99"/>
  <c r="E23" i="99"/>
  <c r="E23" i="100" s="1"/>
  <c r="E24" i="99"/>
  <c r="E24" i="100" s="1"/>
  <c r="E25" i="99"/>
  <c r="E25" i="100" s="1"/>
  <c r="E26" i="99"/>
  <c r="E26" i="100" s="1"/>
  <c r="E27" i="99"/>
  <c r="E27" i="100" s="1"/>
  <c r="E68" i="100" s="1"/>
  <c r="E28" i="99"/>
  <c r="E28" i="100" s="1"/>
  <c r="E29" i="99"/>
  <c r="E29" i="100" s="1"/>
  <c r="E17" i="99"/>
  <c r="E17" i="100" s="1"/>
  <c r="C18" i="99"/>
  <c r="A18" i="99"/>
  <c r="A19" i="99" s="1"/>
  <c r="A20" i="99" s="1"/>
  <c r="A21" i="99" s="1"/>
  <c r="A22" i="99" s="1"/>
  <c r="A23" i="99" s="1"/>
  <c r="A24" i="99" s="1"/>
  <c r="A25" i="99" s="1"/>
  <c r="A26" i="99" s="1"/>
  <c r="A27" i="99" s="1"/>
  <c r="A28" i="99" s="1"/>
  <c r="A29" i="99" s="1"/>
  <c r="A30" i="99" s="1"/>
  <c r="A31" i="99" s="1"/>
  <c r="A32" i="99" s="1"/>
  <c r="A33" i="99" s="1"/>
  <c r="A34" i="99" s="1"/>
  <c r="A35" i="99" s="1"/>
  <c r="A36" i="99" s="1"/>
  <c r="A37" i="99" s="1"/>
  <c r="A38" i="99" s="1"/>
  <c r="A39" i="99" s="1"/>
  <c r="A40" i="99" s="1"/>
  <c r="C17" i="99"/>
  <c r="E13" i="98"/>
  <c r="E53" i="98" s="1"/>
  <c r="C78" i="98" s="1"/>
  <c r="C123" i="98" s="1"/>
  <c r="A100" i="98"/>
  <c r="A101" i="98" s="1"/>
  <c r="A102" i="98" s="1"/>
  <c r="A103" i="98" s="1"/>
  <c r="A104" i="98" s="1"/>
  <c r="A105" i="98" s="1"/>
  <c r="A106" i="98" s="1"/>
  <c r="A107" i="98" s="1"/>
  <c r="A108" i="98" s="1"/>
  <c r="A109" i="98" s="1"/>
  <c r="A110" i="98" s="1"/>
  <c r="A111" i="98" s="1"/>
  <c r="A112" i="98" s="1"/>
  <c r="A113" i="98" s="1"/>
  <c r="A114" i="98" s="1"/>
  <c r="A115" i="98" s="1"/>
  <c r="A116" i="98" s="1"/>
  <c r="A117" i="98" s="1"/>
  <c r="A118" i="98" s="1"/>
  <c r="A119" i="98" s="1"/>
  <c r="A120" i="98" s="1"/>
  <c r="A121" i="98" s="1"/>
  <c r="A122" i="98" s="1"/>
  <c r="A123" i="98" s="1"/>
  <c r="A124" i="98" s="1"/>
  <c r="A125" i="98" s="1"/>
  <c r="A126" i="98" s="1"/>
  <c r="A127" i="98" s="1"/>
  <c r="A128" i="98" s="1"/>
  <c r="M78" i="98"/>
  <c r="K78" i="98"/>
  <c r="A58" i="98"/>
  <c r="A59" i="98" s="1"/>
  <c r="A60" i="98" s="1"/>
  <c r="A61" i="98" s="1"/>
  <c r="A62" i="98" s="1"/>
  <c r="A63" i="98" s="1"/>
  <c r="A64" i="98" s="1"/>
  <c r="A65" i="98" s="1"/>
  <c r="A66" i="98" s="1"/>
  <c r="A67" i="98" s="1"/>
  <c r="A68" i="98" s="1"/>
  <c r="A69" i="98" s="1"/>
  <c r="A70" i="98" s="1"/>
  <c r="A71" i="98" s="1"/>
  <c r="A72" i="98" s="1"/>
  <c r="A73" i="98" s="1"/>
  <c r="A74" i="98" s="1"/>
  <c r="A75" i="98" s="1"/>
  <c r="A76" i="98" s="1"/>
  <c r="A77" i="98" s="1"/>
  <c r="A78" i="98" s="1"/>
  <c r="A79" i="98" s="1"/>
  <c r="A80" i="98" s="1"/>
  <c r="A81" i="98" s="1"/>
  <c r="A18" i="98"/>
  <c r="A19" i="98" s="1"/>
  <c r="A20" i="98" s="1"/>
  <c r="A21" i="98" s="1"/>
  <c r="A22" i="98" s="1"/>
  <c r="A23" i="98" s="1"/>
  <c r="A24" i="98" s="1"/>
  <c r="A25" i="98" s="1"/>
  <c r="A26" i="98" s="1"/>
  <c r="A27" i="98" s="1"/>
  <c r="A28" i="98" s="1"/>
  <c r="A29" i="98" s="1"/>
  <c r="A30" i="98" s="1"/>
  <c r="A31" i="98" s="1"/>
  <c r="A32" i="98" s="1"/>
  <c r="A33" i="98" s="1"/>
  <c r="A34" i="98" s="1"/>
  <c r="A35" i="98" s="1"/>
  <c r="A36" i="98" s="1"/>
  <c r="A37" i="98" s="1"/>
  <c r="A38" i="98" s="1"/>
  <c r="A39" i="98" s="1"/>
  <c r="A40" i="98" s="1"/>
  <c r="A10" i="98"/>
  <c r="A8" i="98"/>
  <c r="A90" i="98" s="1"/>
  <c r="B17" i="97"/>
  <c r="B18" i="97" s="1"/>
  <c r="B19" i="97" s="1"/>
  <c r="B20" i="97" s="1"/>
  <c r="B21" i="97" s="1"/>
  <c r="B22" i="97" s="1"/>
  <c r="B23" i="97" s="1"/>
  <c r="B24" i="97" s="1"/>
  <c r="B25" i="97" s="1"/>
  <c r="B26" i="97" s="1"/>
  <c r="B27" i="97" s="1"/>
  <c r="A5" i="97"/>
  <c r="I21" i="99" l="1"/>
  <c r="G25" i="99"/>
  <c r="I25" i="99" s="1"/>
  <c r="E58" i="100"/>
  <c r="E57" i="100"/>
  <c r="E100" i="100" s="1"/>
  <c r="G18" i="100"/>
  <c r="I18" i="100" s="1"/>
  <c r="E30" i="99"/>
  <c r="E32" i="99" s="1"/>
  <c r="G25" i="100"/>
  <c r="G66" i="100" s="1"/>
  <c r="G21" i="100"/>
  <c r="I21" i="100" s="1"/>
  <c r="K72" i="100"/>
  <c r="G58" i="100"/>
  <c r="I58" i="100" s="1"/>
  <c r="G24" i="99"/>
  <c r="G24" i="100" s="1"/>
  <c r="G65" i="100" s="1"/>
  <c r="E30" i="100"/>
  <c r="E32" i="100" s="1"/>
  <c r="I24" i="100"/>
  <c r="I25" i="100"/>
  <c r="G57" i="100"/>
  <c r="G99" i="100" s="1"/>
  <c r="E64" i="100"/>
  <c r="G123" i="100"/>
  <c r="E63" i="100"/>
  <c r="E69" i="100"/>
  <c r="E67" i="100"/>
  <c r="E66" i="100"/>
  <c r="E59" i="100"/>
  <c r="E62" i="100"/>
  <c r="E65" i="100"/>
  <c r="E60" i="100"/>
  <c r="E123" i="100"/>
  <c r="A90" i="100"/>
  <c r="I17" i="100"/>
  <c r="E95" i="100"/>
  <c r="G28" i="99"/>
  <c r="G29" i="99"/>
  <c r="G27" i="99"/>
  <c r="G20" i="99"/>
  <c r="I17" i="99"/>
  <c r="G22" i="99"/>
  <c r="G26" i="99"/>
  <c r="I18" i="99"/>
  <c r="G19" i="99"/>
  <c r="G23" i="99"/>
  <c r="A48" i="98"/>
  <c r="E95" i="98"/>
  <c r="B46" i="2"/>
  <c r="D46" i="2"/>
  <c r="E13" i="96"/>
  <c r="E95" i="96" s="1"/>
  <c r="A100" i="96"/>
  <c r="A101" i="96" s="1"/>
  <c r="A102" i="96" s="1"/>
  <c r="A103" i="96" s="1"/>
  <c r="A104" i="96" s="1"/>
  <c r="A105" i="96" s="1"/>
  <c r="A106" i="96" s="1"/>
  <c r="A107" i="96" s="1"/>
  <c r="A108" i="96" s="1"/>
  <c r="A109" i="96" s="1"/>
  <c r="A110" i="96" s="1"/>
  <c r="A111" i="96" s="1"/>
  <c r="A112" i="96" s="1"/>
  <c r="A113" i="96" s="1"/>
  <c r="A114" i="96" s="1"/>
  <c r="A115" i="96" s="1"/>
  <c r="A116" i="96" s="1"/>
  <c r="A117" i="96" s="1"/>
  <c r="A118" i="96" s="1"/>
  <c r="A119" i="96" s="1"/>
  <c r="A120" i="96" s="1"/>
  <c r="A121" i="96" s="1"/>
  <c r="A122" i="96" s="1"/>
  <c r="A123" i="96" s="1"/>
  <c r="A124" i="96" s="1"/>
  <c r="A125" i="96" s="1"/>
  <c r="A126" i="96" s="1"/>
  <c r="A127" i="96" s="1"/>
  <c r="A128" i="96" s="1"/>
  <c r="M78" i="96"/>
  <c r="K78" i="96"/>
  <c r="E78" i="96"/>
  <c r="A58" i="96"/>
  <c r="A59" i="96" s="1"/>
  <c r="A60" i="96" s="1"/>
  <c r="A61" i="96" s="1"/>
  <c r="A62" i="96" s="1"/>
  <c r="A63" i="96" s="1"/>
  <c r="A64" i="96" s="1"/>
  <c r="A65" i="96" s="1"/>
  <c r="A66" i="96" s="1"/>
  <c r="A67" i="96" s="1"/>
  <c r="A68" i="96" s="1"/>
  <c r="A69" i="96" s="1"/>
  <c r="A70" i="96" s="1"/>
  <c r="A71" i="96" s="1"/>
  <c r="A72" i="96" s="1"/>
  <c r="A73" i="96" s="1"/>
  <c r="A74" i="96" s="1"/>
  <c r="A75" i="96" s="1"/>
  <c r="A76" i="96" s="1"/>
  <c r="A77" i="96" s="1"/>
  <c r="A78" i="96" s="1"/>
  <c r="A79" i="96" s="1"/>
  <c r="A80" i="96" s="1"/>
  <c r="A81" i="96" s="1"/>
  <c r="A18" i="96"/>
  <c r="A19" i="96" s="1"/>
  <c r="A20" i="96" s="1"/>
  <c r="A21" i="96" s="1"/>
  <c r="A22" i="96" s="1"/>
  <c r="A23" i="96" s="1"/>
  <c r="A24" i="96" s="1"/>
  <c r="A25" i="96" s="1"/>
  <c r="A26" i="96" s="1"/>
  <c r="A27" i="96" s="1"/>
  <c r="A28" i="96" s="1"/>
  <c r="A29" i="96" s="1"/>
  <c r="A30" i="96" s="1"/>
  <c r="A31" i="96" s="1"/>
  <c r="A32" i="96" s="1"/>
  <c r="A33" i="96" s="1"/>
  <c r="A34" i="96" s="1"/>
  <c r="A35" i="96" s="1"/>
  <c r="A36" i="96" s="1"/>
  <c r="A37" i="96" s="1"/>
  <c r="A38" i="96" s="1"/>
  <c r="A39" i="96" s="1"/>
  <c r="A40" i="96" s="1"/>
  <c r="A10" i="96"/>
  <c r="A8" i="96"/>
  <c r="A48" i="96" s="1"/>
  <c r="G59" i="100" l="1"/>
  <c r="I59" i="100" s="1"/>
  <c r="G62" i="100"/>
  <c r="I24" i="99"/>
  <c r="I22" i="99"/>
  <c r="G22" i="100"/>
  <c r="I27" i="99"/>
  <c r="G27" i="100"/>
  <c r="I23" i="99"/>
  <c r="G23" i="100"/>
  <c r="I20" i="99"/>
  <c r="G20" i="100"/>
  <c r="I29" i="99"/>
  <c r="G29" i="100"/>
  <c r="I29" i="100" s="1"/>
  <c r="I28" i="99"/>
  <c r="G28" i="100"/>
  <c r="I19" i="99"/>
  <c r="I30" i="99" s="1"/>
  <c r="I32" i="99" s="1"/>
  <c r="I35" i="99" s="1"/>
  <c r="G19" i="100"/>
  <c r="G100" i="100"/>
  <c r="I100" i="100" s="1"/>
  <c r="I26" i="99"/>
  <c r="G26" i="100"/>
  <c r="I57" i="100"/>
  <c r="I99" i="100"/>
  <c r="G78" i="96"/>
  <c r="I62" i="100"/>
  <c r="E70" i="100"/>
  <c r="I66" i="100"/>
  <c r="I65" i="100"/>
  <c r="E101" i="100"/>
  <c r="E102" i="100" s="1"/>
  <c r="E103" i="100" s="1"/>
  <c r="E104" i="100" s="1"/>
  <c r="E105" i="100" s="1"/>
  <c r="E106" i="100" s="1"/>
  <c r="E107" i="100" s="1"/>
  <c r="E108" i="100" s="1"/>
  <c r="E109" i="100" s="1"/>
  <c r="E110" i="100" s="1"/>
  <c r="E111" i="100" s="1"/>
  <c r="G30" i="99"/>
  <c r="G32" i="99" s="1"/>
  <c r="E123" i="96"/>
  <c r="A90" i="96"/>
  <c r="E53" i="96"/>
  <c r="C78" i="96" s="1"/>
  <c r="C123" i="96" s="1"/>
  <c r="G101" i="100" l="1"/>
  <c r="G64" i="100"/>
  <c r="I64" i="100" s="1"/>
  <c r="I23" i="100"/>
  <c r="G60" i="100"/>
  <c r="G30" i="100"/>
  <c r="G32" i="100" s="1"/>
  <c r="I19" i="100"/>
  <c r="G61" i="100"/>
  <c r="I61" i="100" s="1"/>
  <c r="I20" i="100"/>
  <c r="I26" i="100"/>
  <c r="G67" i="100"/>
  <c r="I67" i="100" s="1"/>
  <c r="I28" i="100"/>
  <c r="G69" i="100"/>
  <c r="I69" i="100" s="1"/>
  <c r="G68" i="100"/>
  <c r="I68" i="100" s="1"/>
  <c r="I27" i="100"/>
  <c r="G63" i="100"/>
  <c r="I63" i="100" s="1"/>
  <c r="I22" i="100"/>
  <c r="G123" i="96"/>
  <c r="E112" i="100"/>
  <c r="E114" i="100" s="1"/>
  <c r="I101" i="100"/>
  <c r="G102" i="100"/>
  <c r="I60" i="100" l="1"/>
  <c r="I70" i="100" s="1"/>
  <c r="I72" i="100" s="1"/>
  <c r="R46" i="2" s="1"/>
  <c r="G70" i="100"/>
  <c r="I30" i="100"/>
  <c r="I32" i="100" s="1"/>
  <c r="I35" i="100" s="1"/>
  <c r="L17" i="2" s="1"/>
  <c r="P17" i="2" s="1"/>
  <c r="M72" i="100"/>
  <c r="M57" i="100" s="1"/>
  <c r="M99" i="100" s="1"/>
  <c r="M100" i="100" s="1"/>
  <c r="M59" i="100"/>
  <c r="M60" i="100" s="1"/>
  <c r="M61" i="100" s="1"/>
  <c r="M62" i="100" s="1"/>
  <c r="M63" i="100" s="1"/>
  <c r="M64" i="100" s="1"/>
  <c r="M65" i="100" s="1"/>
  <c r="M66" i="100" s="1"/>
  <c r="M67" i="100" s="1"/>
  <c r="M68" i="100" s="1"/>
  <c r="M69" i="100" s="1"/>
  <c r="G103" i="100"/>
  <c r="I102" i="100"/>
  <c r="M101" i="100" l="1"/>
  <c r="M58" i="100"/>
  <c r="M70" i="100"/>
  <c r="M102" i="100"/>
  <c r="M103" i="100" s="1"/>
  <c r="M104" i="100" s="1"/>
  <c r="M105" i="100" s="1"/>
  <c r="M106" i="100" s="1"/>
  <c r="M107" i="100" s="1"/>
  <c r="M108" i="100" s="1"/>
  <c r="M109" i="100" s="1"/>
  <c r="M110" i="100" s="1"/>
  <c r="M111" i="100" s="1"/>
  <c r="G104" i="100"/>
  <c r="I103" i="100"/>
  <c r="M112" i="100" l="1"/>
  <c r="M114" i="100" s="1"/>
  <c r="M117" i="100" s="1"/>
  <c r="T46" i="2" s="1"/>
  <c r="G105" i="100"/>
  <c r="I104" i="100"/>
  <c r="G106" i="100" l="1"/>
  <c r="I105" i="100"/>
  <c r="G107" i="100" l="1"/>
  <c r="I106" i="100"/>
  <c r="I107" i="100" l="1"/>
  <c r="G108" i="100"/>
  <c r="G109" i="100" l="1"/>
  <c r="I108" i="100"/>
  <c r="I109" i="100" l="1"/>
  <c r="G110" i="100"/>
  <c r="G111" i="100" l="1"/>
  <c r="G112" i="100" s="1"/>
  <c r="G114" i="100" s="1"/>
  <c r="I110" i="100"/>
  <c r="I111" i="100" l="1"/>
  <c r="I112" i="100" l="1"/>
  <c r="I114" i="100" s="1"/>
  <c r="I117" i="100" s="1"/>
  <c r="L46" i="2" s="1"/>
  <c r="P46" i="2" s="1"/>
  <c r="G17" i="66" l="1"/>
  <c r="G17" i="74"/>
  <c r="G17" i="70"/>
  <c r="G17" i="25"/>
  <c r="G17" i="21"/>
  <c r="G18" i="98" l="1"/>
  <c r="G17" i="98"/>
  <c r="G17" i="8"/>
  <c r="K72" i="98" l="1"/>
  <c r="G17" i="4"/>
  <c r="G28" i="4" s="1"/>
  <c r="G18" i="4" l="1"/>
  <c r="G19" i="4"/>
  <c r="G21" i="4"/>
  <c r="G23" i="4"/>
  <c r="G25" i="4"/>
  <c r="G27" i="4"/>
  <c r="G29" i="4"/>
  <c r="G20" i="4"/>
  <c r="G22" i="4"/>
  <c r="G24" i="4"/>
  <c r="G26" i="4"/>
  <c r="A8" i="11"/>
  <c r="J15" i="73" l="1"/>
  <c r="J15" i="69"/>
  <c r="J15" i="24"/>
  <c r="J15" i="20"/>
  <c r="E78" i="98" s="1"/>
  <c r="J15" i="7"/>
  <c r="J15" i="3"/>
  <c r="E123" i="98" l="1"/>
  <c r="G78" i="98"/>
  <c r="N21" i="2"/>
  <c r="G123" i="98" l="1"/>
  <c r="G57" i="98"/>
  <c r="G58" i="98"/>
  <c r="G59" i="98"/>
  <c r="B47" i="2"/>
  <c r="D47" i="2"/>
  <c r="A8" i="76"/>
  <c r="A100" i="75"/>
  <c r="A101" i="75" s="1"/>
  <c r="A102" i="75" s="1"/>
  <c r="A103" i="75" s="1"/>
  <c r="A104" i="75" s="1"/>
  <c r="A105" i="75" s="1"/>
  <c r="A106" i="75" s="1"/>
  <c r="A107" i="75" s="1"/>
  <c r="A108" i="75" s="1"/>
  <c r="A109" i="75" s="1"/>
  <c r="A110" i="75" s="1"/>
  <c r="A111" i="75" s="1"/>
  <c r="A112" i="75" s="1"/>
  <c r="A113" i="75" s="1"/>
  <c r="A114" i="75" s="1"/>
  <c r="A115" i="75" s="1"/>
  <c r="A116" i="75" s="1"/>
  <c r="A117" i="75" s="1"/>
  <c r="A118" i="75" s="1"/>
  <c r="A119" i="75" s="1"/>
  <c r="A120" i="75" s="1"/>
  <c r="A121" i="75" s="1"/>
  <c r="A122" i="75" s="1"/>
  <c r="A123" i="75" s="1"/>
  <c r="A124" i="75" s="1"/>
  <c r="A125" i="75" s="1"/>
  <c r="A126" i="75" s="1"/>
  <c r="A127" i="75" s="1"/>
  <c r="A128" i="75" s="1"/>
  <c r="M78" i="75"/>
  <c r="K78" i="75"/>
  <c r="A58" i="75"/>
  <c r="A59" i="75" s="1"/>
  <c r="A60" i="75" s="1"/>
  <c r="A61" i="75" s="1"/>
  <c r="A62" i="75" s="1"/>
  <c r="A63" i="75" s="1"/>
  <c r="A64" i="75" s="1"/>
  <c r="A65" i="75" s="1"/>
  <c r="A66" i="75" s="1"/>
  <c r="A67" i="75" s="1"/>
  <c r="A68" i="75" s="1"/>
  <c r="A69" i="75" s="1"/>
  <c r="A70" i="75" s="1"/>
  <c r="A71" i="75" s="1"/>
  <c r="A72" i="75" s="1"/>
  <c r="A73" i="75" s="1"/>
  <c r="A74" i="75" s="1"/>
  <c r="A75" i="75" s="1"/>
  <c r="A76" i="75" s="1"/>
  <c r="A77" i="75" s="1"/>
  <c r="A78" i="75" s="1"/>
  <c r="A79" i="75" s="1"/>
  <c r="A80" i="75" s="1"/>
  <c r="A81" i="75" s="1"/>
  <c r="A18" i="75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A29" i="75" s="1"/>
  <c r="A30" i="75" s="1"/>
  <c r="A31" i="75" s="1"/>
  <c r="A32" i="75" s="1"/>
  <c r="A33" i="75" s="1"/>
  <c r="A34" i="75" s="1"/>
  <c r="A35" i="75" s="1"/>
  <c r="A36" i="75" s="1"/>
  <c r="A37" i="75" s="1"/>
  <c r="A38" i="75" s="1"/>
  <c r="A39" i="75" s="1"/>
  <c r="A40" i="75" s="1"/>
  <c r="E13" i="75"/>
  <c r="E53" i="75" s="1"/>
  <c r="C78" i="75" s="1"/>
  <c r="C123" i="75" s="1"/>
  <c r="A10" i="75"/>
  <c r="A8" i="75"/>
  <c r="A48" i="75" s="1"/>
  <c r="E29" i="74"/>
  <c r="E29" i="75" s="1"/>
  <c r="E28" i="74"/>
  <c r="E28" i="75" s="1"/>
  <c r="E27" i="74"/>
  <c r="E27" i="75" s="1"/>
  <c r="E26" i="74"/>
  <c r="E26" i="75" s="1"/>
  <c r="E25" i="74"/>
  <c r="E25" i="75" s="1"/>
  <c r="E24" i="74"/>
  <c r="E24" i="75" s="1"/>
  <c r="E23" i="74"/>
  <c r="E23" i="75" s="1"/>
  <c r="E22" i="74"/>
  <c r="E22" i="75" s="1"/>
  <c r="E21" i="74"/>
  <c r="E21" i="75" s="1"/>
  <c r="E20" i="74"/>
  <c r="E20" i="75" s="1"/>
  <c r="E19" i="74"/>
  <c r="E19" i="75" s="1"/>
  <c r="G18" i="74"/>
  <c r="E18" i="74"/>
  <c r="E18" i="75" s="1"/>
  <c r="C18" i="74"/>
  <c r="A18" i="74"/>
  <c r="A19" i="74" s="1"/>
  <c r="A20" i="74" s="1"/>
  <c r="A21" i="74" s="1"/>
  <c r="A22" i="74" s="1"/>
  <c r="A23" i="74" s="1"/>
  <c r="A24" i="74" s="1"/>
  <c r="A25" i="74" s="1"/>
  <c r="A26" i="74" s="1"/>
  <c r="A27" i="74" s="1"/>
  <c r="A28" i="74" s="1"/>
  <c r="A29" i="74" s="1"/>
  <c r="A30" i="74" s="1"/>
  <c r="A31" i="74" s="1"/>
  <c r="A32" i="74" s="1"/>
  <c r="A33" i="74" s="1"/>
  <c r="A34" i="74" s="1"/>
  <c r="A35" i="74" s="1"/>
  <c r="A36" i="74" s="1"/>
  <c r="A37" i="74" s="1"/>
  <c r="A38" i="74" s="1"/>
  <c r="A39" i="74" s="1"/>
  <c r="A40" i="74" s="1"/>
  <c r="G17" i="75"/>
  <c r="E17" i="74"/>
  <c r="E17" i="75" s="1"/>
  <c r="C17" i="74"/>
  <c r="A8" i="74"/>
  <c r="B17" i="73"/>
  <c r="E78" i="75"/>
  <c r="G78" i="75" s="1"/>
  <c r="A5" i="73"/>
  <c r="A5" i="76" s="1"/>
  <c r="B45" i="2"/>
  <c r="D45" i="2"/>
  <c r="A6" i="72"/>
  <c r="A100" i="71"/>
  <c r="A101" i="71" s="1"/>
  <c r="A102" i="71" s="1"/>
  <c r="A103" i="71" s="1"/>
  <c r="A104" i="71" s="1"/>
  <c r="A105" i="71" s="1"/>
  <c r="A106" i="71" s="1"/>
  <c r="A107" i="71" s="1"/>
  <c r="A108" i="71" s="1"/>
  <c r="A109" i="71" s="1"/>
  <c r="A110" i="71" s="1"/>
  <c r="A111" i="71" s="1"/>
  <c r="A112" i="71" s="1"/>
  <c r="A113" i="71" s="1"/>
  <c r="A114" i="71" s="1"/>
  <c r="A115" i="71" s="1"/>
  <c r="A116" i="71" s="1"/>
  <c r="A117" i="71" s="1"/>
  <c r="A118" i="71" s="1"/>
  <c r="A119" i="71" s="1"/>
  <c r="A120" i="71" s="1"/>
  <c r="A121" i="71" s="1"/>
  <c r="A122" i="71" s="1"/>
  <c r="A123" i="71" s="1"/>
  <c r="A124" i="71" s="1"/>
  <c r="A125" i="71" s="1"/>
  <c r="A126" i="71" s="1"/>
  <c r="A127" i="71" s="1"/>
  <c r="A128" i="71" s="1"/>
  <c r="M78" i="71"/>
  <c r="K78" i="71"/>
  <c r="A58" i="71"/>
  <c r="A59" i="71" s="1"/>
  <c r="A60" i="71" s="1"/>
  <c r="A61" i="71" s="1"/>
  <c r="A62" i="71" s="1"/>
  <c r="A63" i="71" s="1"/>
  <c r="A64" i="71" s="1"/>
  <c r="A65" i="71" s="1"/>
  <c r="A66" i="71" s="1"/>
  <c r="A67" i="71" s="1"/>
  <c r="A68" i="71" s="1"/>
  <c r="A69" i="71" s="1"/>
  <c r="A70" i="71" s="1"/>
  <c r="A71" i="71" s="1"/>
  <c r="A72" i="71" s="1"/>
  <c r="A73" i="71" s="1"/>
  <c r="A74" i="71" s="1"/>
  <c r="A75" i="71" s="1"/>
  <c r="A76" i="71" s="1"/>
  <c r="A77" i="71" s="1"/>
  <c r="A78" i="71" s="1"/>
  <c r="A79" i="71" s="1"/>
  <c r="A80" i="71" s="1"/>
  <c r="A81" i="71" s="1"/>
  <c r="A18" i="7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A39" i="71" s="1"/>
  <c r="A40" i="71" s="1"/>
  <c r="E13" i="71"/>
  <c r="E53" i="71" s="1"/>
  <c r="C78" i="71" s="1"/>
  <c r="C123" i="71" s="1"/>
  <c r="A10" i="71"/>
  <c r="A8" i="71"/>
  <c r="A48" i="71" s="1"/>
  <c r="E29" i="70"/>
  <c r="E29" i="71" s="1"/>
  <c r="E28" i="70"/>
  <c r="E28" i="71" s="1"/>
  <c r="E27" i="70"/>
  <c r="E27" i="71" s="1"/>
  <c r="E26" i="70"/>
  <c r="E26" i="71" s="1"/>
  <c r="E25" i="70"/>
  <c r="E25" i="71" s="1"/>
  <c r="E24" i="70"/>
  <c r="E24" i="71" s="1"/>
  <c r="E23" i="70"/>
  <c r="E23" i="71" s="1"/>
  <c r="E22" i="70"/>
  <c r="E22" i="71" s="1"/>
  <c r="E21" i="70"/>
  <c r="E21" i="71" s="1"/>
  <c r="E20" i="70"/>
  <c r="E20" i="71" s="1"/>
  <c r="E19" i="70"/>
  <c r="E19" i="71" s="1"/>
  <c r="G18" i="70"/>
  <c r="E18" i="70"/>
  <c r="E18" i="71" s="1"/>
  <c r="C18" i="70"/>
  <c r="C18" i="71" s="1"/>
  <c r="C58" i="71" s="1"/>
  <c r="C59" i="71" s="1"/>
  <c r="C60" i="71" s="1"/>
  <c r="C61" i="71" s="1"/>
  <c r="C62" i="71" s="1"/>
  <c r="C63" i="71" s="1"/>
  <c r="C64" i="71" s="1"/>
  <c r="C65" i="71" s="1"/>
  <c r="C66" i="71" s="1"/>
  <c r="C67" i="71" s="1"/>
  <c r="C68" i="71" s="1"/>
  <c r="C69" i="71" s="1"/>
  <c r="A18" i="70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G17" i="71"/>
  <c r="E17" i="70"/>
  <c r="E17" i="71" s="1"/>
  <c r="C17" i="70"/>
  <c r="C17" i="71" s="1"/>
  <c r="A8" i="70"/>
  <c r="B17" i="69"/>
  <c r="C19" i="70" s="1"/>
  <c r="E78" i="71"/>
  <c r="G78" i="71" s="1"/>
  <c r="A5" i="69"/>
  <c r="A5" i="71" s="1"/>
  <c r="A87" i="71" s="1"/>
  <c r="D48" i="2"/>
  <c r="B48" i="2"/>
  <c r="A8" i="68"/>
  <c r="A5" i="68"/>
  <c r="M78" i="67"/>
  <c r="K78" i="67"/>
  <c r="E78" i="67"/>
  <c r="E29" i="67"/>
  <c r="E28" i="67"/>
  <c r="E25" i="67"/>
  <c r="E13" i="67"/>
  <c r="E95" i="67" s="1"/>
  <c r="A10" i="67"/>
  <c r="A8" i="67"/>
  <c r="A90" i="67" s="1"/>
  <c r="A5" i="67"/>
  <c r="A87" i="67" s="1"/>
  <c r="E29" i="66"/>
  <c r="E29" i="96" s="1"/>
  <c r="E28" i="66"/>
  <c r="E28" i="96" s="1"/>
  <c r="E27" i="66"/>
  <c r="E27" i="96" s="1"/>
  <c r="E68" i="96" s="1"/>
  <c r="E26" i="66"/>
  <c r="E26" i="96" s="1"/>
  <c r="E25" i="66"/>
  <c r="E25" i="96" s="1"/>
  <c r="E24" i="66"/>
  <c r="E24" i="96" s="1"/>
  <c r="E65" i="96" s="1"/>
  <c r="E23" i="66"/>
  <c r="E23" i="96" s="1"/>
  <c r="E64" i="96" s="1"/>
  <c r="E22" i="66"/>
  <c r="E22" i="96" s="1"/>
  <c r="E21" i="66"/>
  <c r="E21" i="96" s="1"/>
  <c r="E20" i="66"/>
  <c r="E20" i="96" s="1"/>
  <c r="E61" i="96" s="1"/>
  <c r="E19" i="66"/>
  <c r="E19" i="96" s="1"/>
  <c r="E60" i="96" s="1"/>
  <c r="C19" i="66"/>
  <c r="E18" i="66"/>
  <c r="E18" i="96" s="1"/>
  <c r="C18" i="66"/>
  <c r="C18" i="96" s="1"/>
  <c r="E17" i="66"/>
  <c r="C17" i="66"/>
  <c r="C17" i="96" s="1"/>
  <c r="A8" i="66"/>
  <c r="A5" i="66"/>
  <c r="G18" i="66"/>
  <c r="A100" i="67"/>
  <c r="A101" i="67" s="1"/>
  <c r="A102" i="67" s="1"/>
  <c r="A103" i="67" s="1"/>
  <c r="A104" i="67" s="1"/>
  <c r="A105" i="67" s="1"/>
  <c r="A106" i="67" s="1"/>
  <c r="A107" i="67" s="1"/>
  <c r="A108" i="67" s="1"/>
  <c r="A109" i="67" s="1"/>
  <c r="A110" i="67" s="1"/>
  <c r="A111" i="67" s="1"/>
  <c r="A112" i="67" s="1"/>
  <c r="A113" i="67" s="1"/>
  <c r="A114" i="67" s="1"/>
  <c r="A115" i="67" s="1"/>
  <c r="A116" i="67" s="1"/>
  <c r="A117" i="67" s="1"/>
  <c r="A118" i="67" s="1"/>
  <c r="A119" i="67" s="1"/>
  <c r="A120" i="67" s="1"/>
  <c r="A121" i="67" s="1"/>
  <c r="A122" i="67" s="1"/>
  <c r="A123" i="67" s="1"/>
  <c r="A124" i="67" s="1"/>
  <c r="A125" i="67" s="1"/>
  <c r="A126" i="67" s="1"/>
  <c r="A127" i="67" s="1"/>
  <c r="A128" i="67" s="1"/>
  <c r="A58" i="67"/>
  <c r="A59" i="67" s="1"/>
  <c r="A60" i="67" s="1"/>
  <c r="A61" i="67" s="1"/>
  <c r="A62" i="67" s="1"/>
  <c r="A63" i="67" s="1"/>
  <c r="A64" i="67" s="1"/>
  <c r="A65" i="67" s="1"/>
  <c r="A66" i="67" s="1"/>
  <c r="A67" i="67" s="1"/>
  <c r="A68" i="67" s="1"/>
  <c r="A69" i="67" s="1"/>
  <c r="A70" i="67" s="1"/>
  <c r="A71" i="67" s="1"/>
  <c r="A72" i="67" s="1"/>
  <c r="A73" i="67" s="1"/>
  <c r="A74" i="67" s="1"/>
  <c r="A75" i="67" s="1"/>
  <c r="A76" i="67" s="1"/>
  <c r="A77" i="67" s="1"/>
  <c r="A78" i="67" s="1"/>
  <c r="A79" i="67" s="1"/>
  <c r="A80" i="67" s="1"/>
  <c r="A81" i="67" s="1"/>
  <c r="A18" i="67"/>
  <c r="A19" i="67" s="1"/>
  <c r="A20" i="67" s="1"/>
  <c r="A21" i="67" s="1"/>
  <c r="A22" i="67" s="1"/>
  <c r="A23" i="67" s="1"/>
  <c r="A24" i="67" s="1"/>
  <c r="A25" i="67" s="1"/>
  <c r="A26" i="67" s="1"/>
  <c r="A27" i="67" s="1"/>
  <c r="A28" i="67" s="1"/>
  <c r="A29" i="67" s="1"/>
  <c r="A30" i="67" s="1"/>
  <c r="A31" i="67" s="1"/>
  <c r="A32" i="67" s="1"/>
  <c r="A33" i="67" s="1"/>
  <c r="A34" i="67" s="1"/>
  <c r="A35" i="67" s="1"/>
  <c r="A36" i="67" s="1"/>
  <c r="A37" i="67" s="1"/>
  <c r="A38" i="67" s="1"/>
  <c r="A39" i="67" s="1"/>
  <c r="A40" i="67" s="1"/>
  <c r="A18" i="66"/>
  <c r="A19" i="66" s="1"/>
  <c r="A20" i="66" s="1"/>
  <c r="A21" i="66" s="1"/>
  <c r="A22" i="66" s="1"/>
  <c r="A23" i="66" s="1"/>
  <c r="A24" i="66" s="1"/>
  <c r="A25" i="66" s="1"/>
  <c r="A26" i="66" s="1"/>
  <c r="A27" i="66" s="1"/>
  <c r="A28" i="66" s="1"/>
  <c r="A29" i="66" s="1"/>
  <c r="A30" i="66" s="1"/>
  <c r="A31" i="66" s="1"/>
  <c r="A32" i="66" s="1"/>
  <c r="A33" i="66" s="1"/>
  <c r="A34" i="66" s="1"/>
  <c r="A35" i="66" s="1"/>
  <c r="A36" i="66" s="1"/>
  <c r="A37" i="66" s="1"/>
  <c r="A38" i="66" s="1"/>
  <c r="A39" i="66" s="1"/>
  <c r="A40" i="66" s="1"/>
  <c r="B17" i="65"/>
  <c r="B18" i="65" s="1"/>
  <c r="B19" i="65" s="1"/>
  <c r="B20" i="65" s="1"/>
  <c r="B21" i="65" s="1"/>
  <c r="B22" i="65" s="1"/>
  <c r="B23" i="65" s="1"/>
  <c r="B24" i="65" s="1"/>
  <c r="B25" i="65" s="1"/>
  <c r="B26" i="65" s="1"/>
  <c r="B27" i="65" s="1"/>
  <c r="C29" i="66" s="1"/>
  <c r="A5" i="65"/>
  <c r="A5" i="96" s="1"/>
  <c r="A5" i="24"/>
  <c r="A5" i="20"/>
  <c r="A5" i="98" s="1"/>
  <c r="A5" i="7"/>
  <c r="A5" i="11" s="1"/>
  <c r="E20" i="67" l="1"/>
  <c r="E21" i="67"/>
  <c r="E23" i="67"/>
  <c r="C99" i="96"/>
  <c r="C57" i="96"/>
  <c r="E67" i="96"/>
  <c r="E63" i="96"/>
  <c r="E30" i="96"/>
  <c r="E32" i="96" s="1"/>
  <c r="E59" i="96"/>
  <c r="E17" i="96"/>
  <c r="E30" i="66"/>
  <c r="E32" i="66" s="1"/>
  <c r="A45" i="96"/>
  <c r="A87" i="96"/>
  <c r="C24" i="66"/>
  <c r="E24" i="67"/>
  <c r="E69" i="96"/>
  <c r="G29" i="66"/>
  <c r="G29" i="96" s="1"/>
  <c r="I29" i="96" s="1"/>
  <c r="G18" i="96"/>
  <c r="I18" i="96" s="1"/>
  <c r="G17" i="96"/>
  <c r="G17" i="67"/>
  <c r="K72" i="67" s="1"/>
  <c r="C17" i="67"/>
  <c r="E17" i="67"/>
  <c r="E18" i="67"/>
  <c r="E27" i="67"/>
  <c r="C100" i="96"/>
  <c r="C101" i="96" s="1"/>
  <c r="C102" i="96" s="1"/>
  <c r="C103" i="96" s="1"/>
  <c r="C104" i="96" s="1"/>
  <c r="C105" i="96" s="1"/>
  <c r="C106" i="96" s="1"/>
  <c r="C107" i="96" s="1"/>
  <c r="C108" i="96" s="1"/>
  <c r="C109" i="96" s="1"/>
  <c r="C110" i="96" s="1"/>
  <c r="C111" i="96" s="1"/>
  <c r="C58" i="96"/>
  <c r="C59" i="96" s="1"/>
  <c r="C60" i="96" s="1"/>
  <c r="C61" i="96" s="1"/>
  <c r="C62" i="96" s="1"/>
  <c r="C63" i="96" s="1"/>
  <c r="C64" i="96" s="1"/>
  <c r="C65" i="96" s="1"/>
  <c r="C66" i="96" s="1"/>
  <c r="C67" i="96" s="1"/>
  <c r="C68" i="96" s="1"/>
  <c r="C69" i="96" s="1"/>
  <c r="C19" i="96"/>
  <c r="C20" i="96" s="1"/>
  <c r="C21" i="96" s="1"/>
  <c r="C22" i="96" s="1"/>
  <c r="C23" i="96" s="1"/>
  <c r="C24" i="96" s="1"/>
  <c r="C25" i="96" s="1"/>
  <c r="C26" i="96" s="1"/>
  <c r="C27" i="96" s="1"/>
  <c r="C28" i="96" s="1"/>
  <c r="C29" i="96" s="1"/>
  <c r="C18" i="67"/>
  <c r="C100" i="67" s="1"/>
  <c r="C101" i="67" s="1"/>
  <c r="C102" i="67" s="1"/>
  <c r="C103" i="67" s="1"/>
  <c r="C104" i="67" s="1"/>
  <c r="C105" i="67" s="1"/>
  <c r="C106" i="67" s="1"/>
  <c r="C107" i="67" s="1"/>
  <c r="C108" i="67" s="1"/>
  <c r="C109" i="67" s="1"/>
  <c r="C110" i="67" s="1"/>
  <c r="C111" i="67" s="1"/>
  <c r="E19" i="67"/>
  <c r="E62" i="96"/>
  <c r="E22" i="67"/>
  <c r="E66" i="96"/>
  <c r="E26" i="67"/>
  <c r="C18" i="75"/>
  <c r="C58" i="75" s="1"/>
  <c r="C59" i="75" s="1"/>
  <c r="C60" i="75" s="1"/>
  <c r="C61" i="75" s="1"/>
  <c r="C62" i="75" s="1"/>
  <c r="C63" i="75" s="1"/>
  <c r="C64" i="75" s="1"/>
  <c r="C65" i="75" s="1"/>
  <c r="C66" i="75" s="1"/>
  <c r="C67" i="75" s="1"/>
  <c r="C68" i="75" s="1"/>
  <c r="C69" i="75" s="1"/>
  <c r="C18" i="100"/>
  <c r="A5" i="75"/>
  <c r="A87" i="75" s="1"/>
  <c r="A5" i="100"/>
  <c r="A5" i="99"/>
  <c r="A5" i="101"/>
  <c r="C19" i="74"/>
  <c r="C19" i="99"/>
  <c r="C17" i="75"/>
  <c r="C17" i="100"/>
  <c r="E58" i="75"/>
  <c r="C99" i="71"/>
  <c r="C57" i="71"/>
  <c r="E57" i="71"/>
  <c r="E99" i="71" s="1"/>
  <c r="E58" i="71"/>
  <c r="E100" i="71" s="1"/>
  <c r="G57" i="71"/>
  <c r="G99" i="71" s="1"/>
  <c r="A87" i="98"/>
  <c r="A45" i="98"/>
  <c r="G99" i="98"/>
  <c r="K72" i="75"/>
  <c r="G58" i="75"/>
  <c r="G27" i="74"/>
  <c r="I99" i="71"/>
  <c r="E123" i="67"/>
  <c r="G78" i="67"/>
  <c r="E61" i="67" s="1"/>
  <c r="I17" i="71"/>
  <c r="G28" i="66"/>
  <c r="C21" i="66"/>
  <c r="C22" i="66"/>
  <c r="C20" i="66"/>
  <c r="C25" i="66"/>
  <c r="C23" i="66"/>
  <c r="C26" i="66"/>
  <c r="C27" i="66"/>
  <c r="C28" i="66"/>
  <c r="A90" i="75"/>
  <c r="A45" i="67"/>
  <c r="A45" i="71"/>
  <c r="A3" i="72"/>
  <c r="A48" i="67"/>
  <c r="I17" i="66"/>
  <c r="G21" i="66"/>
  <c r="G21" i="96" s="1"/>
  <c r="G62" i="96" s="1"/>
  <c r="G18" i="67"/>
  <c r="I18" i="67" s="1"/>
  <c r="G25" i="66"/>
  <c r="G25" i="96" s="1"/>
  <c r="G66" i="96" s="1"/>
  <c r="I17" i="74"/>
  <c r="E123" i="75"/>
  <c r="G123" i="75"/>
  <c r="G27" i="75"/>
  <c r="I27" i="74"/>
  <c r="E60" i="75"/>
  <c r="G22" i="74"/>
  <c r="I18" i="74"/>
  <c r="G19" i="74"/>
  <c r="G30" i="74" s="1"/>
  <c r="G32" i="74" s="1"/>
  <c r="G28" i="74"/>
  <c r="E30" i="74"/>
  <c r="E32" i="74" s="1"/>
  <c r="B18" i="73"/>
  <c r="C20" i="99" s="1"/>
  <c r="A5" i="74"/>
  <c r="E57" i="75"/>
  <c r="C19" i="75"/>
  <c r="C20" i="75" s="1"/>
  <c r="C21" i="75" s="1"/>
  <c r="C22" i="75" s="1"/>
  <c r="C23" i="75" s="1"/>
  <c r="C24" i="75" s="1"/>
  <c r="C25" i="75" s="1"/>
  <c r="C26" i="75" s="1"/>
  <c r="C27" i="75" s="1"/>
  <c r="C28" i="75" s="1"/>
  <c r="C29" i="75" s="1"/>
  <c r="C100" i="75"/>
  <c r="C101" i="75" s="1"/>
  <c r="C102" i="75" s="1"/>
  <c r="C103" i="75" s="1"/>
  <c r="C104" i="75" s="1"/>
  <c r="C105" i="75" s="1"/>
  <c r="C106" i="75" s="1"/>
  <c r="C107" i="75" s="1"/>
  <c r="C108" i="75" s="1"/>
  <c r="C109" i="75" s="1"/>
  <c r="C110" i="75" s="1"/>
  <c r="C111" i="75" s="1"/>
  <c r="G20" i="74"/>
  <c r="G24" i="74"/>
  <c r="G18" i="75"/>
  <c r="G26" i="74"/>
  <c r="G29" i="74"/>
  <c r="G25" i="74"/>
  <c r="G23" i="74"/>
  <c r="E68" i="75"/>
  <c r="I17" i="75"/>
  <c r="E30" i="75"/>
  <c r="E32" i="75" s="1"/>
  <c r="G21" i="74"/>
  <c r="A45" i="75"/>
  <c r="E95" i="75"/>
  <c r="A90" i="71"/>
  <c r="I17" i="70"/>
  <c r="E123" i="71"/>
  <c r="G123" i="71"/>
  <c r="G18" i="71"/>
  <c r="G58" i="71" s="1"/>
  <c r="G27" i="70"/>
  <c r="G26" i="70"/>
  <c r="G29" i="70"/>
  <c r="G25" i="70"/>
  <c r="G22" i="70"/>
  <c r="G28" i="70"/>
  <c r="I18" i="70"/>
  <c r="G19" i="70"/>
  <c r="B18" i="69"/>
  <c r="A5" i="70"/>
  <c r="C19" i="71"/>
  <c r="C20" i="71" s="1"/>
  <c r="C21" i="71" s="1"/>
  <c r="C22" i="71" s="1"/>
  <c r="C23" i="71" s="1"/>
  <c r="C24" i="71" s="1"/>
  <c r="C25" i="71" s="1"/>
  <c r="C26" i="71" s="1"/>
  <c r="C27" i="71" s="1"/>
  <c r="C28" i="71" s="1"/>
  <c r="C29" i="71" s="1"/>
  <c r="C100" i="71"/>
  <c r="C101" i="71" s="1"/>
  <c r="C102" i="71" s="1"/>
  <c r="C103" i="71" s="1"/>
  <c r="C104" i="71" s="1"/>
  <c r="C105" i="71" s="1"/>
  <c r="C106" i="71" s="1"/>
  <c r="C107" i="71" s="1"/>
  <c r="C108" i="71" s="1"/>
  <c r="C109" i="71" s="1"/>
  <c r="C110" i="71" s="1"/>
  <c r="C111" i="71" s="1"/>
  <c r="G20" i="70"/>
  <c r="G24" i="70"/>
  <c r="E30" i="70"/>
  <c r="E32" i="70" s="1"/>
  <c r="G23" i="70"/>
  <c r="E30" i="71"/>
  <c r="E32" i="71" s="1"/>
  <c r="G21" i="70"/>
  <c r="E95" i="71"/>
  <c r="E53" i="67"/>
  <c r="C78" i="67" s="1"/>
  <c r="C123" i="67" s="1"/>
  <c r="G22" i="66"/>
  <c r="G22" i="96" s="1"/>
  <c r="G63" i="96" s="1"/>
  <c r="I63" i="96" s="1"/>
  <c r="G26" i="66"/>
  <c r="G26" i="96" s="1"/>
  <c r="G67" i="96" s="1"/>
  <c r="I67" i="96" s="1"/>
  <c r="I18" i="66"/>
  <c r="G19" i="66"/>
  <c r="G23" i="66"/>
  <c r="G23" i="96" s="1"/>
  <c r="G27" i="66"/>
  <c r="G27" i="96" s="1"/>
  <c r="G20" i="66"/>
  <c r="G20" i="96" s="1"/>
  <c r="G24" i="66"/>
  <c r="G24" i="96" s="1"/>
  <c r="A5" i="3"/>
  <c r="I25" i="96" l="1"/>
  <c r="E63" i="67"/>
  <c r="I21" i="96"/>
  <c r="E30" i="67"/>
  <c r="E32" i="67" s="1"/>
  <c r="I17" i="67"/>
  <c r="I20" i="96"/>
  <c r="G61" i="96"/>
  <c r="I61" i="96" s="1"/>
  <c r="I27" i="96"/>
  <c r="G68" i="96"/>
  <c r="I68" i="96" s="1"/>
  <c r="I24" i="96"/>
  <c r="G65" i="96"/>
  <c r="I65" i="96" s="1"/>
  <c r="G19" i="67"/>
  <c r="I19" i="67" s="1"/>
  <c r="G19" i="96"/>
  <c r="I62" i="96"/>
  <c r="G29" i="67"/>
  <c r="I29" i="67" s="1"/>
  <c r="G30" i="66"/>
  <c r="G32" i="66" s="1"/>
  <c r="I26" i="96"/>
  <c r="I23" i="96"/>
  <c r="G64" i="96"/>
  <c r="I64" i="96" s="1"/>
  <c r="C58" i="67"/>
  <c r="C59" i="67" s="1"/>
  <c r="C60" i="67" s="1"/>
  <c r="C61" i="67" s="1"/>
  <c r="C62" i="67" s="1"/>
  <c r="C63" i="67" s="1"/>
  <c r="C64" i="67" s="1"/>
  <c r="C65" i="67" s="1"/>
  <c r="C66" i="67" s="1"/>
  <c r="C67" i="67" s="1"/>
  <c r="C68" i="67" s="1"/>
  <c r="C69" i="67" s="1"/>
  <c r="C99" i="67"/>
  <c r="C57" i="67"/>
  <c r="K72" i="96"/>
  <c r="G59" i="96"/>
  <c r="I59" i="96" s="1"/>
  <c r="G57" i="96"/>
  <c r="E58" i="96"/>
  <c r="E100" i="96" s="1"/>
  <c r="E57" i="96"/>
  <c r="I66" i="96"/>
  <c r="I28" i="66"/>
  <c r="G28" i="96"/>
  <c r="I22" i="96"/>
  <c r="I29" i="66"/>
  <c r="C19" i="67"/>
  <c r="C20" i="67" s="1"/>
  <c r="C21" i="67" s="1"/>
  <c r="C22" i="67" s="1"/>
  <c r="C23" i="67" s="1"/>
  <c r="C24" i="67" s="1"/>
  <c r="C25" i="67" s="1"/>
  <c r="C26" i="67" s="1"/>
  <c r="C27" i="67" s="1"/>
  <c r="C28" i="67" s="1"/>
  <c r="C29" i="67" s="1"/>
  <c r="G30" i="96"/>
  <c r="G32" i="96" s="1"/>
  <c r="I17" i="96"/>
  <c r="G58" i="96"/>
  <c r="I58" i="96" s="1"/>
  <c r="C99" i="75"/>
  <c r="C57" i="75"/>
  <c r="A45" i="100"/>
  <c r="A87" i="100"/>
  <c r="C99" i="100"/>
  <c r="C57" i="100"/>
  <c r="C100" i="100"/>
  <c r="C101" i="100" s="1"/>
  <c r="C102" i="100" s="1"/>
  <c r="C103" i="100" s="1"/>
  <c r="C104" i="100" s="1"/>
  <c r="C105" i="100" s="1"/>
  <c r="C106" i="100" s="1"/>
  <c r="C107" i="100" s="1"/>
  <c r="C108" i="100" s="1"/>
  <c r="C109" i="100" s="1"/>
  <c r="C110" i="100" s="1"/>
  <c r="C111" i="100" s="1"/>
  <c r="C58" i="100"/>
  <c r="C59" i="100" s="1"/>
  <c r="C60" i="100" s="1"/>
  <c r="C61" i="100" s="1"/>
  <c r="C62" i="100" s="1"/>
  <c r="C63" i="100" s="1"/>
  <c r="C64" i="100" s="1"/>
  <c r="C65" i="100" s="1"/>
  <c r="C66" i="100" s="1"/>
  <c r="C67" i="100" s="1"/>
  <c r="C68" i="100" s="1"/>
  <c r="C69" i="100" s="1"/>
  <c r="C19" i="100"/>
  <c r="C20" i="100" s="1"/>
  <c r="C21" i="100" s="1"/>
  <c r="C22" i="100" s="1"/>
  <c r="C23" i="100" s="1"/>
  <c r="C24" i="100" s="1"/>
  <c r="C25" i="100" s="1"/>
  <c r="C26" i="100" s="1"/>
  <c r="C27" i="100" s="1"/>
  <c r="C28" i="100" s="1"/>
  <c r="C29" i="100" s="1"/>
  <c r="I58" i="75"/>
  <c r="G30" i="70"/>
  <c r="G32" i="70" s="1"/>
  <c r="I58" i="71"/>
  <c r="G100" i="98"/>
  <c r="G100" i="71"/>
  <c r="G57" i="67"/>
  <c r="G99" i="67" s="1"/>
  <c r="E58" i="67"/>
  <c r="G58" i="67"/>
  <c r="I58" i="67" s="1"/>
  <c r="E67" i="67"/>
  <c r="E68" i="67"/>
  <c r="E65" i="67"/>
  <c r="E66" i="67"/>
  <c r="G123" i="67"/>
  <c r="E69" i="67"/>
  <c r="E60" i="67"/>
  <c r="E64" i="67"/>
  <c r="E62" i="75"/>
  <c r="E65" i="75"/>
  <c r="E68" i="71"/>
  <c r="E110" i="71" s="1"/>
  <c r="E64" i="71"/>
  <c r="E106" i="71" s="1"/>
  <c r="E62" i="71"/>
  <c r="E104" i="71" s="1"/>
  <c r="E59" i="71"/>
  <c r="E101" i="71" s="1"/>
  <c r="G28" i="67"/>
  <c r="E59" i="75"/>
  <c r="E67" i="75"/>
  <c r="E63" i="75"/>
  <c r="E64" i="75"/>
  <c r="E66" i="75"/>
  <c r="E61" i="75"/>
  <c r="E63" i="71"/>
  <c r="E105" i="71" s="1"/>
  <c r="E66" i="71"/>
  <c r="E108" i="71" s="1"/>
  <c r="E65" i="71"/>
  <c r="E107" i="71" s="1"/>
  <c r="E60" i="71"/>
  <c r="E102" i="71" s="1"/>
  <c r="E67" i="71"/>
  <c r="E109" i="71" s="1"/>
  <c r="E69" i="71"/>
  <c r="E111" i="71" s="1"/>
  <c r="E59" i="67"/>
  <c r="E57" i="67"/>
  <c r="E62" i="67"/>
  <c r="G59" i="67"/>
  <c r="I21" i="66"/>
  <c r="G21" i="67"/>
  <c r="I27" i="66"/>
  <c r="G27" i="67"/>
  <c r="I26" i="66"/>
  <c r="G26" i="67"/>
  <c r="I23" i="66"/>
  <c r="G23" i="67"/>
  <c r="I22" i="66"/>
  <c r="G22" i="67"/>
  <c r="I25" i="66"/>
  <c r="G25" i="67"/>
  <c r="I20" i="66"/>
  <c r="G20" i="67"/>
  <c r="I24" i="66"/>
  <c r="G24" i="67"/>
  <c r="G24" i="75"/>
  <c r="I24" i="74"/>
  <c r="G23" i="75"/>
  <c r="I23" i="74"/>
  <c r="G26" i="75"/>
  <c r="I26" i="74"/>
  <c r="G20" i="75"/>
  <c r="I20" i="74"/>
  <c r="I19" i="74"/>
  <c r="G19" i="75"/>
  <c r="G68" i="75"/>
  <c r="I68" i="75" s="1"/>
  <c r="I27" i="75"/>
  <c r="G29" i="75"/>
  <c r="I29" i="75" s="1"/>
  <c r="I29" i="74"/>
  <c r="E100" i="75"/>
  <c r="G28" i="75"/>
  <c r="I28" i="74"/>
  <c r="G21" i="75"/>
  <c r="I21" i="74"/>
  <c r="G25" i="75"/>
  <c r="I25" i="74"/>
  <c r="G57" i="75"/>
  <c r="G59" i="75"/>
  <c r="I18" i="75"/>
  <c r="B19" i="73"/>
  <c r="C21" i="99" s="1"/>
  <c r="C20" i="74"/>
  <c r="G22" i="75"/>
  <c r="I22" i="74"/>
  <c r="E69" i="75"/>
  <c r="G20" i="71"/>
  <c r="G60" i="71" s="1"/>
  <c r="I20" i="70"/>
  <c r="B19" i="69"/>
  <c r="C20" i="70"/>
  <c r="G26" i="71"/>
  <c r="G66" i="71" s="1"/>
  <c r="I26" i="70"/>
  <c r="E61" i="71"/>
  <c r="G19" i="71"/>
  <c r="I19" i="70"/>
  <c r="G21" i="71"/>
  <c r="G61" i="71" s="1"/>
  <c r="I21" i="70"/>
  <c r="G23" i="71"/>
  <c r="G63" i="71" s="1"/>
  <c r="I23" i="70"/>
  <c r="G24" i="71"/>
  <c r="G64" i="71" s="1"/>
  <c r="I24" i="70"/>
  <c r="G28" i="71"/>
  <c r="G68" i="71" s="1"/>
  <c r="I28" i="70"/>
  <c r="G25" i="71"/>
  <c r="G65" i="71" s="1"/>
  <c r="I25" i="70"/>
  <c r="I27" i="70"/>
  <c r="G27" i="71"/>
  <c r="G67" i="71" s="1"/>
  <c r="G22" i="71"/>
  <c r="G62" i="71" s="1"/>
  <c r="I22" i="70"/>
  <c r="G29" i="71"/>
  <c r="I29" i="70"/>
  <c r="K72" i="71"/>
  <c r="I18" i="71"/>
  <c r="I19" i="66"/>
  <c r="I30" i="66" l="1"/>
  <c r="I32" i="66" s="1"/>
  <c r="I35" i="66" s="1"/>
  <c r="G60" i="67"/>
  <c r="I60" i="67" s="1"/>
  <c r="G69" i="96"/>
  <c r="I69" i="96" s="1"/>
  <c r="I28" i="96"/>
  <c r="I57" i="96"/>
  <c r="E70" i="96"/>
  <c r="I19" i="96"/>
  <c r="I30" i="96" s="1"/>
  <c r="I32" i="96" s="1"/>
  <c r="I35" i="96" s="1"/>
  <c r="G60" i="96"/>
  <c r="I60" i="96" s="1"/>
  <c r="G30" i="67"/>
  <c r="G32" i="67" s="1"/>
  <c r="I59" i="67"/>
  <c r="E101" i="96"/>
  <c r="E102" i="96" s="1"/>
  <c r="E103" i="96" s="1"/>
  <c r="E104" i="96" s="1"/>
  <c r="E105" i="96" s="1"/>
  <c r="E106" i="96" s="1"/>
  <c r="E107" i="96" s="1"/>
  <c r="E108" i="96" s="1"/>
  <c r="E109" i="96" s="1"/>
  <c r="E110" i="96" s="1"/>
  <c r="E111" i="96" s="1"/>
  <c r="G99" i="96"/>
  <c r="G70" i="96"/>
  <c r="I30" i="74"/>
  <c r="I32" i="74" s="1"/>
  <c r="E70" i="71"/>
  <c r="E103" i="71"/>
  <c r="I30" i="70"/>
  <c r="I32" i="70" s="1"/>
  <c r="I35" i="70" s="1"/>
  <c r="G101" i="98"/>
  <c r="G30" i="75"/>
  <c r="G32" i="75" s="1"/>
  <c r="I29" i="71"/>
  <c r="G69" i="71"/>
  <c r="I69" i="71" s="1"/>
  <c r="G30" i="71"/>
  <c r="G32" i="71" s="1"/>
  <c r="G59" i="71"/>
  <c r="G101" i="71" s="1"/>
  <c r="E100" i="67"/>
  <c r="E101" i="67" s="1"/>
  <c r="E102" i="67" s="1"/>
  <c r="E103" i="67" s="1"/>
  <c r="E104" i="67" s="1"/>
  <c r="E105" i="67" s="1"/>
  <c r="E106" i="67" s="1"/>
  <c r="E107" i="67" s="1"/>
  <c r="E108" i="67" s="1"/>
  <c r="E109" i="67" s="1"/>
  <c r="E110" i="67" s="1"/>
  <c r="E111" i="67" s="1"/>
  <c r="E99" i="67"/>
  <c r="G100" i="67"/>
  <c r="I100" i="67" s="1"/>
  <c r="I99" i="67"/>
  <c r="E70" i="67"/>
  <c r="G99" i="75"/>
  <c r="I59" i="75"/>
  <c r="I59" i="71"/>
  <c r="G101" i="67"/>
  <c r="G102" i="67" s="1"/>
  <c r="I28" i="67"/>
  <c r="G69" i="67"/>
  <c r="I69" i="67" s="1"/>
  <c r="E70" i="75"/>
  <c r="I57" i="67"/>
  <c r="I22" i="67"/>
  <c r="G63" i="67"/>
  <c r="I63" i="67" s="1"/>
  <c r="I26" i="67"/>
  <c r="G67" i="67"/>
  <c r="I67" i="67" s="1"/>
  <c r="I21" i="67"/>
  <c r="G62" i="67"/>
  <c r="I62" i="67" s="1"/>
  <c r="I20" i="67"/>
  <c r="G61" i="67"/>
  <c r="I24" i="67"/>
  <c r="G65" i="67"/>
  <c r="I65" i="67" s="1"/>
  <c r="G64" i="67"/>
  <c r="I64" i="67" s="1"/>
  <c r="I23" i="67"/>
  <c r="G66" i="67"/>
  <c r="I66" i="67" s="1"/>
  <c r="I25" i="67"/>
  <c r="I27" i="67"/>
  <c r="G68" i="67"/>
  <c r="I68" i="67" s="1"/>
  <c r="I35" i="74"/>
  <c r="I25" i="75"/>
  <c r="G66" i="75"/>
  <c r="I66" i="75" s="1"/>
  <c r="G60" i="75"/>
  <c r="I60" i="75" s="1"/>
  <c r="I19" i="75"/>
  <c r="I57" i="75"/>
  <c r="I24" i="75"/>
  <c r="G65" i="75"/>
  <c r="I65" i="75" s="1"/>
  <c r="G63" i="75"/>
  <c r="I63" i="75" s="1"/>
  <c r="I22" i="75"/>
  <c r="I21" i="75"/>
  <c r="G62" i="75"/>
  <c r="I62" i="75" s="1"/>
  <c r="E101" i="75"/>
  <c r="E102" i="75" s="1"/>
  <c r="E103" i="75" s="1"/>
  <c r="E104" i="75" s="1"/>
  <c r="E105" i="75" s="1"/>
  <c r="E106" i="75" s="1"/>
  <c r="E107" i="75" s="1"/>
  <c r="E108" i="75" s="1"/>
  <c r="E109" i="75" s="1"/>
  <c r="E110" i="75" s="1"/>
  <c r="E111" i="75" s="1"/>
  <c r="I28" i="75"/>
  <c r="G69" i="75"/>
  <c r="I69" i="75" s="1"/>
  <c r="C21" i="74"/>
  <c r="B20" i="73"/>
  <c r="C22" i="99" s="1"/>
  <c r="G67" i="75"/>
  <c r="I67" i="75" s="1"/>
  <c r="I26" i="75"/>
  <c r="I20" i="75"/>
  <c r="G61" i="75"/>
  <c r="I61" i="75" s="1"/>
  <c r="G64" i="75"/>
  <c r="I64" i="75" s="1"/>
  <c r="I23" i="75"/>
  <c r="I63" i="71"/>
  <c r="I22" i="71"/>
  <c r="I28" i="71"/>
  <c r="I64" i="71"/>
  <c r="I23" i="71"/>
  <c r="C21" i="70"/>
  <c r="B20" i="69"/>
  <c r="I68" i="71"/>
  <c r="I27" i="71"/>
  <c r="I26" i="71"/>
  <c r="I67" i="71"/>
  <c r="I57" i="71"/>
  <c r="I25" i="71"/>
  <c r="I66" i="71"/>
  <c r="I24" i="71"/>
  <c r="I65" i="71"/>
  <c r="I21" i="71"/>
  <c r="I62" i="71"/>
  <c r="I60" i="71"/>
  <c r="I19" i="71"/>
  <c r="I20" i="71"/>
  <c r="I61" i="71"/>
  <c r="E112" i="96" l="1"/>
  <c r="E114" i="96" s="1"/>
  <c r="G100" i="96"/>
  <c r="I99" i="96"/>
  <c r="I70" i="96"/>
  <c r="I72" i="96" s="1"/>
  <c r="M72" i="96" s="1"/>
  <c r="M57" i="96" s="1"/>
  <c r="E112" i="67"/>
  <c r="E114" i="67" s="1"/>
  <c r="I30" i="75"/>
  <c r="I32" i="75" s="1"/>
  <c r="G102" i="71"/>
  <c r="G103" i="71" s="1"/>
  <c r="G104" i="71" s="1"/>
  <c r="G105" i="71" s="1"/>
  <c r="G106" i="71" s="1"/>
  <c r="G107" i="71" s="1"/>
  <c r="G108" i="71" s="1"/>
  <c r="G109" i="71" s="1"/>
  <c r="G110" i="71" s="1"/>
  <c r="G111" i="71" s="1"/>
  <c r="I30" i="67"/>
  <c r="I32" i="67" s="1"/>
  <c r="I35" i="67" s="1"/>
  <c r="G70" i="75"/>
  <c r="G100" i="75"/>
  <c r="I99" i="75"/>
  <c r="I70" i="75"/>
  <c r="E112" i="75"/>
  <c r="E114" i="75" s="1"/>
  <c r="I70" i="71"/>
  <c r="I72" i="71" s="1"/>
  <c r="I30" i="71"/>
  <c r="I32" i="71" s="1"/>
  <c r="I35" i="71" s="1"/>
  <c r="I101" i="67"/>
  <c r="I61" i="67"/>
  <c r="I70" i="67" s="1"/>
  <c r="I72" i="67" s="1"/>
  <c r="R48" i="2" s="1"/>
  <c r="G70" i="67"/>
  <c r="I35" i="75"/>
  <c r="L18" i="2" s="1"/>
  <c r="P18" i="2" s="1"/>
  <c r="B21" i="73"/>
  <c r="C23" i="99" s="1"/>
  <c r="C22" i="74"/>
  <c r="G101" i="75"/>
  <c r="I100" i="75"/>
  <c r="I72" i="75"/>
  <c r="E112" i="71"/>
  <c r="E114" i="71" s="1"/>
  <c r="I100" i="71"/>
  <c r="B21" i="69"/>
  <c r="C22" i="70"/>
  <c r="G70" i="71"/>
  <c r="G103" i="67"/>
  <c r="I102" i="67"/>
  <c r="L19" i="2" l="1"/>
  <c r="P19" i="2" s="1"/>
  <c r="M58" i="96"/>
  <c r="M99" i="96"/>
  <c r="M59" i="96"/>
  <c r="M60" i="96" s="1"/>
  <c r="M61" i="96" s="1"/>
  <c r="M62" i="96" s="1"/>
  <c r="M63" i="96" s="1"/>
  <c r="M64" i="96" s="1"/>
  <c r="M65" i="96" s="1"/>
  <c r="M66" i="96" s="1"/>
  <c r="M67" i="96" s="1"/>
  <c r="M68" i="96" s="1"/>
  <c r="M69" i="96" s="1"/>
  <c r="I100" i="96"/>
  <c r="G101" i="96"/>
  <c r="G112" i="71"/>
  <c r="G114" i="71" s="1"/>
  <c r="L16" i="2"/>
  <c r="P16" i="2" s="1"/>
  <c r="R45" i="2"/>
  <c r="M72" i="75"/>
  <c r="M57" i="75" s="1"/>
  <c r="R47" i="2"/>
  <c r="M72" i="67"/>
  <c r="G102" i="75"/>
  <c r="I101" i="75"/>
  <c r="C23" i="74"/>
  <c r="B22" i="73"/>
  <c r="C24" i="99" s="1"/>
  <c r="M72" i="71"/>
  <c r="M68" i="71" s="1"/>
  <c r="I101" i="71"/>
  <c r="C23" i="70"/>
  <c r="B22" i="69"/>
  <c r="G104" i="67"/>
  <c r="I103" i="67"/>
  <c r="M70" i="96" l="1"/>
  <c r="I101" i="96"/>
  <c r="G102" i="96"/>
  <c r="M100" i="96"/>
  <c r="M101" i="96" s="1"/>
  <c r="M102" i="96" s="1"/>
  <c r="M103" i="96" s="1"/>
  <c r="M104" i="96" s="1"/>
  <c r="M105" i="96" s="1"/>
  <c r="M106" i="96" s="1"/>
  <c r="M107" i="96" s="1"/>
  <c r="M108" i="96" s="1"/>
  <c r="M109" i="96" s="1"/>
  <c r="M110" i="96" s="1"/>
  <c r="M111" i="96" s="1"/>
  <c r="M57" i="67"/>
  <c r="M99" i="67" s="1"/>
  <c r="M59" i="75"/>
  <c r="M99" i="75"/>
  <c r="M58" i="75"/>
  <c r="M57" i="71"/>
  <c r="M99" i="71" s="1"/>
  <c r="M58" i="71"/>
  <c r="M61" i="71"/>
  <c r="M59" i="67"/>
  <c r="M60" i="67" s="1"/>
  <c r="M61" i="67" s="1"/>
  <c r="M62" i="67" s="1"/>
  <c r="M63" i="67" s="1"/>
  <c r="M64" i="67" s="1"/>
  <c r="M65" i="67" s="1"/>
  <c r="B23" i="73"/>
  <c r="C25" i="99" s="1"/>
  <c r="C24" i="74"/>
  <c r="G103" i="75"/>
  <c r="I102" i="75"/>
  <c r="I102" i="71"/>
  <c r="M64" i="71"/>
  <c r="M69" i="71"/>
  <c r="M63" i="71"/>
  <c r="B23" i="69"/>
  <c r="C24" i="70"/>
  <c r="M66" i="71"/>
  <c r="M59" i="71"/>
  <c r="M62" i="71"/>
  <c r="M60" i="71"/>
  <c r="M67" i="71"/>
  <c r="M65" i="71"/>
  <c r="G105" i="67"/>
  <c r="I104" i="67"/>
  <c r="M112" i="96" l="1"/>
  <c r="M114" i="96" s="1"/>
  <c r="M117" i="96" s="1"/>
  <c r="G103" i="96"/>
  <c r="I102" i="96"/>
  <c r="M100" i="71"/>
  <c r="M101" i="71" s="1"/>
  <c r="M102" i="71" s="1"/>
  <c r="M103" i="71" s="1"/>
  <c r="M104" i="71" s="1"/>
  <c r="M105" i="71" s="1"/>
  <c r="M106" i="71" s="1"/>
  <c r="M107" i="71" s="1"/>
  <c r="M108" i="71" s="1"/>
  <c r="M109" i="71" s="1"/>
  <c r="M110" i="71" s="1"/>
  <c r="M111" i="71" s="1"/>
  <c r="M66" i="67"/>
  <c r="M67" i="67" s="1"/>
  <c r="M58" i="67"/>
  <c r="M100" i="67" s="1"/>
  <c r="M100" i="75"/>
  <c r="M60" i="75"/>
  <c r="M101" i="75"/>
  <c r="M102" i="75" s="1"/>
  <c r="G104" i="75"/>
  <c r="I103" i="75"/>
  <c r="C25" i="74"/>
  <c r="B24" i="73"/>
  <c r="C26" i="99" s="1"/>
  <c r="C25" i="70"/>
  <c r="B24" i="69"/>
  <c r="M70" i="71"/>
  <c r="I103" i="71"/>
  <c r="G106" i="67"/>
  <c r="I105" i="67"/>
  <c r="I103" i="96" l="1"/>
  <c r="G104" i="96"/>
  <c r="M101" i="67"/>
  <c r="M102" i="67" s="1"/>
  <c r="M103" i="67" s="1"/>
  <c r="M104" i="67" s="1"/>
  <c r="M105" i="67" s="1"/>
  <c r="M106" i="67" s="1"/>
  <c r="M107" i="67" s="1"/>
  <c r="M108" i="67" s="1"/>
  <c r="M109" i="67" s="1"/>
  <c r="M68" i="67"/>
  <c r="M69" i="67" s="1"/>
  <c r="M70" i="67"/>
  <c r="M61" i="75"/>
  <c r="M62" i="75" s="1"/>
  <c r="M63" i="75" s="1"/>
  <c r="M64" i="75" s="1"/>
  <c r="M65" i="75" s="1"/>
  <c r="M66" i="75" s="1"/>
  <c r="M67" i="75" s="1"/>
  <c r="M68" i="75" s="1"/>
  <c r="M69" i="75" s="1"/>
  <c r="M70" i="75"/>
  <c r="B25" i="73"/>
  <c r="C27" i="99" s="1"/>
  <c r="C26" i="74"/>
  <c r="G105" i="75"/>
  <c r="I104" i="75"/>
  <c r="B25" i="69"/>
  <c r="C26" i="70"/>
  <c r="I104" i="71"/>
  <c r="G107" i="67"/>
  <c r="I106" i="67"/>
  <c r="G105" i="96" l="1"/>
  <c r="I104" i="96"/>
  <c r="M110" i="67"/>
  <c r="M111" i="67" s="1"/>
  <c r="M112" i="67" s="1"/>
  <c r="M114" i="67" s="1"/>
  <c r="M117" i="67" s="1"/>
  <c r="T48" i="2" s="1"/>
  <c r="M103" i="75"/>
  <c r="M112" i="71"/>
  <c r="G106" i="75"/>
  <c r="I105" i="75"/>
  <c r="C27" i="74"/>
  <c r="B26" i="73"/>
  <c r="C28" i="99" s="1"/>
  <c r="I105" i="71"/>
  <c r="C27" i="70"/>
  <c r="B26" i="69"/>
  <c r="G108" i="67"/>
  <c r="I107" i="67"/>
  <c r="I105" i="96" l="1"/>
  <c r="G106" i="96"/>
  <c r="M114" i="71"/>
  <c r="M117" i="71" s="1"/>
  <c r="T45" i="2" s="1"/>
  <c r="M104" i="75"/>
  <c r="M105" i="75" s="1"/>
  <c r="M106" i="75" s="1"/>
  <c r="M107" i="75" s="1"/>
  <c r="M108" i="75" s="1"/>
  <c r="M109" i="75" s="1"/>
  <c r="M110" i="75" s="1"/>
  <c r="M111" i="75" s="1"/>
  <c r="M112" i="75"/>
  <c r="M114" i="75" s="1"/>
  <c r="M117" i="75" s="1"/>
  <c r="T47" i="2" s="1"/>
  <c r="C28" i="74"/>
  <c r="B27" i="73"/>
  <c r="G107" i="75"/>
  <c r="I106" i="75"/>
  <c r="I106" i="71"/>
  <c r="C28" i="70"/>
  <c r="B27" i="69"/>
  <c r="C29" i="70" s="1"/>
  <c r="G109" i="67"/>
  <c r="I108" i="67"/>
  <c r="I106" i="96" l="1"/>
  <c r="G107" i="96"/>
  <c r="C29" i="74"/>
  <c r="C29" i="99"/>
  <c r="G108" i="75"/>
  <c r="I107" i="75"/>
  <c r="I107" i="71"/>
  <c r="G110" i="67"/>
  <c r="I109" i="67"/>
  <c r="G108" i="96" l="1"/>
  <c r="I107" i="96"/>
  <c r="G109" i="75"/>
  <c r="I108" i="75"/>
  <c r="I108" i="71"/>
  <c r="G111" i="67"/>
  <c r="G112" i="67" s="1"/>
  <c r="G114" i="67" s="1"/>
  <c r="I110" i="67"/>
  <c r="G109" i="96" l="1"/>
  <c r="I108" i="96"/>
  <c r="G110" i="75"/>
  <c r="I109" i="75"/>
  <c r="I109" i="71"/>
  <c r="I111" i="67"/>
  <c r="I109" i="96" l="1"/>
  <c r="G110" i="96"/>
  <c r="I112" i="67"/>
  <c r="I114" i="67" s="1"/>
  <c r="I117" i="67" s="1"/>
  <c r="G111" i="75"/>
  <c r="G112" i="75" s="1"/>
  <c r="G114" i="75" s="1"/>
  <c r="I110" i="75"/>
  <c r="I110" i="71"/>
  <c r="G111" i="96" l="1"/>
  <c r="I110" i="96"/>
  <c r="I111" i="75"/>
  <c r="I111" i="71"/>
  <c r="G112" i="96" l="1"/>
  <c r="G114" i="96" s="1"/>
  <c r="I111" i="96"/>
  <c r="I112" i="96" s="1"/>
  <c r="I114" i="96" s="1"/>
  <c r="I117" i="96" s="1"/>
  <c r="L48" i="2" s="1"/>
  <c r="P48" i="2" s="1"/>
  <c r="I112" i="71"/>
  <c r="I114" i="71" s="1"/>
  <c r="I117" i="71" s="1"/>
  <c r="L45" i="2" s="1"/>
  <c r="P45" i="2" s="1"/>
  <c r="I112" i="75"/>
  <c r="I114" i="75" s="1"/>
  <c r="I117" i="75" s="1"/>
  <c r="L47" i="2" s="1"/>
  <c r="P47" i="2" s="1"/>
  <c r="M78" i="26"/>
  <c r="K78" i="26"/>
  <c r="M76" i="22"/>
  <c r="K76" i="22"/>
  <c r="M78" i="9"/>
  <c r="K78" i="9"/>
  <c r="M78" i="5"/>
  <c r="K78" i="5"/>
  <c r="A8" i="27" l="1"/>
  <c r="A5" i="27"/>
  <c r="A100" i="26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58" i="26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18" i="26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E13" i="26"/>
  <c r="A10" i="26"/>
  <c r="A8" i="26"/>
  <c r="A90" i="26" s="1"/>
  <c r="A5" i="26"/>
  <c r="A87" i="26" s="1"/>
  <c r="E27" i="25"/>
  <c r="E27" i="26" s="1"/>
  <c r="E26" i="25"/>
  <c r="E26" i="26" s="1"/>
  <c r="E25" i="25"/>
  <c r="E25" i="26" s="1"/>
  <c r="E24" i="25"/>
  <c r="E24" i="26" s="1"/>
  <c r="E23" i="25"/>
  <c r="E23" i="26" s="1"/>
  <c r="E22" i="25"/>
  <c r="E22" i="26" s="1"/>
  <c r="E21" i="25"/>
  <c r="E21" i="26" s="1"/>
  <c r="E20" i="25"/>
  <c r="E20" i="26" s="1"/>
  <c r="E19" i="25"/>
  <c r="G18" i="25"/>
  <c r="E18" i="25"/>
  <c r="E18" i="26" s="1"/>
  <c r="C18" i="25"/>
  <c r="C18" i="26" s="1"/>
  <c r="A18" i="25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G17" i="26"/>
  <c r="E17" i="25"/>
  <c r="C17" i="25"/>
  <c r="C17" i="26" s="1"/>
  <c r="A8" i="25"/>
  <c r="E28" i="25"/>
  <c r="E28" i="26" s="1"/>
  <c r="B17" i="24"/>
  <c r="C19" i="25" s="1"/>
  <c r="E78" i="26"/>
  <c r="A8" i="23"/>
  <c r="A5" i="23"/>
  <c r="A96" i="22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56" i="22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19" i="22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18" i="22"/>
  <c r="E13" i="22"/>
  <c r="E91" i="22" s="1"/>
  <c r="A10" i="22"/>
  <c r="A8" i="22"/>
  <c r="A5" i="22"/>
  <c r="E27" i="21"/>
  <c r="E26" i="21"/>
  <c r="E25" i="21"/>
  <c r="E24" i="21"/>
  <c r="E23" i="21"/>
  <c r="E22" i="21"/>
  <c r="E21" i="21"/>
  <c r="E20" i="21"/>
  <c r="E19" i="21"/>
  <c r="G18" i="21"/>
  <c r="E18" i="21"/>
  <c r="E18" i="98" s="1"/>
  <c r="C18" i="21"/>
  <c r="A18" i="2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G17" i="22"/>
  <c r="G55" i="22" s="1"/>
  <c r="E17" i="21"/>
  <c r="C17" i="21"/>
  <c r="A8" i="21"/>
  <c r="A5" i="21"/>
  <c r="E28" i="21"/>
  <c r="B17" i="20"/>
  <c r="B18" i="20" s="1"/>
  <c r="E76" i="22"/>
  <c r="G76" i="22" s="1"/>
  <c r="E123" i="26" l="1"/>
  <c r="G78" i="26"/>
  <c r="E60" i="26" s="1"/>
  <c r="E68" i="26"/>
  <c r="E58" i="26"/>
  <c r="G28" i="25"/>
  <c r="I28" i="25" s="1"/>
  <c r="E61" i="26"/>
  <c r="E65" i="26"/>
  <c r="E67" i="26"/>
  <c r="C99" i="26"/>
  <c r="C57" i="26"/>
  <c r="K72" i="26"/>
  <c r="G58" i="26"/>
  <c r="I58" i="26" s="1"/>
  <c r="G57" i="26"/>
  <c r="C17" i="22"/>
  <c r="C17" i="98"/>
  <c r="E17" i="22"/>
  <c r="E17" i="98"/>
  <c r="E59" i="98"/>
  <c r="I59" i="98" s="1"/>
  <c r="I18" i="98"/>
  <c r="E24" i="22"/>
  <c r="E24" i="98"/>
  <c r="E65" i="98" s="1"/>
  <c r="E21" i="22"/>
  <c r="E21" i="98"/>
  <c r="E62" i="98" s="1"/>
  <c r="E25" i="22"/>
  <c r="E25" i="98"/>
  <c r="E66" i="98" s="1"/>
  <c r="E19" i="22"/>
  <c r="E19" i="98"/>
  <c r="E60" i="98" s="1"/>
  <c r="E22" i="22"/>
  <c r="E22" i="98"/>
  <c r="E63" i="98" s="1"/>
  <c r="E26" i="22"/>
  <c r="E26" i="98"/>
  <c r="E67" i="98" s="1"/>
  <c r="E28" i="22"/>
  <c r="E28" i="98"/>
  <c r="E69" i="98" s="1"/>
  <c r="C18" i="22"/>
  <c r="C18" i="98"/>
  <c r="E20" i="22"/>
  <c r="E20" i="98"/>
  <c r="E61" i="98" s="1"/>
  <c r="E23" i="22"/>
  <c r="E23" i="98"/>
  <c r="E64" i="98" s="1"/>
  <c r="E27" i="22"/>
  <c r="E27" i="98"/>
  <c r="E68" i="98" s="1"/>
  <c r="G95" i="22"/>
  <c r="G96" i="22" s="1"/>
  <c r="G27" i="21"/>
  <c r="G28" i="98" s="1"/>
  <c r="G19" i="98"/>
  <c r="B18" i="24"/>
  <c r="C20" i="25" s="1"/>
  <c r="G21" i="21"/>
  <c r="G25" i="21"/>
  <c r="G18" i="22"/>
  <c r="E51" i="22"/>
  <c r="C76" i="22" s="1"/>
  <c r="C119" i="22" s="1"/>
  <c r="I17" i="22"/>
  <c r="G19" i="21"/>
  <c r="G23" i="21"/>
  <c r="I17" i="25"/>
  <c r="C19" i="26"/>
  <c r="C20" i="26" s="1"/>
  <c r="C21" i="26" s="1"/>
  <c r="C22" i="26" s="1"/>
  <c r="C23" i="26" s="1"/>
  <c r="C24" i="26" s="1"/>
  <c r="C25" i="26" s="1"/>
  <c r="C26" i="26" s="1"/>
  <c r="C27" i="26" s="1"/>
  <c r="C28" i="26" s="1"/>
  <c r="C29" i="26" s="1"/>
  <c r="C100" i="26"/>
  <c r="C101" i="26" s="1"/>
  <c r="C102" i="26" s="1"/>
  <c r="C103" i="26" s="1"/>
  <c r="C104" i="26" s="1"/>
  <c r="C105" i="26" s="1"/>
  <c r="C106" i="26" s="1"/>
  <c r="C107" i="26" s="1"/>
  <c r="C108" i="26" s="1"/>
  <c r="C109" i="26" s="1"/>
  <c r="C110" i="26" s="1"/>
  <c r="C111" i="26" s="1"/>
  <c r="C58" i="26"/>
  <c r="C59" i="26" s="1"/>
  <c r="C60" i="26" s="1"/>
  <c r="C61" i="26" s="1"/>
  <c r="C62" i="26" s="1"/>
  <c r="C63" i="26" s="1"/>
  <c r="C64" i="26" s="1"/>
  <c r="C65" i="26" s="1"/>
  <c r="C66" i="26" s="1"/>
  <c r="C67" i="26" s="1"/>
  <c r="C68" i="26" s="1"/>
  <c r="C69" i="26" s="1"/>
  <c r="E29" i="25"/>
  <c r="E29" i="26" s="1"/>
  <c r="I18" i="25"/>
  <c r="G19" i="25"/>
  <c r="G21" i="25"/>
  <c r="G23" i="25"/>
  <c r="G25" i="25"/>
  <c r="G27" i="25"/>
  <c r="G29" i="25"/>
  <c r="E95" i="26"/>
  <c r="E53" i="26"/>
  <c r="C78" i="26" s="1"/>
  <c r="C123" i="26" s="1"/>
  <c r="E17" i="26"/>
  <c r="E57" i="26" s="1"/>
  <c r="G18" i="26"/>
  <c r="E19" i="26"/>
  <c r="E59" i="26" s="1"/>
  <c r="A45" i="26"/>
  <c r="G20" i="25"/>
  <c r="G22" i="25"/>
  <c r="G24" i="25"/>
  <c r="G26" i="25"/>
  <c r="A48" i="26"/>
  <c r="C96" i="22"/>
  <c r="C97" i="22" s="1"/>
  <c r="C98" i="22" s="1"/>
  <c r="C99" i="22" s="1"/>
  <c r="C100" i="22" s="1"/>
  <c r="C101" i="22" s="1"/>
  <c r="C102" i="22" s="1"/>
  <c r="C103" i="22" s="1"/>
  <c r="C104" i="22" s="1"/>
  <c r="C105" i="22" s="1"/>
  <c r="C106" i="22" s="1"/>
  <c r="C107" i="22" s="1"/>
  <c r="C56" i="22"/>
  <c r="C57" i="22" s="1"/>
  <c r="C58" i="22" s="1"/>
  <c r="C59" i="22" s="1"/>
  <c r="C60" i="22" s="1"/>
  <c r="C61" i="22" s="1"/>
  <c r="C62" i="22" s="1"/>
  <c r="C63" i="22" s="1"/>
  <c r="C64" i="22" s="1"/>
  <c r="C65" i="22" s="1"/>
  <c r="C66" i="22" s="1"/>
  <c r="C67" i="22" s="1"/>
  <c r="C19" i="22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B19" i="20"/>
  <c r="C20" i="21"/>
  <c r="E29" i="21"/>
  <c r="E30" i="21" s="1"/>
  <c r="E32" i="21" s="1"/>
  <c r="E18" i="22"/>
  <c r="I18" i="21"/>
  <c r="C19" i="21"/>
  <c r="E119" i="22"/>
  <c r="G119" i="22"/>
  <c r="I17" i="21"/>
  <c r="G28" i="21"/>
  <c r="G29" i="98" s="1"/>
  <c r="G26" i="21"/>
  <c r="G27" i="98" s="1"/>
  <c r="G20" i="21"/>
  <c r="G21" i="98" s="1"/>
  <c r="G22" i="21"/>
  <c r="G23" i="98" s="1"/>
  <c r="G24" i="21"/>
  <c r="G25" i="98" s="1"/>
  <c r="G29" i="21"/>
  <c r="A83" i="22"/>
  <c r="A43" i="22"/>
  <c r="A86" i="22"/>
  <c r="A46" i="22"/>
  <c r="G30" i="25" l="1"/>
  <c r="G32" i="25" s="1"/>
  <c r="G123" i="26"/>
  <c r="G28" i="26"/>
  <c r="E63" i="26"/>
  <c r="G99" i="26"/>
  <c r="I57" i="26"/>
  <c r="E99" i="26"/>
  <c r="E69" i="26"/>
  <c r="E66" i="26"/>
  <c r="E64" i="26"/>
  <c r="E62" i="26"/>
  <c r="E70" i="26" s="1"/>
  <c r="I27" i="21"/>
  <c r="G27" i="22"/>
  <c r="G65" i="22" s="1"/>
  <c r="E56" i="22"/>
  <c r="E55" i="22"/>
  <c r="I55" i="22" s="1"/>
  <c r="C100" i="98"/>
  <c r="C101" i="98" s="1"/>
  <c r="C102" i="98" s="1"/>
  <c r="C103" i="98" s="1"/>
  <c r="C104" i="98" s="1"/>
  <c r="C105" i="98" s="1"/>
  <c r="C106" i="98" s="1"/>
  <c r="C107" i="98" s="1"/>
  <c r="C108" i="98" s="1"/>
  <c r="C109" i="98" s="1"/>
  <c r="C110" i="98" s="1"/>
  <c r="C111" i="98" s="1"/>
  <c r="C19" i="98"/>
  <c r="C20" i="98" s="1"/>
  <c r="C21" i="98" s="1"/>
  <c r="C22" i="98" s="1"/>
  <c r="C23" i="98" s="1"/>
  <c r="C24" i="98" s="1"/>
  <c r="C25" i="98" s="1"/>
  <c r="C26" i="98" s="1"/>
  <c r="C27" i="98" s="1"/>
  <c r="C28" i="98" s="1"/>
  <c r="C29" i="98" s="1"/>
  <c r="C58" i="98"/>
  <c r="C59" i="98" s="1"/>
  <c r="C60" i="98" s="1"/>
  <c r="C61" i="98" s="1"/>
  <c r="C62" i="98" s="1"/>
  <c r="C63" i="98" s="1"/>
  <c r="C64" i="98" s="1"/>
  <c r="C65" i="98" s="1"/>
  <c r="C66" i="98" s="1"/>
  <c r="C67" i="98" s="1"/>
  <c r="C68" i="98" s="1"/>
  <c r="C69" i="98" s="1"/>
  <c r="C99" i="98"/>
  <c r="C57" i="98"/>
  <c r="E29" i="22"/>
  <c r="E30" i="22" s="1"/>
  <c r="E32" i="22" s="1"/>
  <c r="E29" i="98"/>
  <c r="E30" i="98" s="1"/>
  <c r="E32" i="98" s="1"/>
  <c r="E57" i="98"/>
  <c r="E58" i="98"/>
  <c r="I17" i="98"/>
  <c r="I29" i="98"/>
  <c r="C95" i="22"/>
  <c r="C55" i="22"/>
  <c r="G64" i="98"/>
  <c r="I64" i="98" s="1"/>
  <c r="I23" i="98"/>
  <c r="I21" i="98"/>
  <c r="G62" i="98"/>
  <c r="I62" i="98" s="1"/>
  <c r="G23" i="22"/>
  <c r="G24" i="98"/>
  <c r="K70" i="22"/>
  <c r="G56" i="22"/>
  <c r="I56" i="22" s="1"/>
  <c r="I28" i="98"/>
  <c r="G69" i="98"/>
  <c r="I69" i="98" s="1"/>
  <c r="I27" i="98"/>
  <c r="G68" i="98"/>
  <c r="I68" i="98" s="1"/>
  <c r="G19" i="22"/>
  <c r="G20" i="98"/>
  <c r="G25" i="22"/>
  <c r="G26" i="98"/>
  <c r="G30" i="21"/>
  <c r="G32" i="21" s="1"/>
  <c r="I25" i="98"/>
  <c r="G66" i="98"/>
  <c r="I66" i="98" s="1"/>
  <c r="G21" i="22"/>
  <c r="G22" i="98"/>
  <c r="G60" i="98"/>
  <c r="I19" i="98"/>
  <c r="E30" i="26"/>
  <c r="E32" i="26" s="1"/>
  <c r="B19" i="24"/>
  <c r="C21" i="25" s="1"/>
  <c r="I23" i="21"/>
  <c r="I25" i="21"/>
  <c r="I21" i="21"/>
  <c r="I19" i="21"/>
  <c r="I18" i="22"/>
  <c r="E66" i="22"/>
  <c r="E61" i="22"/>
  <c r="E64" i="22"/>
  <c r="E62" i="22"/>
  <c r="E30" i="25"/>
  <c r="E32" i="25" s="1"/>
  <c r="G20" i="26"/>
  <c r="I20" i="25"/>
  <c r="G29" i="26"/>
  <c r="I29" i="26" s="1"/>
  <c r="I29" i="25"/>
  <c r="G25" i="26"/>
  <c r="I25" i="25"/>
  <c r="G21" i="26"/>
  <c r="I21" i="25"/>
  <c r="G69" i="26"/>
  <c r="I28" i="26"/>
  <c r="I17" i="26"/>
  <c r="G26" i="26"/>
  <c r="I26" i="25"/>
  <c r="G24" i="26"/>
  <c r="I24" i="25"/>
  <c r="G22" i="26"/>
  <c r="I22" i="25"/>
  <c r="G59" i="26"/>
  <c r="I18" i="26"/>
  <c r="I27" i="25"/>
  <c r="G27" i="26"/>
  <c r="I23" i="25"/>
  <c r="G23" i="26"/>
  <c r="G19" i="26"/>
  <c r="I19" i="25"/>
  <c r="G29" i="22"/>
  <c r="I29" i="21"/>
  <c r="G24" i="22"/>
  <c r="G62" i="22" s="1"/>
  <c r="I24" i="21"/>
  <c r="G22" i="22"/>
  <c r="G60" i="22" s="1"/>
  <c r="I22" i="21"/>
  <c r="I20" i="21"/>
  <c r="G20" i="22"/>
  <c r="G58" i="22" s="1"/>
  <c r="I26" i="21"/>
  <c r="G26" i="22"/>
  <c r="G64" i="22" s="1"/>
  <c r="I27" i="22"/>
  <c r="B20" i="20"/>
  <c r="C21" i="21"/>
  <c r="G28" i="22"/>
  <c r="G66" i="22" s="1"/>
  <c r="I28" i="21"/>
  <c r="I30" i="21" s="1"/>
  <c r="I32" i="21" s="1"/>
  <c r="E63" i="22"/>
  <c r="E59" i="22"/>
  <c r="E57" i="22"/>
  <c r="E65" i="22"/>
  <c r="E60" i="22"/>
  <c r="E67" i="22"/>
  <c r="E58" i="22"/>
  <c r="I30" i="25" l="1"/>
  <c r="I32" i="25" s="1"/>
  <c r="B20" i="24"/>
  <c r="I99" i="26"/>
  <c r="G100" i="26"/>
  <c r="G30" i="26"/>
  <c r="G32" i="26" s="1"/>
  <c r="E100" i="26"/>
  <c r="E70" i="98"/>
  <c r="I58" i="98"/>
  <c r="I64" i="22"/>
  <c r="E99" i="98"/>
  <c r="I57" i="98"/>
  <c r="I20" i="98"/>
  <c r="G61" i="98"/>
  <c r="I61" i="98" s="1"/>
  <c r="I26" i="98"/>
  <c r="G67" i="98"/>
  <c r="I67" i="98" s="1"/>
  <c r="G63" i="22"/>
  <c r="I63" i="22" s="1"/>
  <c r="I25" i="22"/>
  <c r="I23" i="22"/>
  <c r="G61" i="22"/>
  <c r="I61" i="22" s="1"/>
  <c r="I22" i="98"/>
  <c r="G63" i="98"/>
  <c r="I63" i="98" s="1"/>
  <c r="I19" i="22"/>
  <c r="G57" i="22"/>
  <c r="G97" i="22" s="1"/>
  <c r="I66" i="22"/>
  <c r="I24" i="98"/>
  <c r="G65" i="98"/>
  <c r="I65" i="98" s="1"/>
  <c r="I29" i="22"/>
  <c r="G67" i="22"/>
  <c r="I67" i="22" s="1"/>
  <c r="I60" i="98"/>
  <c r="G102" i="98"/>
  <c r="G30" i="98"/>
  <c r="G32" i="98" s="1"/>
  <c r="G59" i="22"/>
  <c r="I21" i="22"/>
  <c r="G30" i="22"/>
  <c r="G32" i="22" s="1"/>
  <c r="I62" i="22"/>
  <c r="I58" i="22"/>
  <c r="I60" i="22"/>
  <c r="I35" i="21"/>
  <c r="I35" i="25"/>
  <c r="I23" i="26"/>
  <c r="G64" i="26"/>
  <c r="I64" i="26" s="1"/>
  <c r="G68" i="26"/>
  <c r="I68" i="26" s="1"/>
  <c r="I27" i="26"/>
  <c r="I59" i="26"/>
  <c r="G63" i="26"/>
  <c r="I63" i="26" s="1"/>
  <c r="I22" i="26"/>
  <c r="G65" i="26"/>
  <c r="I65" i="26" s="1"/>
  <c r="I24" i="26"/>
  <c r="G67" i="26"/>
  <c r="I67" i="26" s="1"/>
  <c r="I26" i="26"/>
  <c r="I69" i="26"/>
  <c r="C22" i="25"/>
  <c r="B21" i="24"/>
  <c r="G61" i="26"/>
  <c r="I61" i="26" s="1"/>
  <c r="I20" i="26"/>
  <c r="G60" i="26"/>
  <c r="I60" i="26" s="1"/>
  <c r="I19" i="26"/>
  <c r="G62" i="26"/>
  <c r="I62" i="26" s="1"/>
  <c r="I21" i="26"/>
  <c r="I25" i="26"/>
  <c r="G66" i="26"/>
  <c r="I66" i="26" s="1"/>
  <c r="E95" i="22"/>
  <c r="E68" i="22"/>
  <c r="C22" i="21"/>
  <c r="B21" i="20"/>
  <c r="I28" i="22"/>
  <c r="I22" i="22"/>
  <c r="I24" i="22"/>
  <c r="I65" i="22"/>
  <c r="I26" i="22"/>
  <c r="I20" i="22"/>
  <c r="I30" i="26" l="1"/>
  <c r="I32" i="26" s="1"/>
  <c r="I70" i="26"/>
  <c r="I100" i="26"/>
  <c r="I95" i="22"/>
  <c r="E96" i="22"/>
  <c r="I96" i="22" s="1"/>
  <c r="I30" i="98"/>
  <c r="I32" i="98" s="1"/>
  <c r="I35" i="98" s="1"/>
  <c r="I57" i="22"/>
  <c r="E100" i="98"/>
  <c r="I99" i="98"/>
  <c r="G70" i="98"/>
  <c r="G103" i="98"/>
  <c r="I70" i="98"/>
  <c r="I72" i="98" s="1"/>
  <c r="G70" i="26"/>
  <c r="I30" i="22"/>
  <c r="I32" i="22" s="1"/>
  <c r="I35" i="22" s="1"/>
  <c r="I35" i="26"/>
  <c r="L15" i="2" s="1"/>
  <c r="I72" i="26"/>
  <c r="B22" i="24"/>
  <c r="C23" i="25"/>
  <c r="G101" i="26"/>
  <c r="E101" i="26"/>
  <c r="C23" i="21"/>
  <c r="B22" i="20"/>
  <c r="G98" i="22"/>
  <c r="I59" i="22"/>
  <c r="G68" i="22"/>
  <c r="E97" i="22"/>
  <c r="E98" i="22" s="1"/>
  <c r="E99" i="22" s="1"/>
  <c r="E100" i="22" s="1"/>
  <c r="E101" i="22" s="1"/>
  <c r="E102" i="22" s="1"/>
  <c r="E103" i="22" s="1"/>
  <c r="E104" i="22" s="1"/>
  <c r="E105" i="22" s="1"/>
  <c r="E106" i="22" s="1"/>
  <c r="E107" i="22" s="1"/>
  <c r="E102" i="26" l="1"/>
  <c r="E103" i="26" s="1"/>
  <c r="E104" i="26" s="1"/>
  <c r="E105" i="26" s="1"/>
  <c r="E106" i="26" s="1"/>
  <c r="E107" i="26" s="1"/>
  <c r="E108" i="26" s="1"/>
  <c r="E109" i="26" s="1"/>
  <c r="E110" i="26" s="1"/>
  <c r="E111" i="26" s="1"/>
  <c r="E112" i="26"/>
  <c r="E114" i="26" s="1"/>
  <c r="L14" i="2"/>
  <c r="E101" i="98"/>
  <c r="I100" i="98"/>
  <c r="I68" i="22"/>
  <c r="I70" i="22" s="1"/>
  <c r="R43" i="2" s="1"/>
  <c r="M72" i="98"/>
  <c r="M57" i="98" s="1"/>
  <c r="M66" i="98"/>
  <c r="M64" i="98"/>
  <c r="M68" i="98"/>
  <c r="M69" i="98"/>
  <c r="M60" i="98"/>
  <c r="G104" i="98"/>
  <c r="I97" i="22"/>
  <c r="R44" i="2"/>
  <c r="M72" i="26"/>
  <c r="M69" i="26" s="1"/>
  <c r="M70" i="22"/>
  <c r="M66" i="22" s="1"/>
  <c r="E108" i="22"/>
  <c r="E110" i="22" s="1"/>
  <c r="C24" i="25"/>
  <c r="B23" i="24"/>
  <c r="G102" i="26"/>
  <c r="I101" i="26"/>
  <c r="B23" i="20"/>
  <c r="C24" i="21"/>
  <c r="G99" i="22"/>
  <c r="I98" i="22"/>
  <c r="M62" i="98" l="1"/>
  <c r="M59" i="98"/>
  <c r="E102" i="98"/>
  <c r="I101" i="98"/>
  <c r="G105" i="98"/>
  <c r="M99" i="98"/>
  <c r="M58" i="98"/>
  <c r="M65" i="98"/>
  <c r="M63" i="98"/>
  <c r="M61" i="98"/>
  <c r="M67" i="98"/>
  <c r="M57" i="26"/>
  <c r="M99" i="26" s="1"/>
  <c r="M58" i="26"/>
  <c r="M56" i="22"/>
  <c r="M55" i="22"/>
  <c r="M95" i="22" s="1"/>
  <c r="M96" i="22" s="1"/>
  <c r="M58" i="22"/>
  <c r="M63" i="22"/>
  <c r="M60" i="22"/>
  <c r="M61" i="22"/>
  <c r="M59" i="22"/>
  <c r="M64" i="22"/>
  <c r="M65" i="22"/>
  <c r="M60" i="26"/>
  <c r="M68" i="26"/>
  <c r="M62" i="26"/>
  <c r="M67" i="26"/>
  <c r="M67" i="22"/>
  <c r="M62" i="22"/>
  <c r="M57" i="22"/>
  <c r="M64" i="26"/>
  <c r="M59" i="26"/>
  <c r="M66" i="26"/>
  <c r="M65" i="26"/>
  <c r="M61" i="26"/>
  <c r="M63" i="26"/>
  <c r="B24" i="24"/>
  <c r="C25" i="25"/>
  <c r="G103" i="26"/>
  <c r="I102" i="26"/>
  <c r="G100" i="22"/>
  <c r="I99" i="22"/>
  <c r="B24" i="20"/>
  <c r="C25" i="21"/>
  <c r="M100" i="26" l="1"/>
  <c r="M70" i="98"/>
  <c r="E103" i="98"/>
  <c r="I102" i="98"/>
  <c r="M97" i="22"/>
  <c r="M98" i="22"/>
  <c r="M99" i="22" s="1"/>
  <c r="M100" i="22" s="1"/>
  <c r="M101" i="22" s="1"/>
  <c r="M102" i="22" s="1"/>
  <c r="M103" i="22" s="1"/>
  <c r="M104" i="22" s="1"/>
  <c r="M105" i="22" s="1"/>
  <c r="M106" i="22" s="1"/>
  <c r="M107" i="22" s="1"/>
  <c r="M100" i="98"/>
  <c r="M101" i="98" s="1"/>
  <c r="M102" i="98" s="1"/>
  <c r="M103" i="98" s="1"/>
  <c r="M104" i="98" s="1"/>
  <c r="M105" i="98" s="1"/>
  <c r="M106" i="98" s="1"/>
  <c r="M107" i="98" s="1"/>
  <c r="M108" i="98" s="1"/>
  <c r="M109" i="98" s="1"/>
  <c r="M110" i="98" s="1"/>
  <c r="M111" i="98" s="1"/>
  <c r="G106" i="98"/>
  <c r="M70" i="26"/>
  <c r="M68" i="22"/>
  <c r="G104" i="26"/>
  <c r="I103" i="26"/>
  <c r="C26" i="25"/>
  <c r="B25" i="24"/>
  <c r="B25" i="20"/>
  <c r="C26" i="21"/>
  <c r="G101" i="22"/>
  <c r="I100" i="22"/>
  <c r="E104" i="98" l="1"/>
  <c r="I103" i="98"/>
  <c r="G107" i="98"/>
  <c r="M112" i="98"/>
  <c r="M114" i="98" s="1"/>
  <c r="M117" i="98" s="1"/>
  <c r="M108" i="22"/>
  <c r="M101" i="26"/>
  <c r="M102" i="26" s="1"/>
  <c r="M103" i="26" s="1"/>
  <c r="M104" i="26" s="1"/>
  <c r="M105" i="26" s="1"/>
  <c r="M106" i="26" s="1"/>
  <c r="M107" i="26" s="1"/>
  <c r="M108" i="26" s="1"/>
  <c r="M109" i="26" s="1"/>
  <c r="M110" i="26" s="1"/>
  <c r="M111" i="26" s="1"/>
  <c r="B26" i="24"/>
  <c r="C27" i="25"/>
  <c r="G105" i="26"/>
  <c r="I104" i="26"/>
  <c r="G102" i="22"/>
  <c r="I101" i="22"/>
  <c r="C27" i="21"/>
  <c r="B26" i="20"/>
  <c r="M112" i="26" l="1"/>
  <c r="M114" i="26" s="1"/>
  <c r="E105" i="98"/>
  <c r="I104" i="98"/>
  <c r="M110" i="22"/>
  <c r="M113" i="22" s="1"/>
  <c r="T43" i="2" s="1"/>
  <c r="G108" i="98"/>
  <c r="M117" i="26"/>
  <c r="T44" i="2" s="1"/>
  <c r="I105" i="26"/>
  <c r="G106" i="26"/>
  <c r="C28" i="25"/>
  <c r="B27" i="24"/>
  <c r="C28" i="21"/>
  <c r="B27" i="20"/>
  <c r="G103" i="22"/>
  <c r="I102" i="22"/>
  <c r="E106" i="98" l="1"/>
  <c r="I105" i="98"/>
  <c r="G109" i="98"/>
  <c r="G107" i="26"/>
  <c r="I106" i="26"/>
  <c r="C29" i="25"/>
  <c r="G104" i="22"/>
  <c r="I103" i="22"/>
  <c r="C29" i="21"/>
  <c r="E107" i="98" l="1"/>
  <c r="I106" i="98"/>
  <c r="G110" i="98"/>
  <c r="G108" i="26"/>
  <c r="I107" i="26"/>
  <c r="G105" i="22"/>
  <c r="I104" i="22"/>
  <c r="E108" i="98" l="1"/>
  <c r="I107" i="98"/>
  <c r="G111" i="98"/>
  <c r="G109" i="26"/>
  <c r="I108" i="26"/>
  <c r="G106" i="22"/>
  <c r="I105" i="22"/>
  <c r="E109" i="98" l="1"/>
  <c r="I108" i="98"/>
  <c r="G112" i="98"/>
  <c r="G114" i="98" s="1"/>
  <c r="G110" i="26"/>
  <c r="I109" i="26"/>
  <c r="G107" i="22"/>
  <c r="I106" i="22"/>
  <c r="E110" i="98" l="1"/>
  <c r="I109" i="98"/>
  <c r="G111" i="26"/>
  <c r="G112" i="26" s="1"/>
  <c r="G114" i="26" s="1"/>
  <c r="I110" i="26"/>
  <c r="I107" i="22"/>
  <c r="I108" i="22" s="1"/>
  <c r="G108" i="22"/>
  <c r="G110" i="22" s="1"/>
  <c r="E111" i="98" l="1"/>
  <c r="I110" i="98"/>
  <c r="I110" i="22"/>
  <c r="I113" i="22" s="1"/>
  <c r="I111" i="26"/>
  <c r="I112" i="26" l="1"/>
  <c r="I114" i="26" s="1"/>
  <c r="I117" i="26" s="1"/>
  <c r="L44" i="2" s="1"/>
  <c r="E112" i="98"/>
  <c r="E114" i="98" s="1"/>
  <c r="I111" i="98"/>
  <c r="I112" i="98" s="1"/>
  <c r="I114" i="98" s="1"/>
  <c r="I117" i="98" s="1"/>
  <c r="L43" i="2" s="1"/>
  <c r="D42" i="2"/>
  <c r="B42" i="2"/>
  <c r="A100" i="9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58" i="9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18" i="9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E13" i="9"/>
  <c r="A10" i="9"/>
  <c r="A8" i="9"/>
  <c r="A5" i="9"/>
  <c r="E28" i="8"/>
  <c r="E27" i="8"/>
  <c r="E26" i="8"/>
  <c r="E25" i="8"/>
  <c r="E24" i="8"/>
  <c r="E23" i="8"/>
  <c r="E22" i="8"/>
  <c r="E21" i="8"/>
  <c r="E20" i="8"/>
  <c r="E19" i="8"/>
  <c r="G18" i="8"/>
  <c r="E18" i="8"/>
  <c r="C18" i="8"/>
  <c r="A18" i="8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E17" i="8"/>
  <c r="C17" i="8"/>
  <c r="A8" i="8"/>
  <c r="A5" i="8"/>
  <c r="E29" i="8"/>
  <c r="B17" i="7"/>
  <c r="E78" i="9"/>
  <c r="G78" i="9" s="1"/>
  <c r="E30" i="8" l="1"/>
  <c r="E32" i="8" s="1"/>
  <c r="B18" i="7"/>
  <c r="C19" i="8"/>
  <c r="G21" i="8"/>
  <c r="I21" i="8" s="1"/>
  <c r="G25" i="8"/>
  <c r="C18" i="9"/>
  <c r="C100" i="9" s="1"/>
  <c r="C101" i="9" s="1"/>
  <c r="C102" i="9" s="1"/>
  <c r="C103" i="9" s="1"/>
  <c r="C104" i="9" s="1"/>
  <c r="C105" i="9" s="1"/>
  <c r="C106" i="9" s="1"/>
  <c r="C107" i="9" s="1"/>
  <c r="C108" i="9" s="1"/>
  <c r="C109" i="9" s="1"/>
  <c r="C110" i="9" s="1"/>
  <c r="C111" i="9" s="1"/>
  <c r="G19" i="8"/>
  <c r="G23" i="8"/>
  <c r="G23" i="9" s="1"/>
  <c r="G63" i="9" s="1"/>
  <c r="G27" i="8"/>
  <c r="I27" i="8" s="1"/>
  <c r="G29" i="8"/>
  <c r="I29" i="8" s="1"/>
  <c r="E29" i="9"/>
  <c r="G17" i="9"/>
  <c r="G57" i="9" s="1"/>
  <c r="I18" i="8"/>
  <c r="E20" i="9"/>
  <c r="E22" i="9"/>
  <c r="E28" i="9"/>
  <c r="A87" i="9"/>
  <c r="A45" i="9"/>
  <c r="A90" i="9"/>
  <c r="A48" i="9"/>
  <c r="E123" i="9"/>
  <c r="G123" i="9"/>
  <c r="B19" i="7"/>
  <c r="I17" i="8"/>
  <c r="C20" i="8"/>
  <c r="G20" i="8"/>
  <c r="E21" i="9"/>
  <c r="G22" i="8"/>
  <c r="E23" i="9"/>
  <c r="G24" i="8"/>
  <c r="E25" i="9"/>
  <c r="G26" i="8"/>
  <c r="E27" i="9"/>
  <c r="G28" i="8"/>
  <c r="E17" i="9"/>
  <c r="G18" i="9"/>
  <c r="E19" i="9"/>
  <c r="C17" i="9"/>
  <c r="E18" i="9"/>
  <c r="E58" i="9" s="1"/>
  <c r="E24" i="9"/>
  <c r="E26" i="9"/>
  <c r="E67" i="9" s="1"/>
  <c r="E53" i="9"/>
  <c r="C78" i="9" s="1"/>
  <c r="C123" i="9" s="1"/>
  <c r="E95" i="9"/>
  <c r="E30" i="9" l="1"/>
  <c r="E32" i="9" s="1"/>
  <c r="E57" i="9"/>
  <c r="G30" i="8"/>
  <c r="G32" i="8" s="1"/>
  <c r="C99" i="9"/>
  <c r="C57" i="9"/>
  <c r="K72" i="9"/>
  <c r="G58" i="9"/>
  <c r="I58" i="9" s="1"/>
  <c r="G99" i="9"/>
  <c r="G100" i="9"/>
  <c r="C19" i="9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58" i="9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G27" i="9"/>
  <c r="G19" i="9"/>
  <c r="E65" i="9"/>
  <c r="E60" i="9"/>
  <c r="E68" i="9"/>
  <c r="E62" i="9"/>
  <c r="E66" i="9"/>
  <c r="E64" i="9"/>
  <c r="I19" i="8"/>
  <c r="I30" i="8" s="1"/>
  <c r="I32" i="8" s="1"/>
  <c r="G25" i="9"/>
  <c r="G65" i="9" s="1"/>
  <c r="G21" i="9"/>
  <c r="I25" i="8"/>
  <c r="G29" i="9"/>
  <c r="I23" i="8"/>
  <c r="E69" i="9"/>
  <c r="E63" i="9"/>
  <c r="E61" i="9"/>
  <c r="E59" i="9"/>
  <c r="E100" i="9"/>
  <c r="G26" i="9"/>
  <c r="G66" i="9" s="1"/>
  <c r="I26" i="8"/>
  <c r="G24" i="9"/>
  <c r="G64" i="9" s="1"/>
  <c r="I24" i="8"/>
  <c r="G22" i="9"/>
  <c r="G62" i="9" s="1"/>
  <c r="I22" i="8"/>
  <c r="B20" i="7"/>
  <c r="C21" i="8"/>
  <c r="I23" i="9"/>
  <c r="I60" i="9"/>
  <c r="I18" i="9"/>
  <c r="G28" i="9"/>
  <c r="G68" i="9" s="1"/>
  <c r="I28" i="8"/>
  <c r="G20" i="9"/>
  <c r="G60" i="9" s="1"/>
  <c r="I20" i="8"/>
  <c r="I17" i="9"/>
  <c r="G30" i="9" l="1"/>
  <c r="G32" i="9" s="1"/>
  <c r="G59" i="9"/>
  <c r="I29" i="9"/>
  <c r="G69" i="9"/>
  <c r="I21" i="9"/>
  <c r="G61" i="9"/>
  <c r="I99" i="9"/>
  <c r="I19" i="9"/>
  <c r="I25" i="9"/>
  <c r="I27" i="9"/>
  <c r="G67" i="9"/>
  <c r="I67" i="9" s="1"/>
  <c r="I68" i="9"/>
  <c r="I59" i="9"/>
  <c r="I64" i="9"/>
  <c r="I62" i="9"/>
  <c r="I66" i="9"/>
  <c r="E70" i="9"/>
  <c r="I35" i="8"/>
  <c r="I61" i="9"/>
  <c r="I20" i="9"/>
  <c r="I57" i="9"/>
  <c r="I63" i="9"/>
  <c r="I22" i="9"/>
  <c r="I65" i="9"/>
  <c r="I24" i="9"/>
  <c r="I26" i="9"/>
  <c r="E101" i="9"/>
  <c r="E102" i="9" s="1"/>
  <c r="E103" i="9" s="1"/>
  <c r="E104" i="9" s="1"/>
  <c r="E105" i="9" s="1"/>
  <c r="E106" i="9" s="1"/>
  <c r="E107" i="9" s="1"/>
  <c r="E108" i="9" s="1"/>
  <c r="E109" i="9" s="1"/>
  <c r="E110" i="9" s="1"/>
  <c r="E111" i="9" s="1"/>
  <c r="I69" i="9"/>
  <c r="I28" i="9"/>
  <c r="C22" i="8"/>
  <c r="B21" i="7"/>
  <c r="E112" i="9" l="1"/>
  <c r="E114" i="9" s="1"/>
  <c r="I30" i="9"/>
  <c r="I32" i="9" s="1"/>
  <c r="I35" i="9"/>
  <c r="L13" i="2" s="1"/>
  <c r="G101" i="9"/>
  <c r="I100" i="9"/>
  <c r="G70" i="9"/>
  <c r="C23" i="8"/>
  <c r="B22" i="7"/>
  <c r="I70" i="9"/>
  <c r="I72" i="9" s="1"/>
  <c r="R42" i="2" l="1"/>
  <c r="M72" i="9"/>
  <c r="M67" i="9" s="1"/>
  <c r="C24" i="8"/>
  <c r="B23" i="7"/>
  <c r="G102" i="9"/>
  <c r="I101" i="9"/>
  <c r="M58" i="9" l="1"/>
  <c r="M65" i="9"/>
  <c r="M57" i="9"/>
  <c r="M99" i="9" s="1"/>
  <c r="M66" i="9"/>
  <c r="M61" i="9"/>
  <c r="M69" i="9"/>
  <c r="M68" i="9"/>
  <c r="M60" i="9"/>
  <c r="M62" i="9"/>
  <c r="M63" i="9"/>
  <c r="M64" i="9"/>
  <c r="M59" i="9"/>
  <c r="B24" i="7"/>
  <c r="C25" i="8"/>
  <c r="G103" i="9"/>
  <c r="I102" i="9"/>
  <c r="M100" i="9" l="1"/>
  <c r="M70" i="9"/>
  <c r="M101" i="9"/>
  <c r="M102" i="9" s="1"/>
  <c r="M103" i="9" s="1"/>
  <c r="M104" i="9" s="1"/>
  <c r="M105" i="9" s="1"/>
  <c r="M106" i="9" s="1"/>
  <c r="M107" i="9" s="1"/>
  <c r="M108" i="9" s="1"/>
  <c r="M109" i="9" s="1"/>
  <c r="M110" i="9" s="1"/>
  <c r="M111" i="9" s="1"/>
  <c r="G104" i="9"/>
  <c r="I103" i="9"/>
  <c r="C26" i="8"/>
  <c r="B25" i="7"/>
  <c r="M112" i="9" l="1"/>
  <c r="M114" i="9" s="1"/>
  <c r="M117" i="9" s="1"/>
  <c r="T42" i="2" s="1"/>
  <c r="C27" i="8"/>
  <c r="B26" i="7"/>
  <c r="G105" i="9"/>
  <c r="I104" i="9"/>
  <c r="G106" i="9" l="1"/>
  <c r="I105" i="9"/>
  <c r="C28" i="8"/>
  <c r="B27" i="7"/>
  <c r="C29" i="8" l="1"/>
  <c r="G107" i="9"/>
  <c r="I106" i="9"/>
  <c r="G108" i="9" l="1"/>
  <c r="I107" i="9"/>
  <c r="G109" i="9" l="1"/>
  <c r="I108" i="9"/>
  <c r="G110" i="9" l="1"/>
  <c r="I109" i="9"/>
  <c r="G111" i="9" l="1"/>
  <c r="G112" i="9" s="1"/>
  <c r="G114" i="9" s="1"/>
  <c r="I110" i="9"/>
  <c r="I111" i="9" l="1"/>
  <c r="I112" i="9" l="1"/>
  <c r="I114" i="9" s="1"/>
  <c r="I117" i="9" s="1"/>
  <c r="L42" i="2" s="1"/>
  <c r="D43" i="2"/>
  <c r="D44" i="2"/>
  <c r="B43" i="2"/>
  <c r="B44" i="2"/>
  <c r="A7" i="6"/>
  <c r="A4" i="6"/>
  <c r="A100" i="5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E13" i="5"/>
  <c r="E95" i="5" s="1"/>
  <c r="A10" i="5"/>
  <c r="A8" i="5"/>
  <c r="A90" i="5" s="1"/>
  <c r="A5" i="5"/>
  <c r="A87" i="5" s="1"/>
  <c r="C18" i="4"/>
  <c r="C18" i="5" s="1"/>
  <c r="A18" i="4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G17" i="5"/>
  <c r="G57" i="5" s="1"/>
  <c r="E17" i="4"/>
  <c r="E17" i="5" s="1"/>
  <c r="C17" i="4"/>
  <c r="C17" i="5" s="1"/>
  <c r="A8" i="4"/>
  <c r="A5" i="4"/>
  <c r="B17" i="3"/>
  <c r="E18" i="4"/>
  <c r="E78" i="5"/>
  <c r="G78" i="5" s="1"/>
  <c r="E57" i="5" l="1"/>
  <c r="C99" i="5"/>
  <c r="C57" i="5"/>
  <c r="G99" i="5"/>
  <c r="I99" i="5" s="1"/>
  <c r="E18" i="5"/>
  <c r="E58" i="5" s="1"/>
  <c r="I17" i="4"/>
  <c r="C100" i="5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C58" i="5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19" i="5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I17" i="5"/>
  <c r="C19" i="4"/>
  <c r="E123" i="5"/>
  <c r="G123" i="5"/>
  <c r="B18" i="3"/>
  <c r="A45" i="5"/>
  <c r="A48" i="5"/>
  <c r="E53" i="5"/>
  <c r="C78" i="5" s="1"/>
  <c r="C123" i="5" s="1"/>
  <c r="E100" i="5" l="1"/>
  <c r="C20" i="4"/>
  <c r="B19" i="3"/>
  <c r="E19" i="4"/>
  <c r="E20" i="4" l="1"/>
  <c r="E19" i="5"/>
  <c r="C21" i="4"/>
  <c r="B20" i="3"/>
  <c r="E59" i="5" l="1"/>
  <c r="E101" i="5" s="1"/>
  <c r="E20" i="5"/>
  <c r="E60" i="5" s="1"/>
  <c r="B21" i="3"/>
  <c r="C22" i="4"/>
  <c r="E21" i="4"/>
  <c r="E102" i="5" l="1"/>
  <c r="E22" i="4"/>
  <c r="C23" i="4"/>
  <c r="B22" i="3"/>
  <c r="E21" i="5"/>
  <c r="E61" i="5" s="1"/>
  <c r="E103" i="5" l="1"/>
  <c r="E23" i="4"/>
  <c r="C24" i="4"/>
  <c r="B23" i="3"/>
  <c r="E22" i="5"/>
  <c r="E62" i="5" s="1"/>
  <c r="E24" i="4" l="1"/>
  <c r="C25" i="4"/>
  <c r="B24" i="3"/>
  <c r="E23" i="5"/>
  <c r="E63" i="5" s="1"/>
  <c r="E104" i="5"/>
  <c r="E105" i="5" l="1"/>
  <c r="E25" i="4"/>
  <c r="C26" i="4"/>
  <c r="B25" i="3"/>
  <c r="E24" i="5"/>
  <c r="E64" i="5" s="1"/>
  <c r="C27" i="4" l="1"/>
  <c r="B26" i="3"/>
  <c r="E26" i="4"/>
  <c r="E25" i="5"/>
  <c r="E65" i="5" s="1"/>
  <c r="E106" i="5"/>
  <c r="E107" i="5" l="1"/>
  <c r="E27" i="4"/>
  <c r="E26" i="5"/>
  <c r="E66" i="5" s="1"/>
  <c r="C28" i="4"/>
  <c r="B27" i="3"/>
  <c r="C29" i="4" l="1"/>
  <c r="E28" i="4"/>
  <c r="E29" i="4"/>
  <c r="E27" i="5"/>
  <c r="E67" i="5" s="1"/>
  <c r="E108" i="5"/>
  <c r="E109" i="5" l="1"/>
  <c r="E28" i="5"/>
  <c r="E68" i="5" s="1"/>
  <c r="E29" i="5"/>
  <c r="E30" i="4"/>
  <c r="E32" i="4" s="1"/>
  <c r="E69" i="5" l="1"/>
  <c r="E30" i="5"/>
  <c r="E32" i="5" s="1"/>
  <c r="E110" i="5"/>
  <c r="E111" i="5" l="1"/>
  <c r="E112" i="5" s="1"/>
  <c r="E114" i="5" s="1"/>
  <c r="E70" i="5"/>
  <c r="P14" i="2" l="1"/>
  <c r="P15" i="2"/>
  <c r="P13" i="2"/>
  <c r="P43" i="2"/>
  <c r="P44" i="2"/>
  <c r="P42" i="2"/>
  <c r="N50" i="2"/>
  <c r="J50" i="2"/>
  <c r="H50" i="2"/>
  <c r="F50" i="2"/>
  <c r="J21" i="2"/>
  <c r="H21" i="2"/>
  <c r="F21" i="2"/>
  <c r="A13" i="2"/>
  <c r="A14" i="2" s="1"/>
  <c r="A15" i="2" s="1"/>
  <c r="A16" i="2" s="1"/>
  <c r="A17" i="2" s="1"/>
  <c r="A18" i="2" s="1"/>
  <c r="A19" i="2" s="1"/>
  <c r="A41" i="2" l="1"/>
  <c r="A33" i="2"/>
  <c r="A3" i="2"/>
  <c r="B41" i="2"/>
  <c r="D41" i="2"/>
  <c r="B50" i="2"/>
  <c r="D50" i="2"/>
  <c r="B51" i="2"/>
  <c r="D51" i="2"/>
  <c r="B52" i="2"/>
  <c r="D52" i="2"/>
  <c r="B53" i="2"/>
  <c r="B54" i="2"/>
  <c r="B55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9" i="1"/>
  <c r="F23" i="1"/>
  <c r="F24" i="1"/>
  <c r="F25" i="1"/>
  <c r="F27" i="1"/>
  <c r="A33" i="1" l="1"/>
  <c r="A34" i="1" s="1"/>
  <c r="A30" i="1"/>
  <c r="A31" i="1" s="1"/>
  <c r="A32" i="1" s="1"/>
  <c r="A42" i="2" l="1"/>
  <c r="A43" i="2" s="1"/>
  <c r="A44" i="2" s="1"/>
  <c r="A45" i="2" s="1"/>
  <c r="A46" i="2" s="1"/>
  <c r="A47" i="2" s="1"/>
  <c r="A48" i="2" s="1"/>
  <c r="G18" i="5"/>
  <c r="G58" i="5" s="1"/>
  <c r="K72" i="5"/>
  <c r="I18" i="4"/>
  <c r="G19" i="5"/>
  <c r="G59" i="5" s="1"/>
  <c r="I59" i="5" s="1"/>
  <c r="I19" i="4"/>
  <c r="I20" i="4"/>
  <c r="G21" i="5"/>
  <c r="I21" i="4"/>
  <c r="G22" i="5"/>
  <c r="G62" i="5" s="1"/>
  <c r="I22" i="4"/>
  <c r="I23" i="4"/>
  <c r="G24" i="5"/>
  <c r="G64" i="5" s="1"/>
  <c r="I24" i="4"/>
  <c r="G25" i="5"/>
  <c r="G65" i="5" s="1"/>
  <c r="I25" i="4"/>
  <c r="G26" i="5"/>
  <c r="G66" i="5" s="1"/>
  <c r="I26" i="4"/>
  <c r="G27" i="5"/>
  <c r="G67" i="5" s="1"/>
  <c r="G28" i="5"/>
  <c r="G68" i="5" s="1"/>
  <c r="G29" i="5"/>
  <c r="I29" i="4"/>
  <c r="I62" i="5" l="1"/>
  <c r="G61" i="5"/>
  <c r="I29" i="5"/>
  <c r="G69" i="5"/>
  <c r="I69" i="5" s="1"/>
  <c r="I58" i="5"/>
  <c r="G100" i="5"/>
  <c r="I100" i="5" s="1"/>
  <c r="I18" i="5"/>
  <c r="I67" i="5"/>
  <c r="I26" i="5"/>
  <c r="I66" i="5"/>
  <c r="I25" i="5"/>
  <c r="I65" i="5"/>
  <c r="I24" i="5"/>
  <c r="I22" i="5"/>
  <c r="G23" i="5"/>
  <c r="G63" i="5" s="1"/>
  <c r="I63" i="5" s="1"/>
  <c r="G101" i="5"/>
  <c r="I101" i="5" s="1"/>
  <c r="I28" i="4"/>
  <c r="I28" i="5"/>
  <c r="I27" i="5"/>
  <c r="I68" i="5"/>
  <c r="I19" i="5"/>
  <c r="I21" i="5"/>
  <c r="G30" i="4"/>
  <c r="G32" i="4" s="1"/>
  <c r="I57" i="5"/>
  <c r="I27" i="4"/>
  <c r="G20" i="5"/>
  <c r="G60" i="5" s="1"/>
  <c r="G70" i="5" l="1"/>
  <c r="I30" i="4"/>
  <c r="I32" i="4" s="1"/>
  <c r="I35" i="4" s="1"/>
  <c r="G30" i="5"/>
  <c r="G32" i="5" s="1"/>
  <c r="I64" i="5"/>
  <c r="I23" i="5"/>
  <c r="G102" i="5"/>
  <c r="I60" i="5"/>
  <c r="I20" i="5"/>
  <c r="I61" i="5"/>
  <c r="I70" i="5" s="1"/>
  <c r="I72" i="5" s="1"/>
  <c r="I30" i="5" l="1"/>
  <c r="I32" i="5" s="1"/>
  <c r="I35" i="5" s="1"/>
  <c r="L12" i="2" s="1"/>
  <c r="R41" i="2"/>
  <c r="R50" i="2" s="1"/>
  <c r="F34" i="1" s="1"/>
  <c r="M72" i="5"/>
  <c r="M66" i="5" s="1"/>
  <c r="G103" i="5"/>
  <c r="I102" i="5"/>
  <c r="L21" i="2" l="1"/>
  <c r="F18" i="1" s="1"/>
  <c r="F20" i="1" s="1"/>
  <c r="P12" i="2"/>
  <c r="P21" i="2" s="1"/>
  <c r="M58" i="5"/>
  <c r="M60" i="5"/>
  <c r="M68" i="5"/>
  <c r="M61" i="5"/>
  <c r="M64" i="5"/>
  <c r="M62" i="5"/>
  <c r="M65" i="5"/>
  <c r="M63" i="5"/>
  <c r="I103" i="5"/>
  <c r="G104" i="5"/>
  <c r="M57" i="5"/>
  <c r="M99" i="5" s="1"/>
  <c r="M100" i="5" s="1"/>
  <c r="M69" i="5"/>
  <c r="M67" i="5"/>
  <c r="M59" i="5"/>
  <c r="M101" i="5" l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70" i="5"/>
  <c r="I104" i="5"/>
  <c r="G105" i="5"/>
  <c r="G106" i="5" l="1"/>
  <c r="I105" i="5"/>
  <c r="M112" i="5" l="1"/>
  <c r="M114" i="5" s="1"/>
  <c r="M117" i="5" s="1"/>
  <c r="T41" i="2" s="1"/>
  <c r="T50" i="2" s="1"/>
  <c r="F31" i="1" s="1"/>
  <c r="I106" i="5"/>
  <c r="G107" i="5"/>
  <c r="I107" i="5" l="1"/>
  <c r="G108" i="5"/>
  <c r="G109" i="5" l="1"/>
  <c r="I108" i="5"/>
  <c r="I109" i="5" l="1"/>
  <c r="G110" i="5"/>
  <c r="G111" i="5" l="1"/>
  <c r="I110" i="5"/>
  <c r="I111" i="5" l="1"/>
  <c r="I112" i="5" s="1"/>
  <c r="G112" i="5"/>
  <c r="G114" i="5" s="1"/>
  <c r="I114" i="5" l="1"/>
  <c r="I117" i="5" s="1"/>
  <c r="L41" i="2" s="1"/>
  <c r="P41" i="2" l="1"/>
  <c r="P50" i="2" s="1"/>
  <c r="L50" i="2"/>
  <c r="F26" i="1" s="1"/>
  <c r="F28" i="1" s="1"/>
</calcChain>
</file>

<file path=xl/sharedStrings.xml><?xml version="1.0" encoding="utf-8"?>
<sst xmlns="http://schemas.openxmlformats.org/spreadsheetml/2006/main" count="1657" uniqueCount="208">
  <si>
    <t>Pro-Forma Adjustment - System Reliability</t>
  </si>
  <si>
    <t>Line</t>
  </si>
  <si>
    <t>No.</t>
  </si>
  <si>
    <t>Description</t>
  </si>
  <si>
    <t>Amount</t>
  </si>
  <si>
    <t>Reference</t>
  </si>
  <si>
    <t>(a)</t>
  </si>
  <si>
    <t>(b)</t>
  </si>
  <si>
    <t>(c)</t>
  </si>
  <si>
    <t>Pro Forma Adjustment:  System Reliability</t>
  </si>
  <si>
    <t xml:space="preserve"> </t>
  </si>
  <si>
    <t>Pro Forma Adjustment - Rate Base:</t>
  </si>
  <si>
    <t>Plant in Service -</t>
  </si>
  <si>
    <t xml:space="preserve">  Intangible Plant</t>
  </si>
  <si>
    <t>Exhibit ASR 1.1, WP C,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</si>
  <si>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</si>
  <si>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</si>
  <si>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</si>
  <si>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</si>
  <si>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</si>
  <si>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4</t>
  </si>
  <si>
    <t>Accumulated Depreciation -</t>
  </si>
  <si>
    <t>Exhibit ASR 1.1, WP C,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</si>
  <si>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</si>
  <si>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</si>
  <si>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</si>
  <si>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</si>
  <si>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</si>
  <si>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</si>
  <si>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</si>
  <si>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</si>
  <si>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</si>
  <si>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</si>
  <si>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</si>
  <si>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</si>
  <si>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</si>
  <si>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</si>
  <si>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</si>
  <si>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</si>
  <si>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</si>
  <si>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</si>
  <si>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</si>
  <si>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</si>
  <si>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</si>
  <si>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</si>
  <si>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</si>
  <si>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</si>
  <si>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</si>
  <si>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</si>
  <si>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</si>
  <si>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</si>
  <si>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</si>
  <si>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</si>
  <si>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</si>
  <si>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</si>
  <si>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</si>
  <si>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</si>
  <si>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Project: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</si>
  <si>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</si>
  <si>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</si>
  <si>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</si>
  <si>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</si>
  <si>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</si>
  <si>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</si>
  <si>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</si>
  <si>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</si>
  <si>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</si>
  <si>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</si>
  <si>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</si>
  <si>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2.376.00</t>
  </si>
  <si>
    <t>0.000.00</t>
  </si>
  <si>
    <t>In-Service Date:</t>
  </si>
  <si>
    <t>Project Amount:</t>
  </si>
  <si>
    <t>Sources:</t>
  </si>
  <si>
    <t>Column (b):</t>
  </si>
  <si>
    <t xml:space="preserve">     Line 15 - Exhibit ASR 1.1, WP C Page 9</t>
  </si>
  <si>
    <t>Column (f): MACRS half-year convention tax depreciation rate for year one recovery on Gas Distribution Property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</si>
  <si>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</si>
  <si>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</si>
  <si>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</si>
  <si>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</si>
  <si>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</si>
  <si>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</si>
  <si>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</si>
  <si>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</si>
  <si>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</si>
  <si>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12 MO AVERAGE</t>
  </si>
  <si>
    <t>TOTAL ADJMNT</t>
  </si>
  <si>
    <t>To Exhibit ASR 1.1, WP C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</si>
  <si>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</si>
  <si>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</si>
  <si>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</si>
  <si>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</si>
  <si>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</si>
  <si>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</si>
  <si>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</si>
  <si>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</si>
  <si>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</si>
  <si>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</si>
  <si>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</si>
  <si>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</si>
  <si>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</si>
  <si>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</si>
  <si>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</si>
  <si>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</si>
  <si>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MACRS 20</t>
  </si>
  <si>
    <t>ACCUMULATED DEPRECIATION</t>
  </si>
  <si>
    <t xml:space="preserve">ACCUMULATED </t>
  </si>
  <si>
    <t>DEFERRED TAXES</t>
  </si>
  <si>
    <t>Page 2, Line 2, Column (f)</t>
  </si>
  <si>
    <t xml:space="preserve">     Line 15 - Exhibit ASR 1.1, WP C Page 37</t>
  </si>
  <si>
    <t>Page 2, Line 5, Column (f)</t>
  </si>
  <si>
    <t>Page 2, Line 6, Column (f)</t>
  </si>
  <si>
    <t>Page 2, Line 7, Column (f)</t>
  </si>
  <si>
    <t>Page 2, Line 8, Column (f)</t>
  </si>
  <si>
    <t>Brandon-Holly (Rice) St 210 psig Serve Load</t>
  </si>
  <si>
    <t>13 MO AVERAGE</t>
  </si>
  <si>
    <t>CAPGDS1000001150</t>
  </si>
  <si>
    <t>SFS-Hartford Serve Load</t>
  </si>
  <si>
    <t>SFS - E Benson Rd &amp; N Serin Ave - 65# System Tie</t>
  </si>
  <si>
    <t>Hartford Western Ave Tie</t>
  </si>
  <si>
    <t>SFS - 85th ST I-29 Crossing</t>
  </si>
  <si>
    <t>2.378.03</t>
  </si>
  <si>
    <t>CAPGDS1000001243</t>
  </si>
  <si>
    <t>CAPGDS1000001184: 2026 ERT Replacements</t>
  </si>
  <si>
    <t>CAPGDS1000001244: SFS - 69th St &amp; S Veterans Pkwy - 8" STL Main</t>
  </si>
  <si>
    <t>CAPGDS1000001239: SFS - Hartford Western Ave Tie</t>
  </si>
  <si>
    <t>CAPGDS1000001236: SFS - Brandon-Holly (Rice) St 210 psig Serve Load</t>
  </si>
  <si>
    <t>CAPGDS1000001243: SFS - E Benson Rd &amp; N Sorin Ave - 65# System Tie</t>
  </si>
  <si>
    <t>CAPGDS1000001150: SFS - Hartford Serve Load</t>
  </si>
  <si>
    <t>CAPGDS1000001240</t>
  </si>
  <si>
    <t>Harrisburg Main Ext W Willow from Hwy 115</t>
  </si>
  <si>
    <t>CAPGDS1000001240: Harrisburg Main Ext W Willow from Hwy 115</t>
  </si>
  <si>
    <t>CAPGDS1000001236</t>
  </si>
  <si>
    <t>CAPGDS1000001239</t>
  </si>
  <si>
    <t>CAPGDS1000001184</t>
  </si>
  <si>
    <t>2026 ERT Replacements</t>
  </si>
  <si>
    <t>CAPGDS1000001244</t>
  </si>
  <si>
    <t xml:space="preserve">SFS - 69th St &amp; S Veterans Pkwy - 8"STL Main </t>
  </si>
  <si>
    <t>13 MO AVG</t>
  </si>
  <si>
    <t>CAPGDS1000001253</t>
  </si>
  <si>
    <t>CAPGDS1000001253: SFS 85th ST I-29 Crossing</t>
  </si>
  <si>
    <t>Page 3, Line 9, Column (i)</t>
  </si>
  <si>
    <t>Page 3, Line 9, Column (f)</t>
  </si>
  <si>
    <t>Page 3, Line 9, Column (j)</t>
  </si>
  <si>
    <t>Page 3, Line 10, Column (i)</t>
  </si>
  <si>
    <t>Page 3, Line 10, Column (f)</t>
  </si>
  <si>
    <t>Page 3, Line 10, Column (j)</t>
  </si>
  <si>
    <t>Page 2, Line 3, Column (f)</t>
  </si>
  <si>
    <t>Page 3, Line 11, Column (i)</t>
  </si>
  <si>
    <t>Page 3, Line 11, Column (f)</t>
  </si>
  <si>
    <t>Page 3, Line 11, Column (j)</t>
  </si>
  <si>
    <t>Page 2, Line 4, Column (f)</t>
  </si>
  <si>
    <t>Page 3, Line 12, Column (i)</t>
  </si>
  <si>
    <t>Page 3, Line 12, Column (f)</t>
  </si>
  <si>
    <t>Page 3, Line 12, Column (j)</t>
  </si>
  <si>
    <t>Page 3, Line 13, Column (i)</t>
  </si>
  <si>
    <t>Page 3, Line 13, Column (f)</t>
  </si>
  <si>
    <t>Page 3, Line 13, Column (j)</t>
  </si>
  <si>
    <t>Page 3, Line 14, Column (i)</t>
  </si>
  <si>
    <t>Page 3, Line 14, Column (j)</t>
  </si>
  <si>
    <t>Page 3, Line 14, Column (f)</t>
  </si>
  <si>
    <t>2.381.00</t>
  </si>
  <si>
    <t>Page 3, Line 15, Column (i)</t>
  </si>
  <si>
    <t>Page 3, Line 15, Column (f)</t>
  </si>
  <si>
    <t>Page 3, Line 15, Column (j)</t>
  </si>
  <si>
    <t>Page 3, Line 16, Column (i)</t>
  </si>
  <si>
    <t>Page 3, Line 16, Column (f)</t>
  </si>
  <si>
    <t>Page 3, Line 16, Column (j)</t>
  </si>
  <si>
    <t xml:space="preserve">     Line 16 - Exhibit ASR 1.1, WP C Page 10</t>
  </si>
  <si>
    <t>Column (d): Exhibit ASR 1.1, WP C, Page 11</t>
  </si>
  <si>
    <t>Column (e): Exhibit ASR 1.1, WP C, Page 11</t>
  </si>
  <si>
    <t xml:space="preserve">     Line 15 - Exhibit ASR 1.1, WP C Page 17</t>
  </si>
  <si>
    <t xml:space="preserve">     Line 16 - Exhibit ASR 1.1, WP C Page 18</t>
  </si>
  <si>
    <t>Column (c): Exhibit ASR 1.1, WP C, Page 11</t>
  </si>
  <si>
    <t>Column (c): Exhibit ASR 1.1, WP C, Page 19</t>
  </si>
  <si>
    <t>Column (d): Exhibit ASR 1.1, WP C, Page 19</t>
  </si>
  <si>
    <t>Column (e): Exhibit ASR 1.1, WP C, Page 19</t>
  </si>
  <si>
    <t xml:space="preserve">     Line 15 - Exhibit ASR 1.1, WP C Page 31</t>
  </si>
  <si>
    <t xml:space="preserve">     Line 16 - Exhibit ASR 1.1, WP C Page 31</t>
  </si>
  <si>
    <t>Column (c): Exhibit ASR 1.1, WP C, Page 31</t>
  </si>
  <si>
    <t>Column (d): Exhibit ASR 1.1, WP C, Page 31</t>
  </si>
  <si>
    <t>Column (e): Exhibit ASR 1.1, WP C, Page 31</t>
  </si>
  <si>
    <t xml:space="preserve">     Line 16 - Exhibit ASR 1.1, WP C Page 38</t>
  </si>
  <si>
    <t>Column (c): Exhibit ASR 1.1, WP C, Page 39</t>
  </si>
  <si>
    <t>Column (d): Exhibit ASR 1.1, WP C, Page 39</t>
  </si>
  <si>
    <t>Column (e): Exhibit ASR 1.1, WP C, Page 39</t>
  </si>
  <si>
    <t xml:space="preserve">     Line 15 - Exhibit ASR 1.1, WP C Page 45</t>
  </si>
  <si>
    <t xml:space="preserve">     Line 16 - Exhibit ASR 1.1, WP C Page 46</t>
  </si>
  <si>
    <t>Column (c): Exhibit ASR 1.1, WP C, Page 47</t>
  </si>
  <si>
    <t>Column (d): Exhibit ASR 1.1, WP C, Page 47</t>
  </si>
  <si>
    <t>Column (e): Exhibit ASR 1.1, WP C, Page 47</t>
  </si>
  <si>
    <t xml:space="preserve">     Line 15 - Exhibit ASR 1.1, WP C Page 53</t>
  </si>
  <si>
    <t xml:space="preserve">     Line 16 - Exhibit ASR 1.1, WP C Page 54</t>
  </si>
  <si>
    <t>Column (c): Exhibit ASR 1.1, WP C, Page 55</t>
  </si>
  <si>
    <t>Column (d): Exhibit ASR 1.1, WP C, Page 55</t>
  </si>
  <si>
    <t>Column (e): Exhibit ASR 1.1, WP C, Page 55</t>
  </si>
  <si>
    <t xml:space="preserve">     Line 15 - Exhibit ASR 1.1, WP C Page 61</t>
  </si>
  <si>
    <t xml:space="preserve">     Line 16 - Exhibit ASR 1.1, WP C Page 62</t>
  </si>
  <si>
    <t>Column (c): Exhibit ASR 1.1, WP C, Page 63</t>
  </si>
  <si>
    <t>Column (d): Exhibit ASR 1.1, WP C, Page 63</t>
  </si>
  <si>
    <t>Column (e): Exhibit ASR 1.1, WP C, Page 63</t>
  </si>
  <si>
    <t xml:space="preserve">     Line 15 - Exhibit ASR 1.1, WP C Page 72</t>
  </si>
  <si>
    <t xml:space="preserve">     Line 16 - Exhibit ASR 1.1, WP C Page 73</t>
  </si>
  <si>
    <t>Column (c): Exhibit ASR 1.1, WP C, Page 74</t>
  </si>
  <si>
    <t>Column (d): Exhibit ASR 1.1, WP C, Page 74</t>
  </si>
  <si>
    <t>Column (e): Exhibit ASR 1.1, WP C, Page 74</t>
  </si>
  <si>
    <t xml:space="preserve"> To Exhibit BMG 1.1, WP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</si>
</sst>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mmmm\ d\,\ yyyy"/>
    <numFmt numFmtId="167" formatCode="0.000%"/>
    <numFmt numFmtId="168" formatCode="General_)"/>
    <numFmt numFmtId="169" formatCode="mmm\-yy_)"/>
    <numFmt numFmtId="170" formatCode="0.0%"/>
  </numFmts>
  <fonts count="11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  <xf numFmtId="0" fontId="7" fillId="0" borderId="0"/>
    <xf numFmtId="168" fontId="9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" fillId="0" borderId="0"/>
  </cellStyleXfs>
  <cellXfs count="146">
    <xf numFmtId="0" fontId="0" fillId="0" borderId="0" xfId="0"/>
    <xf numFmtId="0" fontId="5" fillId="0" borderId="0" xfId="4" applyFont="1"/>
    <xf numFmtId="0" fontId="4" fillId="0" borderId="2" xfId="4" applyFont="1" applyBorder="1"/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5" xfId="7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/>
    <xf numFmtId="0" fontId="5" fillId="0" borderId="5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5" xfId="8" applyFont="1" applyBorder="1" applyAlignment="1">
      <alignment horizontal="center"/>
    </xf>
    <xf numFmtId="0" fontId="5" fillId="2" borderId="0" xfId="8" applyFont="1" applyFill="1"/>
    <xf numFmtId="17" fontId="5" fillId="0" borderId="0" xfId="8" applyNumberFormat="1" applyFont="1"/>
    <xf numFmtId="17" fontId="5" fillId="0" borderId="0" xfId="8" applyNumberFormat="1" applyFont="1" applyAlignment="1">
      <alignment horizontal="right"/>
    </xf>
    <xf numFmtId="9" fontId="5" fillId="0" borderId="0" xfId="3" applyFont="1"/>
    <xf numFmtId="167" fontId="5" fillId="0" borderId="0" xfId="3" applyNumberFormat="1" applyFont="1"/>
    <xf numFmtId="43" fontId="5" fillId="0" borderId="0" xfId="8" applyNumberFormat="1" applyFont="1"/>
    <xf numFmtId="0" fontId="8" fillId="0" borderId="0" xfId="9" applyFont="1"/>
    <xf numFmtId="168" fontId="6" fillId="0" borderId="0" xfId="10" applyFont="1" applyAlignment="1">
      <alignment horizontal="centerContinuous"/>
    </xf>
    <xf numFmtId="168" fontId="10" fillId="0" borderId="0" xfId="10" applyFont="1" applyAlignment="1">
      <alignment horizontal="centerContinuous"/>
    </xf>
    <xf numFmtId="168" fontId="5" fillId="0" borderId="0" xfId="10" applyFont="1" applyAlignment="1">
      <alignment horizontal="centerContinuous"/>
    </xf>
    <xf numFmtId="168" fontId="5" fillId="0" borderId="0" xfId="10" applyFont="1"/>
    <xf numFmtId="168" fontId="4" fillId="0" borderId="0" xfId="10" applyFont="1" applyAlignment="1">
      <alignment horizontal="centerContinuous"/>
    </xf>
    <xf numFmtId="168" fontId="4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Continuous"/>
    </xf>
    <xf numFmtId="168" fontId="5" fillId="0" borderId="2" xfId="10" applyFont="1" applyBorder="1" applyAlignment="1">
      <alignment horizontal="center"/>
    </xf>
    <xf numFmtId="168" fontId="10" fillId="0" borderId="0" xfId="10" applyFont="1" applyAlignment="1">
      <alignment horizontal="center"/>
    </xf>
    <xf numFmtId="168" fontId="5" fillId="0" borderId="0" xfId="10" applyFont="1" applyAlignment="1">
      <alignment horizontal="center"/>
    </xf>
    <xf numFmtId="169" fontId="5" fillId="0" borderId="0" xfId="10" applyNumberFormat="1" applyFont="1"/>
    <xf numFmtId="44" fontId="5" fillId="0" borderId="0" xfId="2" applyFont="1" applyProtection="1"/>
    <xf numFmtId="39" fontId="5" fillId="0" borderId="0" xfId="10" applyNumberFormat="1" applyFont="1"/>
    <xf numFmtId="43" fontId="5" fillId="0" borderId="0" xfId="1" applyFont="1" applyProtection="1"/>
    <xf numFmtId="43" fontId="5" fillId="0" borderId="0" xfId="10" applyNumberFormat="1" applyFont="1"/>
    <xf numFmtId="43" fontId="5" fillId="0" borderId="5" xfId="10" applyNumberFormat="1" applyFont="1" applyBorder="1"/>
    <xf numFmtId="168" fontId="5" fillId="0" borderId="0" xfId="10" applyFont="1" applyAlignment="1">
      <alignment horizontal="right"/>
    </xf>
    <xf numFmtId="44" fontId="5" fillId="0" borderId="0" xfId="10" applyNumberFormat="1" applyFont="1"/>
    <xf numFmtId="7" fontId="5" fillId="0" borderId="0" xfId="10" applyNumberFormat="1" applyFont="1"/>
    <xf numFmtId="168" fontId="5" fillId="0" borderId="0" xfId="10" quotePrefix="1" applyFont="1" applyAlignment="1">
      <alignment horizontal="right"/>
    </xf>
    <xf numFmtId="44" fontId="5" fillId="0" borderId="7" xfId="10" applyNumberFormat="1" applyFont="1" applyBorder="1"/>
    <xf numFmtId="39" fontId="5" fillId="0" borderId="0" xfId="10" applyNumberFormat="1" applyFont="1" applyAlignment="1">
      <alignment horizontal="left"/>
    </xf>
    <xf numFmtId="43" fontId="5" fillId="0" borderId="0" xfId="11" applyNumberFormat="1" applyFont="1" applyProtection="1"/>
    <xf numFmtId="43" fontId="5" fillId="0" borderId="0" xfId="12" applyNumberFormat="1" applyFont="1" applyProtection="1"/>
    <xf numFmtId="43" fontId="5" fillId="0" borderId="5" xfId="12" applyNumberFormat="1" applyFont="1" applyBorder="1" applyProtection="1"/>
    <xf numFmtId="43" fontId="5" fillId="0" borderId="5" xfId="11" applyNumberFormat="1" applyFont="1" applyBorder="1" applyProtection="1"/>
    <xf numFmtId="40" fontId="5" fillId="0" borderId="0" xfId="11" applyFont="1" applyProtection="1"/>
    <xf numFmtId="39" fontId="5" fillId="0" borderId="0" xfId="10" applyNumberFormat="1" applyFont="1" applyAlignment="1">
      <alignment horizontal="center"/>
    </xf>
    <xf numFmtId="39" fontId="5" fillId="0" borderId="2" xfId="10" applyNumberFormat="1" applyFont="1" applyBorder="1" applyAlignment="1">
      <alignment horizontal="center"/>
    </xf>
    <xf numFmtId="168" fontId="5" fillId="0" borderId="0" xfId="10" applyFont="1" applyAlignment="1">
      <alignment horizontal="left"/>
    </xf>
    <xf numFmtId="10" fontId="5" fillId="0" borderId="0" xfId="10" applyNumberFormat="1" applyFont="1"/>
    <xf numFmtId="168" fontId="5" fillId="0" borderId="0" xfId="10" quotePrefix="1" applyFont="1" applyAlignment="1">
      <alignment horizontal="left"/>
    </xf>
    <xf numFmtId="44" fontId="5" fillId="0" borderId="7" xfId="12" applyNumberFormat="1" applyFont="1" applyBorder="1" applyProtection="1"/>
    <xf numFmtId="10" fontId="5" fillId="0" borderId="0" xfId="10" applyNumberFormat="1" applyFont="1" applyAlignment="1">
      <alignment horizontal="right"/>
    </xf>
    <xf numFmtId="0" fontId="5" fillId="0" borderId="0" xfId="13" applyFont="1"/>
    <xf numFmtId="17" fontId="5" fillId="0" borderId="0" xfId="13" applyNumberFormat="1" applyFont="1"/>
    <xf numFmtId="4" fontId="5" fillId="0" borderId="0" xfId="13" applyNumberFormat="1" applyFont="1"/>
    <xf numFmtId="0" fontId="5" fillId="0" borderId="0" xfId="0" applyFont="1"/>
    <xf numFmtId="165" fontId="5" fillId="0" borderId="0" xfId="1" applyNumberFormat="1" applyFont="1" applyProtection="1"/>
    <xf numFmtId="167" fontId="5" fillId="0" borderId="0" xfId="10" applyNumberFormat="1" applyFont="1"/>
    <xf numFmtId="170" fontId="5" fillId="0" borderId="0" xfId="10" applyNumberFormat="1" applyFont="1"/>
    <xf numFmtId="0" fontId="4" fillId="0" borderId="0" xfId="8" quotePrefix="1" applyFont="1" applyAlignment="1">
      <alignment horizontal="right"/>
    </xf>
    <xf numFmtId="0" fontId="5" fillId="0" borderId="0" xfId="7" applyFont="1" applyAlignment="1">
      <alignment horizontal="left"/>
    </xf>
    <xf numFmtId="0" fontId="5" fillId="0" borderId="2" xfId="7" applyFont="1" applyBorder="1" applyAlignment="1">
      <alignment horizontal="left"/>
    </xf>
    <xf numFmtId="0" fontId="5" fillId="0" borderId="5" xfId="7" applyFont="1" applyBorder="1" applyAlignment="1">
      <alignment horizontal="left"/>
    </xf>
    <xf numFmtId="0" fontId="5" fillId="0" borderId="5" xfId="8" applyFont="1" applyBorder="1"/>
    <xf numFmtId="168" fontId="5" fillId="0" borderId="2" xfId="10" applyFont="1" applyBorder="1" applyAlignment="1">
      <alignment horizontal="left"/>
    </xf>
    <xf numFmtId="0" fontId="5" fillId="0" borderId="0" xfId="8" applyFont="1"/>
    <xf numFmtId="0" fontId="4" fillId="0" borderId="2" xfId="4" applyFont="1" applyBorder="1" applyAlignment="1">
      <alignment horizontal="center"/>
    </xf>
    <xf numFmtId="0" fontId="4" fillId="0" borderId="0" xfId="10" applyNumberFormat="1" applyFont="1" applyAlignment="1">
      <alignment horizontal="center"/>
    </xf>
    <xf numFmtId="39" fontId="5" fillId="0" borderId="0" xfId="8" applyNumberFormat="1" applyFont="1" applyAlignment="1">
      <alignment horizontal="center"/>
    </xf>
    <xf numFmtId="10" fontId="4" fillId="0" borderId="0" xfId="3" applyNumberFormat="1" applyFont="1"/>
    <xf numFmtId="39" fontId="5" fillId="0" borderId="5" xfId="8" applyNumberFormat="1" applyFont="1" applyBorder="1" applyAlignment="1">
      <alignment horizontal="right"/>
    </xf>
    <xf numFmtId="39" fontId="5" fillId="0" borderId="0" xfId="8" applyNumberFormat="1" applyFont="1" applyAlignment="1">
      <alignment horizontal="right"/>
    </xf>
    <xf numFmtId="170" fontId="5" fillId="0" borderId="0" xfId="3" applyNumberFormat="1" applyFont="1"/>
    <xf numFmtId="17" fontId="4" fillId="0" borderId="0" xfId="8" applyNumberFormat="1" applyFont="1"/>
    <xf numFmtId="164" fontId="4" fillId="0" borderId="0" xfId="2" applyNumberFormat="1" applyFont="1"/>
    <xf numFmtId="17" fontId="4" fillId="0" borderId="0" xfId="8" quotePrefix="1" applyNumberFormat="1" applyFont="1"/>
    <xf numFmtId="10" fontId="4" fillId="0" borderId="0" xfId="3" applyNumberFormat="1" applyFont="1" applyFill="1"/>
    <xf numFmtId="167" fontId="5" fillId="0" borderId="0" xfId="3" applyNumberFormat="1" applyFont="1" applyFill="1"/>
    <xf numFmtId="170" fontId="5" fillId="0" borderId="0" xfId="3" applyNumberFormat="1" applyFont="1" applyFill="1"/>
    <xf numFmtId="164" fontId="4" fillId="0" borderId="0" xfId="2" applyNumberFormat="1" applyFont="1" applyFill="1"/>
    <xf numFmtId="17" fontId="4" fillId="0" borderId="0" xfId="13" applyNumberFormat="1" applyFont="1"/>
    <xf numFmtId="0" fontId="6" fillId="0" borderId="0" xfId="13" applyFont="1" applyAlignment="1">
      <alignment horizontal="center"/>
    </xf>
    <xf numFmtId="164" fontId="5" fillId="0" borderId="0" xfId="7" applyNumberFormat="1" applyFont="1"/>
    <xf numFmtId="164" fontId="5" fillId="0" borderId="3" xfId="2" applyNumberFormat="1" applyFont="1" applyBorder="1"/>
    <xf numFmtId="164" fontId="5" fillId="0" borderId="0" xfId="2" applyNumberFormat="1" applyFont="1" applyBorder="1"/>
    <xf numFmtId="164" fontId="5" fillId="0" borderId="0" xfId="2" applyNumberFormat="1" applyFont="1" applyProtection="1"/>
    <xf numFmtId="164" fontId="5" fillId="0" borderId="0" xfId="10" applyNumberFormat="1" applyFont="1"/>
    <xf numFmtId="164" fontId="5" fillId="0" borderId="0" xfId="1" applyNumberFormat="1" applyFont="1" applyProtection="1"/>
    <xf numFmtId="164" fontId="5" fillId="0" borderId="7" xfId="10" applyNumberFormat="1" applyFont="1" applyBorder="1"/>
    <xf numFmtId="164" fontId="5" fillId="0" borderId="0" xfId="10" applyNumberFormat="1" applyFont="1" applyAlignment="1">
      <alignment horizontal="left"/>
    </xf>
    <xf numFmtId="165" fontId="5" fillId="0" borderId="5" xfId="1" applyNumberFormat="1" applyFont="1" applyBorder="1" applyProtection="1"/>
    <xf numFmtId="165" fontId="5" fillId="0" borderId="5" xfId="1" applyNumberFormat="1" applyFont="1" applyBorder="1"/>
    <xf numFmtId="164" fontId="5" fillId="0" borderId="0" xfId="11" applyNumberFormat="1" applyFont="1" applyProtection="1"/>
    <xf numFmtId="164" fontId="5" fillId="0" borderId="0" xfId="10" applyNumberFormat="1" applyFont="1" applyAlignment="1">
      <alignment horizontal="center"/>
    </xf>
    <xf numFmtId="164" fontId="5" fillId="0" borderId="7" xfId="12" applyNumberFormat="1" applyFont="1" applyBorder="1" applyProtection="1"/>
    <xf numFmtId="164" fontId="5" fillId="0" borderId="0" xfId="10" applyNumberFormat="1" applyFont="1" applyAlignment="1">
      <alignment horizontal="right"/>
    </xf>
    <xf numFmtId="165" fontId="5" fillId="0" borderId="0" xfId="10" applyNumberFormat="1" applyFont="1"/>
    <xf numFmtId="165" fontId="5" fillId="0" borderId="5" xfId="10" applyNumberFormat="1" applyFont="1" applyBorder="1"/>
    <xf numFmtId="165" fontId="5" fillId="0" borderId="0" xfId="10" applyNumberFormat="1" applyFont="1" applyAlignment="1">
      <alignment horizontal="left"/>
    </xf>
    <xf numFmtId="164" fontId="5" fillId="0" borderId="7" xfId="2" applyNumberFormat="1" applyFont="1" applyBorder="1"/>
    <xf numFmtId="164" fontId="5" fillId="0" borderId="7" xfId="2" applyNumberFormat="1" applyFont="1" applyBorder="1" applyProtection="1"/>
    <xf numFmtId="0" fontId="2" fillId="0" borderId="0" xfId="0" applyFont="1" applyAlignment="1">
      <alignment horizontal="center"/>
    </xf>
    <xf numFmtId="0" fontId="6" fillId="0" borderId="0" xfId="8" applyFont="1" applyAlignment="1">
      <alignment horizontal="center"/>
    </xf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4" fillId="0" borderId="0" xfId="7" applyFont="1" applyAlignment="1">
      <alignment horizontal="center"/>
    </xf>
    <xf numFmtId="0" fontId="4" fillId="0" borderId="0" xfId="8" applyFont="1" applyAlignment="1">
      <alignment horizontal="center"/>
    </xf>
    <xf numFmtId="0" fontId="6" fillId="0" borderId="0" xfId="8" applyFont="1" applyAlignment="1">
      <alignment horizontal="center"/>
    </xf>
    <xf numFmtId="0" fontId="4" fillId="0" borderId="0" xfId="8" applyFont="1" applyAlignment="1">
      <alignment horizontal="right"/>
    </xf>
    <xf numFmtId="0" fontId="5" fillId="0" borderId="0" xfId="8" applyFont="1" applyAlignment="1">
      <alignment horizontal="right"/>
    </xf>
    <xf numFmtId="166" fontId="4" fillId="0" borderId="0" xfId="8" applyNumberFormat="1" applyFont="1"/>
    <xf numFmtId="168" fontId="6" fillId="0" borderId="0" xfId="10" applyFont="1" applyAlignment="1">
      <alignment horizontal="center"/>
    </xf>
    <xf numFmtId="168" fontId="4" fillId="0" borderId="0" xfId="10" applyFont="1" applyAlignment="1">
      <alignment horizontal="center"/>
    </xf>
    <xf numFmtId="0" fontId="4" fillId="0" borderId="0" xfId="10" applyNumberFormat="1" applyFont="1" applyAlignment="1">
      <alignment horizontal="center"/>
    </xf>
    <xf numFmtId="0" fontId="6" fillId="0" borderId="0" xfId="13" applyFont="1" applyAlignment="1">
      <alignment horizontal="center"/>
    </xf>
    <xf numFmtId="0" fontId="4" fillId="0" borderId="0" xfId="13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8" applyFont="1"/>
    <xf numFmtId="0" fontId="5" fillId="0" borderId="0" xfId="8" applyFont="1"/>
  </cellXfs>
  <cellStyles count="14">
    <cellStyle name="Comma" xfId="1" builtinId="3"/>
    <cellStyle name="Comma 2" xfId="5" xr:uid="{00000000-0005-0000-0000-000001000000}"/>
    <cellStyle name="Comma_CB3DustCollector" xfId="11" xr:uid="{00000000-0005-0000-0000-000002000000}"/>
    <cellStyle name="Currency" xfId="2" builtinId="4"/>
    <cellStyle name="Currency_CB3DustCollector" xfId="12" xr:uid="{00000000-0005-0000-0000-000004000000}"/>
    <cellStyle name="Normal" xfId="0" builtinId="0"/>
    <cellStyle name="Normal 2" xfId="6" xr:uid="{00000000-0005-0000-0000-000006000000}"/>
    <cellStyle name="Normal 3" xfId="13" xr:uid="{00000000-0005-0000-0000-000007000000}"/>
    <cellStyle name="Normal_CB3DustCollector" xfId="10" xr:uid="{00000000-0005-0000-0000-000008000000}"/>
    <cellStyle name="Normal_GasProjSum_SD" xfId="7" xr:uid="{00000000-0005-0000-0000-000009000000}"/>
    <cellStyle name="Normal_Project 11045 - Work Management System - Workpaper B" xfId="9" xr:uid="{00000000-0005-0000-0000-00000A000000}"/>
    <cellStyle name="Normal_Project 11094" xfId="8" xr:uid="{00000000-0005-0000-0000-00000B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4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5" Type="http://schemas.openxmlformats.org/officeDocument/2006/relationships/image" Target="../media/image4.png"/><Relationship Id="rId4" Type="http://schemas.openxmlformats.org/officeDocument/2006/relationships/image" Target="../media/image2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259079</xdr:colOff>
      <xdr:row>12</xdr:row>
      <xdr:rowOff>36830</xdr:rowOff>
    </xdr:from>
    <xdr:to>
      <xdr:col>11</xdr:col>
      <xdr:colOff>59052</xdr:colOff>
      <xdr:row>48</xdr:row>
      <xdr:rowOff>94615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C55CF5-26C5-A31D-08B1-4B5DCE9FC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704" y="1878330"/>
          <a:ext cx="5288913" cy="5214620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352424</xdr:colOff>
      <xdr:row>72</xdr:row>
      <xdr:rowOff>50901</xdr:rowOff>
    </xdr:from>
    <xdr:to>
      <xdr:col>10</xdr:col>
      <xdr:colOff>400801</xdr:colOff>
      <xdr:row>117</xdr:row>
      <xdr:rowOff>19684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F06C31-50AC-7BE9-A57E-2380E840C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049" y="10147401"/>
          <a:ext cx="4934067" cy="6384823"/>
        </a:xfrm>
        <a:prstGeom prst="rect">
          <a:avLst/>
        </a:prstGeom>
      </xdr:spPr>
    </xdr:pic>
    <xdr:clientData/>
  </xdr:twoCellAnchor>
  <xdr:twoCellAnchor editAs="oneCell">
    <xdr:from>
      <xdr:col>1</xdr:col>
      <xdr:colOff>551816</xdr:colOff>
      <xdr:row>138</xdr:row>
      <xdr:rowOff>21955</xdr:rowOff>
    </xdr:from>
    <xdr:to>
      <xdr:col>10</xdr:col>
      <xdr:colOff>170816</xdr:colOff>
      <xdr:row>180</xdr:row>
      <xdr:rowOff>609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765C0D-D536-C3E8-8BAC-2B2EAC135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3441" y="19262455"/>
          <a:ext cx="4512310" cy="5977499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182</xdr:row>
      <xdr:rowOff>0</xdr:rowOff>
    </xdr:from>
    <xdr:to>
      <xdr:col>11</xdr:col>
      <xdr:colOff>250428</xdr:colOff>
      <xdr:row>194</xdr:row>
      <xdr:rowOff>117475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936854-1D52-552D-BCB7-377CBAEE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527000"/>
          <a:ext cx="5707618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63500</xdr:rowOff>
    </xdr:from>
    <xdr:to>
      <xdr:col>10</xdr:col>
      <xdr:colOff>282702</xdr:colOff>
      <xdr:row>49</xdr:row>
      <xdr:rowOff>11474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770722-D488-CE39-47A5-71B4D88B2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746250"/>
          <a:ext cx="5295392" cy="5218474"/>
        </a:xfrm>
        <a:prstGeom prst="rect">
          <a:avLst/>
        </a:prstGeom>
      </xdr:spPr>
    </xdr:pic>
    <xdr:clientData/>
  </xdr:twoCellAnchor>
  <xdr:twoCellAnchor editAs="oneCell">
    <xdr:from>
      <xdr:col>2</xdr:col>
      <xdr:colOff>79374</xdr:colOff>
      <xdr:row>62</xdr:row>
      <xdr:rowOff>92075</xdr:rowOff>
    </xdr:from>
    <xdr:to>
      <xdr:col>10</xdr:col>
      <xdr:colOff>269113</xdr:colOff>
      <xdr:row>109</xdr:row>
      <xdr:rowOff>79375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F5CBFD-E4EA-A29F-E25F-8EA49EFED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49" y="8632825"/>
          <a:ext cx="5872989" cy="700405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123</xdr:row>
      <xdr:rowOff>95251</xdr:rowOff>
    </xdr:from>
    <xdr:to>
      <xdr:col>9</xdr:col>
      <xdr:colOff>91440</xdr:colOff>
      <xdr:row>161</xdr:row>
      <xdr:rowOff>20973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D6F4DA-725C-3AF9-B0C3-6414DE5FB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825" y="17494251"/>
          <a:ext cx="4495800" cy="536259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161</xdr:row>
      <xdr:rowOff>47625</xdr:rowOff>
    </xdr:from>
    <xdr:to>
      <xdr:col>10</xdr:col>
      <xdr:colOff>130413</xdr:colOff>
      <xdr:row>174</xdr:row>
      <xdr:rowOff>41275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EBF3329-7A0C-4796-BCDD-35AB1A4C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875875"/>
          <a:ext cx="5758418" cy="185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12</xdr:row>
      <xdr:rowOff>25400</xdr:rowOff>
    </xdr:from>
    <xdr:to>
      <xdr:col>11</xdr:col>
      <xdr:colOff>96010</xdr:colOff>
      <xdr:row>45</xdr:row>
      <xdr:rowOff>15853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513762-2BCA-1BC9-754B-56D3BF8B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925" y="1724025"/>
          <a:ext cx="5268085" cy="4685643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58</xdr:row>
      <xdr:rowOff>12700</xdr:rowOff>
    </xdr:from>
    <xdr:to>
      <xdr:col>10</xdr:col>
      <xdr:colOff>571628</xdr:colOff>
      <xdr:row>103</xdr:row>
      <xdr:rowOff>21211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14D460-7615-7FC9-F558-DF749691C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050" y="7997825"/>
          <a:ext cx="5283328" cy="6684266"/>
        </a:xfrm>
        <a:prstGeom prst="rect">
          <a:avLst/>
        </a:prstGeom>
      </xdr:spPr>
    </xdr:pic>
    <xdr:clientData/>
  </xdr:twoCellAnchor>
  <xdr:twoCellAnchor editAs="oneCell">
    <xdr:from>
      <xdr:col>1</xdr:col>
      <xdr:colOff>608965</xdr:colOff>
      <xdr:row>117</xdr:row>
      <xdr:rowOff>23495</xdr:rowOff>
    </xdr:from>
    <xdr:to>
      <xdr:col>10</xdr:col>
      <xdr:colOff>207645</xdr:colOff>
      <xdr:row>160</xdr:row>
      <xdr:rowOff>57189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7BD6E6-976B-0E69-0D2D-3F6271365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4240" y="16596995"/>
          <a:ext cx="4696460" cy="6177319"/>
        </a:xfrm>
        <a:prstGeom prst="rect">
          <a:avLst/>
        </a:prstGeom>
      </xdr:spPr>
    </xdr:pic>
    <xdr:clientData/>
  </xdr:twoCellAnchor>
  <xdr:twoCellAnchor editAs="oneCell">
    <xdr:from>
      <xdr:col>1</xdr:col>
      <xdr:colOff>354965</xdr:colOff>
      <xdr:row>178</xdr:row>
      <xdr:rowOff>113030</xdr:rowOff>
    </xdr:from>
    <xdr:to>
      <xdr:col>11</xdr:col>
      <xdr:colOff>92224</xdr:colOff>
      <xdr:row>216</xdr:row>
      <xdr:rowOff>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84A91C-7889-22E9-7BBA-FEB964CC9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6590" y="23179405"/>
          <a:ext cx="5658634" cy="4705405"/>
        </a:xfrm>
        <a:prstGeom prst="rect">
          <a:avLst/>
        </a:prstGeom>
      </xdr:spPr>
    </xdr:pic>
    <xdr:clientData/>
  </xdr:twoCellAnchor>
  <xdr:twoCellAnchor editAs="oneCell">
    <xdr:from>
      <xdr:col>1</xdr:col>
      <xdr:colOff>283845</xdr:colOff>
      <xdr:row>217</xdr:row>
      <xdr:rowOff>107315</xdr:rowOff>
    </xdr:from>
    <xdr:to>
      <xdr:col>11</xdr:col>
      <xdr:colOff>381238</xdr:colOff>
      <xdr:row>230</xdr:row>
      <xdr:rowOff>17145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87C5C7-639C-4E77-A8AB-AD913ADE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" y="28126690"/>
          <a:ext cx="6018768" cy="156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62</xdr:row>
      <xdr:rowOff>92075</xdr:rowOff>
    </xdr:from>
    <xdr:to>
      <xdr:col>11</xdr:col>
      <xdr:colOff>20662</xdr:colOff>
      <xdr:row>107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01B520-F2B6-AF20-91A6-0B7E6E1B5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05825"/>
          <a:ext cx="5509602" cy="665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340360</xdr:colOff>
      <xdr:row>119</xdr:row>
      <xdr:rowOff>56515</xdr:rowOff>
    </xdr:from>
    <xdr:to>
      <xdr:col>11</xdr:col>
      <xdr:colOff>103018</xdr:colOff>
      <xdr:row>166</xdr:row>
      <xdr:rowOff>110736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1F94615-A675-FC57-2A70-449FBB114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985" y="15772765"/>
          <a:ext cx="5689748" cy="6023221"/>
        </a:xfrm>
        <a:prstGeom prst="rect">
          <a:avLst/>
        </a:prstGeom>
      </xdr:spPr>
    </xdr:pic>
    <xdr:clientData/>
  </xdr:twoCellAnchor>
  <xdr:twoCellAnchor editAs="oneCell">
    <xdr:from>
      <xdr:col>1</xdr:col>
      <xdr:colOff>135890</xdr:colOff>
      <xdr:row>167</xdr:row>
      <xdr:rowOff>109855</xdr:rowOff>
    </xdr:from>
    <xdr:to>
      <xdr:col>11</xdr:col>
      <xdr:colOff>285353</xdr:colOff>
      <xdr:row>179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276A1B1-3A51-460D-AFD4-01F71106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15" y="21922105"/>
          <a:ext cx="6074648" cy="1494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215265</xdr:colOff>
      <xdr:row>10</xdr:row>
      <xdr:rowOff>24765</xdr:rowOff>
    </xdr:from>
    <xdr:to>
      <xdr:col>11</xdr:col>
      <xdr:colOff>473860</xdr:colOff>
      <xdr:row>49</xdr:row>
      <xdr:rowOff>58131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F72331C-5571-492C-C2EB-0D73AAD18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0065" y="1472565"/>
          <a:ext cx="6129805" cy="52206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384175</xdr:colOff>
      <xdr:row>10</xdr:row>
      <xdr:rowOff>95250</xdr:rowOff>
    </xdr:from>
    <xdr:to>
      <xdr:col>11</xdr:col>
      <xdr:colOff>131</xdr:colOff>
      <xdr:row>44</xdr:row>
      <xdr:rowOff>111125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0AD088-416F-D437-BA79-1502FBC1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793875"/>
          <a:ext cx="5283331" cy="4873625"/>
        </a:xfrm>
        <a:prstGeom prst="rect">
          <a:avLst/>
        </a:prstGeom>
      </xdr:spPr>
    </xdr:pic>
    <xdr:clientData/>
  </xdr:twoCellAnchor>
  <xdr:twoCellAnchor editAs="oneCell">
    <xdr:from>
      <xdr:col>1</xdr:col>
      <xdr:colOff>264160</xdr:colOff>
      <xdr:row>53</xdr:row>
      <xdr:rowOff>104775</xdr:rowOff>
    </xdr:from>
    <xdr:to>
      <xdr:col>11</xdr:col>
      <xdr:colOff>112613</xdr:colOff>
      <xdr:row>99</xdr:row>
      <xdr:rowOff>37465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A3A69D-C225-4708-CB7B-41EF26A30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785" y="7454900"/>
          <a:ext cx="5769828" cy="6203315"/>
        </a:xfrm>
        <a:prstGeom prst="rect">
          <a:avLst/>
        </a:prstGeom>
      </xdr:spPr>
    </xdr:pic>
    <xdr:clientData/>
  </xdr:twoCellAnchor>
  <xdr:twoCellAnchor editAs="oneCell">
    <xdr:from>
      <xdr:col>1</xdr:col>
      <xdr:colOff>263525</xdr:colOff>
      <xdr:row>115</xdr:row>
      <xdr:rowOff>37465</xdr:rowOff>
    </xdr:from>
    <xdr:to>
      <xdr:col>11</xdr:col>
      <xdr:colOff>12848</xdr:colOff>
      <xdr:row>163</xdr:row>
      <xdr:rowOff>76462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FA0E81-A05C-A256-7469-B7AC85BC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5150" y="15880715"/>
          <a:ext cx="5670698" cy="613499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164</xdr:row>
      <xdr:rowOff>95250</xdr:rowOff>
    </xdr:from>
    <xdr:to>
      <xdr:col>11</xdr:col>
      <xdr:colOff>200898</xdr:colOff>
      <xdr:row>176</xdr:row>
      <xdr:rowOff>64135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2552EF-D125-43DE-9CD6-EDC63C02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22161500"/>
          <a:ext cx="6074648" cy="149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12</xdr:row>
      <xdr:rowOff>19050</xdr:rowOff>
    </xdr:from>
    <xdr:to>
      <xdr:col>11</xdr:col>
      <xdr:colOff>397770</xdr:colOff>
      <xdr:row>49</xdr:row>
      <xdr:rowOff>98492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6FFA0D-2BC6-22AF-AB89-11F2C6C0D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1701800"/>
          <a:ext cx="6209290" cy="5365817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66</xdr:row>
      <xdr:rowOff>12700</xdr:rowOff>
    </xdr:from>
    <xdr:to>
      <xdr:col>11</xdr:col>
      <xdr:colOff>453660</xdr:colOff>
      <xdr:row>119</xdr:row>
      <xdr:rowOff>381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FB81BB-34A0-B9A8-043A-005F65849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9791700"/>
          <a:ext cx="6279785" cy="7655306"/>
        </a:xfrm>
        <a:prstGeom prst="rect">
          <a:avLst/>
        </a:prstGeom>
      </xdr:spPr>
    </xdr:pic>
    <xdr:clientData/>
  </xdr:twoCellAnchor>
  <xdr:twoCellAnchor editAs="oneCell">
    <xdr:from>
      <xdr:col>1</xdr:col>
      <xdr:colOff>422275</xdr:colOff>
      <xdr:row>131</xdr:row>
      <xdr:rowOff>24130</xdr:rowOff>
    </xdr:from>
    <xdr:to>
      <xdr:col>11</xdr:col>
      <xdr:colOff>19685</xdr:colOff>
      <xdr:row>180</xdr:row>
      <xdr:rowOff>87480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865592-68B7-4FE7-3F0B-EDB0151E2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3900" y="16994505"/>
          <a:ext cx="5514975" cy="6280635"/>
        </a:xfrm>
        <a:prstGeom prst="rect">
          <a:avLst/>
        </a:prstGeom>
      </xdr:spPr>
    </xdr:pic>
    <xdr:clientData/>
  </xdr:twoCellAnchor>
  <xdr:twoCellAnchor editAs="oneCell">
    <xdr:from>
      <xdr:col>1</xdr:col>
      <xdr:colOff>383541</xdr:colOff>
      <xdr:row>181</xdr:row>
      <xdr:rowOff>2540</xdr:rowOff>
    </xdr:from>
    <xdr:to>
      <xdr:col>11</xdr:col>
      <xdr:colOff>111126</xdr:colOff>
      <xdr:row>184</xdr:row>
      <xdr:rowOff>21159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C60055-2D64-A8C8-708E-215093193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166" y="23322915"/>
          <a:ext cx="5648960" cy="407239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111125</xdr:colOff>
      <xdr:row>185</xdr:row>
      <xdr:rowOff>67945</xdr:rowOff>
    </xdr:from>
    <xdr:to>
      <xdr:col>11</xdr:col>
      <xdr:colOff>566160</xdr:colOff>
      <xdr:row>197</xdr:row>
      <xdr:rowOff>93980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6C82CB9-1C13-47A1-84D5-5EB7FA37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24753570"/>
          <a:ext cx="6678035" cy="1550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441325</xdr:colOff>
      <xdr:row>13</xdr:row>
      <xdr:rowOff>82550</xdr:rowOff>
    </xdr:from>
    <xdr:to>
      <xdr:col>11</xdr:col>
      <xdr:colOff>36954</xdr:colOff>
      <xdr:row>48</xdr:row>
      <xdr:rowOff>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FB17E0-8DEB-1B9F-AC31-CF9EB97F8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08175"/>
          <a:ext cx="5263004" cy="4894582"/>
        </a:xfrm>
        <a:prstGeom prst="rect">
          <a:avLst/>
        </a:prstGeom>
      </xdr:spPr>
    </xdr:pic>
    <xdr:clientData/>
  </xdr:twoCellAnchor>
  <xdr:twoCellAnchor editAs="oneCell">
    <xdr:from>
      <xdr:col>1</xdr:col>
      <xdr:colOff>377825</xdr:colOff>
      <xdr:row>63</xdr:row>
      <xdr:rowOff>107950</xdr:rowOff>
    </xdr:from>
    <xdr:to>
      <xdr:col>10</xdr:col>
      <xdr:colOff>591310</xdr:colOff>
      <xdr:row>108</xdr:row>
      <xdr:rowOff>40230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AD2DAC-B7FD-6F18-F8DE-302BAE7D3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9450" y="8791575"/>
          <a:ext cx="5268085" cy="6456905"/>
        </a:xfrm>
        <a:prstGeom prst="rect">
          <a:avLst/>
        </a:prstGeom>
      </xdr:spPr>
    </xdr:pic>
    <xdr:clientData/>
  </xdr:twoCellAnchor>
  <xdr:twoCellAnchor editAs="oneCell">
    <xdr:from>
      <xdr:col>1</xdr:col>
      <xdr:colOff>414655</xdr:colOff>
      <xdr:row>120</xdr:row>
      <xdr:rowOff>104140</xdr:rowOff>
    </xdr:from>
    <xdr:to>
      <xdr:col>10</xdr:col>
      <xdr:colOff>593076</xdr:colOff>
      <xdr:row>164</xdr:row>
      <xdr:rowOff>101174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D50E92-BF79-D5E5-BAA3-A6AF9C1A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6280" y="15677515"/>
          <a:ext cx="5470511" cy="55926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63500</xdr:rowOff>
    </xdr:from>
    <xdr:to>
      <xdr:col>11</xdr:col>
      <xdr:colOff>533042</xdr:colOff>
      <xdr:row>177</xdr:row>
      <xdr:rowOff>35560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2402AB-7186-4703-B84F-C598044E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45875"/>
          <a:ext cx="6502042" cy="168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460375</xdr:colOff>
      <xdr:row>11</xdr:row>
      <xdr:rowOff>25400</xdr:rowOff>
    </xdr:from>
    <xdr:to>
      <xdr:col>11</xdr:col>
      <xdr:colOff>17899</xdr:colOff>
      <xdr:row>45</xdr:row>
      <xdr:rowOff>98432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DF5247-DDC4-D2AB-32AD-E85489A6D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565275"/>
          <a:ext cx="5224899" cy="4923162"/>
        </a:xfrm>
        <a:prstGeom prst="rect">
          <a:avLst/>
        </a:prstGeom>
      </xdr:spPr>
    </xdr:pic>
    <xdr:clientData/>
  </xdr:twoCellAnchor>
  <xdr:twoCellAnchor editAs="oneCell">
    <xdr:from>
      <xdr:col>1</xdr:col>
      <xdr:colOff>365125</xdr:colOff>
      <xdr:row>63</xdr:row>
      <xdr:rowOff>111125</xdr:rowOff>
    </xdr:from>
    <xdr:to>
      <xdr:col>10</xdr:col>
      <xdr:colOff>551939</xdr:colOff>
      <xdr:row>109</xdr:row>
      <xdr:rowOff>19288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3AC875-94A9-D071-4194-E7DDFB56A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" y="8794750"/>
          <a:ext cx="5258559" cy="6554073"/>
        </a:xfrm>
        <a:prstGeom prst="rect">
          <a:avLst/>
        </a:prstGeom>
      </xdr:spPr>
    </xdr:pic>
    <xdr:clientData/>
  </xdr:twoCellAnchor>
  <xdr:twoCellAnchor editAs="oneCell">
    <xdr:from>
      <xdr:col>1</xdr:col>
      <xdr:colOff>527685</xdr:colOff>
      <xdr:row>122</xdr:row>
      <xdr:rowOff>91440</xdr:rowOff>
    </xdr:from>
    <xdr:to>
      <xdr:col>10</xdr:col>
      <xdr:colOff>321945</xdr:colOff>
      <xdr:row>164</xdr:row>
      <xdr:rowOff>60818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0FF5FE-1694-DB60-6891-28412F601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9310" y="15918815"/>
          <a:ext cx="5093970" cy="5307188"/>
        </a:xfrm>
        <a:prstGeom prst="rect">
          <a:avLst/>
        </a:prstGeom>
      </xdr:spPr>
    </xdr:pic>
    <xdr:clientData/>
  </xdr:twoCellAnchor>
  <xdr:twoCellAnchor editAs="oneCell">
    <xdr:from>
      <xdr:col>1</xdr:col>
      <xdr:colOff>83185</xdr:colOff>
      <xdr:row>166</xdr:row>
      <xdr:rowOff>63500</xdr:rowOff>
    </xdr:from>
    <xdr:to>
      <xdr:col>11</xdr:col>
      <xdr:colOff>365357</xdr:colOff>
      <xdr:row>176</xdr:row>
      <xdr:rowOff>81280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7A0EA2-D06A-4B8A-BECF-5E584F0F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" y="24288750"/>
          <a:ext cx="5949547" cy="144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Layout" zoomScaleNormal="100" workbookViewId="0">
      <selection sqref="A1:H1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30"/>
      <c r="B1" s="130"/>
      <c r="C1" s="130"/>
      <c r="D1" s="130"/>
      <c r="E1" s="130"/>
      <c r="F1" s="130"/>
      <c r="G1" s="130"/>
      <c r="H1" s="130"/>
    </row>
    <row r="2" spans="1:8" x14ac:dyDescent="0.2">
      <c r="A2" s="130"/>
      <c r="B2" s="130"/>
      <c r="C2" s="130"/>
      <c r="D2" s="130"/>
      <c r="E2" s="130"/>
      <c r="F2" s="130"/>
      <c r="G2" s="130"/>
      <c r="H2" s="130"/>
    </row>
    <row r="4" spans="1:8" x14ac:dyDescent="0.2">
      <c r="A4" s="130"/>
      <c r="B4" s="130"/>
      <c r="C4" s="130"/>
      <c r="D4" s="130"/>
      <c r="E4" s="130"/>
      <c r="F4" s="130"/>
      <c r="G4" s="130"/>
      <c r="H4" s="130"/>
    </row>
    <row r="5" spans="1:8" x14ac:dyDescent="0.2">
      <c r="A5" s="130" t="s">
        <v>0</v>
      </c>
      <c r="B5" s="130"/>
      <c r="C5" s="130"/>
      <c r="D5" s="130"/>
      <c r="E5" s="130"/>
      <c r="F5" s="130"/>
      <c r="G5" s="130"/>
      <c r="H5" s="130"/>
    </row>
    <row r="6" spans="1:8" x14ac:dyDescent="0.2">
      <c r="A6" s="4" t="s">
        <v>1</v>
      </c>
    </row>
    <row r="7" spans="1:8" ht="12" thickBot="1" x14ac:dyDescent="0.25">
      <c r="A7" s="2" t="s">
        <v>2</v>
      </c>
      <c r="C7" s="128" t="s">
        <v>3</v>
      </c>
      <c r="D7" s="129"/>
      <c r="F7" s="90" t="s">
        <v>4</v>
      </c>
      <c r="H7" s="90" t="s">
        <v>5</v>
      </c>
    </row>
    <row r="8" spans="1:8" x14ac:dyDescent="0.2">
      <c r="A8" s="4"/>
      <c r="C8" s="127" t="s">
        <v>6</v>
      </c>
      <c r="D8" s="127"/>
      <c r="F8" s="28" t="s">
        <v>7</v>
      </c>
      <c r="H8" s="28" t="s">
        <v>8</v>
      </c>
    </row>
    <row r="9" spans="1:8" x14ac:dyDescent="0.2">
      <c r="A9" s="4"/>
      <c r="C9" s="28"/>
      <c r="F9" s="28"/>
      <c r="H9" s="28"/>
    </row>
    <row r="10" spans="1:8" x14ac:dyDescent="0.2">
      <c r="A10" s="1">
        <v>1</v>
      </c>
      <c r="C10" s="1" t="s">
        <v>9</v>
      </c>
    </row>
    <row r="11" spans="1:8" x14ac:dyDescent="0.2">
      <c r="A11" s="1">
        <f t="shared" ref="A11:A34" si="0">A10+1</f>
        <v>2</v>
      </c>
      <c r="C11" s="1" t="s">
        <v>10</v>
      </c>
      <c r="F11" s="3" t="s">
        <v>10</v>
      </c>
      <c r="H11" s="1" t="s">
        <v>10</v>
      </c>
    </row>
    <row r="12" spans="1:8" x14ac:dyDescent="0.2">
      <c r="A12" s="1">
        <f t="shared" si="0"/>
        <v>3</v>
      </c>
      <c r="C12" s="4" t="s">
        <v>11</v>
      </c>
      <c r="H12" s="1" t="s">
        <v>10</v>
      </c>
    </row>
    <row r="13" spans="1:8" x14ac:dyDescent="0.2">
      <c r="A13" s="1">
        <f t="shared" si="0"/>
        <v>4</v>
      </c>
    </row>
    <row r="14" spans="1:8" x14ac:dyDescent="0.2">
      <c r="A14" s="1">
        <f t="shared" si="0"/>
        <v>5</v>
      </c>
      <c r="C14" s="4" t="s">
        <v>12</v>
      </c>
      <c r="D14" s="5" t="s">
        <v>10</v>
      </c>
    </row>
    <row r="15" spans="1:8" x14ac:dyDescent="0.2">
      <c r="A15" s="1">
        <f t="shared" si="0"/>
        <v>6</v>
      </c>
      <c r="C15" s="1" t="s">
        <v>13</v>
      </c>
      <c r="D15" s="5" t="s">
        <v>10</v>
      </c>
      <c r="F15" s="6">
        <f>'WP C, pg 2 &amp; 3'!F21</f>
        <v>0</v>
      </c>
      <c r="H15" s="1" t="s">
        <v>14</v>
      </c>
    </row>
    <row r="16" spans="1:8" x14ac:dyDescent="0.2">
      <c r="A16" s="1">
        <f t="shared" si="0"/>
        <v>7</v>
      </c>
      <c r="C16" s="1" t="s">
        <v>15</v>
      </c>
      <c r="F16" s="3">
        <f>SUM('WP C, pg 2 &amp; 3'!H21)</f>
        <v>0</v>
      </c>
      <c r="H16" s="1" t="s">
        <v>14</v>
      </c>
    </row>
    <row r="17" spans="1:8" x14ac:dyDescent="0.2">
      <c r="A17" s="1">
        <f t="shared" si="0"/>
        <v>8</v>
      </c>
      <c r="C17" s="1" t="s">
        <v>16</v>
      </c>
      <c r="F17" s="7">
        <f>SUM('WP C, pg 2 &amp; 3'!J21)</f>
        <v>0</v>
      </c>
      <c r="H17" s="1" t="s">
        <v>14</v>
      </c>
    </row>
    <row r="18" spans="1:8" x14ac:dyDescent="0.2">
      <c r="A18" s="1">
        <f t="shared" si="0"/>
        <v>9</v>
      </c>
      <c r="C18" s="1" t="s">
        <v>17</v>
      </c>
      <c r="F18" s="7">
        <f>SUM('WP C, pg 2 &amp; 3'!L21)</f>
        <v>4986241.41</v>
      </c>
      <c r="H18" s="1" t="s">
        <v>14</v>
      </c>
    </row>
    <row r="19" spans="1:8" ht="12" thickBot="1" x14ac:dyDescent="0.25">
      <c r="A19" s="1">
        <f t="shared" si="0"/>
        <v>10</v>
      </c>
      <c r="C19" s="1" t="s">
        <v>18</v>
      </c>
      <c r="F19" s="7">
        <f>SUM('WP C, pg 2 &amp; 3'!N21)</f>
        <v>0</v>
      </c>
      <c r="H19" s="1" t="s">
        <v>14</v>
      </c>
    </row>
    <row r="20" spans="1:8" ht="12" thickBot="1" x14ac:dyDescent="0.25">
      <c r="A20" s="1">
        <f t="shared" si="0"/>
        <v>11</v>
      </c>
      <c r="C20" s="4" t="s">
        <v>19</v>
      </c>
      <c r="F20" s="8">
        <f>SUM(F15:F19)</f>
        <v>4986241.41</v>
      </c>
      <c r="H20" s="1" t="s">
        <v>20</v>
      </c>
    </row>
    <row r="21" spans="1:8" x14ac:dyDescent="0.2">
      <c r="A21" s="1">
        <f t="shared" si="0"/>
        <v>12</v>
      </c>
    </row>
    <row r="22" spans="1:8" x14ac:dyDescent="0.2">
      <c r="A22" s="1">
        <f t="shared" si="0"/>
        <v>13</v>
      </c>
      <c r="C22" s="4" t="s">
        <v>21</v>
      </c>
    </row>
    <row r="23" spans="1:8" x14ac:dyDescent="0.2">
      <c r="A23" s="1">
        <f t="shared" si="0"/>
        <v>14</v>
      </c>
      <c r="C23" s="1" t="s">
        <v>13</v>
      </c>
      <c r="D23" s="5" t="s">
        <v>10</v>
      </c>
      <c r="F23" s="6">
        <f>SUM('WP C, pg 2 &amp; 3'!F50)</f>
        <v>0</v>
      </c>
      <c r="H23" s="1" t="s">
        <v>22</v>
      </c>
    </row>
    <row r="24" spans="1:8" x14ac:dyDescent="0.2">
      <c r="A24" s="1">
        <f t="shared" si="0"/>
        <v>15</v>
      </c>
      <c r="C24" s="1" t="s">
        <v>15</v>
      </c>
      <c r="F24" s="3">
        <f>SUM('WP C, pg 2 &amp; 3'!H50)</f>
        <v>0</v>
      </c>
      <c r="H24" s="1" t="s">
        <v>22</v>
      </c>
    </row>
    <row r="25" spans="1:8" x14ac:dyDescent="0.2">
      <c r="A25" s="1">
        <f t="shared" si="0"/>
        <v>16</v>
      </c>
      <c r="C25" s="1" t="s">
        <v>16</v>
      </c>
      <c r="F25" s="7">
        <f>SUM('WP C, pg 2 &amp; 3'!J50)</f>
        <v>0</v>
      </c>
      <c r="H25" s="1" t="s">
        <v>22</v>
      </c>
    </row>
    <row r="26" spans="1:8" x14ac:dyDescent="0.2">
      <c r="A26" s="1">
        <f t="shared" si="0"/>
        <v>17</v>
      </c>
      <c r="C26" s="1" t="s">
        <v>17</v>
      </c>
      <c r="F26" s="7">
        <f>SUM('WP C, pg 2 &amp; 3'!L50)</f>
        <v>64104.729999999996</v>
      </c>
      <c r="H26" s="1" t="s">
        <v>22</v>
      </c>
    </row>
    <row r="27" spans="1:8" ht="12" thickBot="1" x14ac:dyDescent="0.25">
      <c r="A27" s="1">
        <f t="shared" si="0"/>
        <v>18</v>
      </c>
      <c r="C27" s="1" t="s">
        <v>18</v>
      </c>
      <c r="F27" s="7">
        <f>SUM('WP C, pg 2 &amp; 3'!N50)</f>
        <v>0</v>
      </c>
      <c r="H27" s="1" t="s">
        <v>22</v>
      </c>
    </row>
    <row r="28" spans="1:8" ht="12" thickBot="1" x14ac:dyDescent="0.25">
      <c r="A28" s="1">
        <f t="shared" si="0"/>
        <v>19</v>
      </c>
      <c r="C28" s="4" t="s">
        <v>23</v>
      </c>
      <c r="F28" s="8">
        <f>SUM(F23:F27)</f>
        <v>64104.729999999996</v>
      </c>
      <c r="H28" s="1" t="s">
        <v>20</v>
      </c>
    </row>
    <row r="29" spans="1:8" x14ac:dyDescent="0.2">
      <c r="A29" s="1">
        <f t="shared" si="0"/>
        <v>20</v>
      </c>
    </row>
    <row r="30" spans="1:8" ht="12" thickBot="1" x14ac:dyDescent="0.25">
      <c r="A30" s="1">
        <f t="shared" si="0"/>
        <v>21</v>
      </c>
      <c r="C30" s="4" t="s">
        <v>24</v>
      </c>
    </row>
    <row r="31" spans="1:8" ht="12" thickBot="1" x14ac:dyDescent="0.25">
      <c r="A31" s="1">
        <f t="shared" si="0"/>
        <v>22</v>
      </c>
      <c r="C31" s="79" t="s">
        <v>25</v>
      </c>
      <c r="F31" s="8">
        <f>+'WP C, pg 2 &amp; 3'!T50</f>
        <v>7009.6500000000005</v>
      </c>
      <c r="H31" s="1" t="s">
        <v>22</v>
      </c>
    </row>
    <row r="32" spans="1:8" x14ac:dyDescent="0.2">
      <c r="A32" s="1">
        <f t="shared" si="0"/>
        <v>23</v>
      </c>
      <c r="H32" s="1" t="s">
        <v>20</v>
      </c>
    </row>
    <row r="33" spans="1:8" ht="12" thickBot="1" x14ac:dyDescent="0.25">
      <c r="A33" s="1">
        <f t="shared" si="0"/>
        <v>24</v>
      </c>
      <c r="C33" s="4" t="s">
        <v>26</v>
      </c>
    </row>
    <row r="34" spans="1:8" ht="12" thickBot="1" x14ac:dyDescent="0.25">
      <c r="A34" s="1">
        <f t="shared" si="0"/>
        <v>25</v>
      </c>
      <c r="C34" s="4" t="s">
        <v>27</v>
      </c>
      <c r="F34" s="9">
        <f>SUM('WP C, pg 2 &amp; 3'!R50)</f>
        <v>124663.75999999998</v>
      </c>
      <c r="H34" s="1" t="s">
        <v>22</v>
      </c>
    </row>
    <row r="35" spans="1:8" x14ac:dyDescent="0.2">
      <c r="H35" s="1" t="s">
        <v>207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22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.140625" style="76" customWidth="1"/>
    <col min="2" max="2" width="0.85546875" style="76" customWidth="1"/>
    <col min="3" max="3" width="9.140625" style="76"/>
    <col min="4" max="4" width="0.85546875" style="76" customWidth="1"/>
    <col min="5" max="6" width="9.140625" style="76"/>
    <col min="7" max="7" width="17" style="76" customWidth="1"/>
    <col min="8" max="8" width="16.7109375" style="76" customWidth="1"/>
    <col min="9" max="9" width="14.42578125" style="76" customWidth="1"/>
    <col min="10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  <c r="L2" s="125"/>
    </row>
    <row r="3" spans="1:12" ht="12.75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25"/>
      <c r="L3" s="125"/>
    </row>
    <row r="4" spans="1:12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25.5" customHeight="1" x14ac:dyDescent="0.2">
      <c r="A5" s="142" t="str">
        <f>'CAPGDS1000001236 Input'!A5:J5</f>
        <v>Pro-Forma Adjustment - System Reliability</v>
      </c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3"/>
      <c r="L6" s="143"/>
    </row>
    <row r="7" spans="1:12" ht="12.75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3"/>
      <c r="L7" s="143"/>
    </row>
    <row r="8" spans="1:12" ht="12.75" x14ac:dyDescent="0.2">
      <c r="A8" s="142" t="str">
        <f>'CAPGDS1000001236 Input'!F8</f>
        <v>Brandon-Holly (Rice) St 210 psig Serve Load</v>
      </c>
      <c r="B8" s="142"/>
      <c r="C8" s="142"/>
      <c r="D8" s="142"/>
      <c r="E8" s="142"/>
      <c r="F8" s="142"/>
      <c r="G8" s="142"/>
      <c r="H8" s="142"/>
      <c r="I8" s="142"/>
      <c r="J8" s="142"/>
      <c r="K8" s="143"/>
      <c r="L8" s="143"/>
    </row>
    <row r="56" spans="1:12" ht="12.75" x14ac:dyDescent="0.2">
      <c r="A56" s="142" t="s">
        <v>0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3"/>
      <c r="L56" s="143"/>
    </row>
    <row r="57" spans="1:12" ht="12.75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3"/>
      <c r="L57" s="143"/>
    </row>
    <row r="58" spans="1:12" ht="12.75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3"/>
      <c r="L58" s="143"/>
    </row>
    <row r="59" spans="1:12" ht="12.75" x14ac:dyDescent="0.2">
      <c r="A59" s="142" t="s">
        <v>115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3"/>
      <c r="L59" s="143"/>
    </row>
    <row r="72" spans="1:12" ht="12.75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3"/>
      <c r="L72" s="143"/>
    </row>
    <row r="73" spans="1:12" ht="12.75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3"/>
      <c r="L73" s="143"/>
    </row>
    <row r="74" spans="1:12" ht="27" customHeight="1" x14ac:dyDescent="0.2"/>
    <row r="83" spans="1:12" ht="12.75" x14ac:dyDescent="0.2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3"/>
      <c r="L83" s="143"/>
    </row>
    <row r="84" spans="1:12" ht="12.75" x14ac:dyDescent="0.2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3"/>
      <c r="L84" s="143"/>
    </row>
    <row r="85" spans="1:12" ht="12.75" x14ac:dyDescent="0.2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3"/>
      <c r="L85" s="143"/>
    </row>
    <row r="86" spans="1:12" ht="12.75" x14ac:dyDescent="0.2">
      <c r="A86" s="142"/>
      <c r="B86" s="142"/>
      <c r="C86" s="142"/>
      <c r="D86" s="142"/>
      <c r="E86" s="142"/>
      <c r="F86" s="142"/>
      <c r="G86" s="142"/>
      <c r="H86" s="142"/>
      <c r="I86" s="142"/>
      <c r="J86" s="142"/>
      <c r="K86" s="143"/>
      <c r="L86" s="143"/>
    </row>
    <row r="119" spans="1:12" ht="12.75" x14ac:dyDescent="0.2">
      <c r="A119" s="142" t="s">
        <v>0</v>
      </c>
      <c r="B119" s="141"/>
      <c r="C119" s="141"/>
      <c r="D119" s="141"/>
      <c r="E119" s="141"/>
      <c r="F119" s="141"/>
      <c r="G119" s="141"/>
      <c r="H119" s="141"/>
      <c r="I119" s="141"/>
      <c r="J119" s="141"/>
      <c r="K119" s="143"/>
      <c r="L119" s="143"/>
    </row>
    <row r="120" spans="1:12" ht="12.75" x14ac:dyDescent="0.2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3"/>
      <c r="L120" s="143"/>
    </row>
    <row r="121" spans="1:12" ht="12.75" x14ac:dyDescent="0.2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3"/>
      <c r="L121" s="143"/>
    </row>
    <row r="122" spans="1:12" ht="12.75" x14ac:dyDescent="0.2">
      <c r="A122" s="142" t="s">
        <v>115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3"/>
      <c r="L122" s="143"/>
    </row>
  </sheetData>
  <mergeCells count="20">
    <mergeCell ref="A8:L8"/>
    <mergeCell ref="A72:L72"/>
    <mergeCell ref="A73:L73"/>
    <mergeCell ref="A83:L83"/>
    <mergeCell ref="A84:L84"/>
    <mergeCell ref="A1:L1"/>
    <mergeCell ref="A4:L4"/>
    <mergeCell ref="A5:L5"/>
    <mergeCell ref="A6:L6"/>
    <mergeCell ref="A7:L7"/>
    <mergeCell ref="A120:L120"/>
    <mergeCell ref="A121:L121"/>
    <mergeCell ref="A122:L122"/>
    <mergeCell ref="A56:L56"/>
    <mergeCell ref="A57:L57"/>
    <mergeCell ref="A58:L58"/>
    <mergeCell ref="A59:L59"/>
    <mergeCell ref="A119:L119"/>
    <mergeCell ref="A86:L86"/>
    <mergeCell ref="A85:L85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51" max="10" man="1"/>
    <brk id="114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5703125" style="89" customWidth="1"/>
    <col min="5" max="5" width="0.85546875" style="89" customWidth="1"/>
    <col min="6" max="6" width="10.1406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8" style="89"/>
    <col min="13" max="13" width="1.7109375" style="89" customWidth="1"/>
    <col min="14" max="16384" width="8" style="89"/>
  </cols>
  <sheetData>
    <row r="1" spans="1:14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4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4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4.75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83" t="s">
        <v>117</v>
      </c>
      <c r="E8" s="31"/>
      <c r="F8" s="144" t="s">
        <v>118</v>
      </c>
      <c r="G8" s="145"/>
      <c r="H8" s="145"/>
      <c r="I8" s="145"/>
      <c r="J8" s="145"/>
    </row>
    <row r="9" spans="1:14" x14ac:dyDescent="0.2">
      <c r="B9" s="31" t="s">
        <v>58</v>
      </c>
      <c r="D9" s="93">
        <v>1</v>
      </c>
      <c r="F9" s="31" t="s">
        <v>59</v>
      </c>
      <c r="H9" s="93">
        <v>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69</v>
      </c>
      <c r="H15" s="5">
        <v>0.17</v>
      </c>
      <c r="J15" s="39">
        <f>1.5/68</f>
        <v>2.2058823529411766E-2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122</v>
      </c>
      <c r="H16" s="5">
        <v>0.83</v>
      </c>
      <c r="J16" s="101">
        <f>1.45/52</f>
        <v>2.7884615384615383E-2</v>
      </c>
      <c r="L16" s="101"/>
      <c r="N16" s="102"/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7">
        <v>46048</v>
      </c>
    </row>
    <row r="30" spans="1:10" x14ac:dyDescent="0.2">
      <c r="A30" s="33">
        <v>16</v>
      </c>
      <c r="B30" s="31" t="s">
        <v>72</v>
      </c>
      <c r="D30" s="98">
        <v>147020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178</v>
      </c>
    </row>
    <row r="35" spans="2:2" x14ac:dyDescent="0.2">
      <c r="B35" s="41" t="s">
        <v>179</v>
      </c>
    </row>
    <row r="36" spans="2:2" x14ac:dyDescent="0.2">
      <c r="B36" s="41" t="s">
        <v>180</v>
      </c>
    </row>
    <row r="37" spans="2:2" x14ac:dyDescent="0.2">
      <c r="B37" s="41" t="s">
        <v>181</v>
      </c>
    </row>
    <row r="38" spans="2:2" x14ac:dyDescent="0.2">
      <c r="B38" s="41" t="s">
        <v>182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7">
    <mergeCell ref="F8:J8"/>
    <mergeCell ref="A1:J1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10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23.25" customHeight="1" x14ac:dyDescent="0.2">
      <c r="A5" s="46" t="str">
        <f>'CAPGDS1000001150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'CAPGDS1000001150 Input'!F8</f>
        <v>SFS-Hartford Serve Load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'CAPGDS1000001150 Input'!B15</f>
        <v>45641</v>
      </c>
      <c r="D17" s="52"/>
      <c r="E17" s="109">
        <f>'CAPGDS1000001150 Input'!D15*'CAPGDS1000001150 Input'!$D$9*'CAPGDS1000001150 Input'!$H$9</f>
        <v>0</v>
      </c>
      <c r="F17" s="110"/>
      <c r="G17" s="109">
        <f>'CAPGDS1000001150 Input'!D30*'CAPGDS1000001150 Input'!D9*'CAPGDS1000001150 Input'!H9</f>
        <v>147020</v>
      </c>
      <c r="H17" s="110"/>
      <c r="I17" s="109">
        <f t="shared" ref="I17:I29" si="0">G17-E17</f>
        <v>147020</v>
      </c>
    </row>
    <row r="18" spans="1:10" x14ac:dyDescent="0.2">
      <c r="A18" s="45">
        <f t="shared" ref="A18:A40" si="1">1+A17</f>
        <v>2</v>
      </c>
      <c r="C18" s="52">
        <f>'CAPGDS1000001150 Input'!B16</f>
        <v>45672</v>
      </c>
      <c r="D18" s="52"/>
      <c r="E18" s="80">
        <f>'CAPGDS1000001150 Input'!D16*'CAPGDS1000001150 Input'!$D$9*'CAPGDS1000001150 Input'!$H$9</f>
        <v>0</v>
      </c>
      <c r="F18" s="7"/>
      <c r="G18" s="80">
        <f>'CAPGDS1000001150 Input'!D30*'CAPGDS1000001150 Input'!D9*'CAPGDS1000001150 Input'!H9</f>
        <v>147020</v>
      </c>
      <c r="H18" s="7"/>
      <c r="I18" s="80">
        <f t="shared" si="0"/>
        <v>147020</v>
      </c>
    </row>
    <row r="19" spans="1:10" x14ac:dyDescent="0.2">
      <c r="A19" s="45">
        <f t="shared" si="1"/>
        <v>3</v>
      </c>
      <c r="C19" s="52">
        <f>'CAPGDS1000001150 Input'!B17</f>
        <v>45702</v>
      </c>
      <c r="D19" s="52"/>
      <c r="E19" s="80">
        <f>'CAPGDS1000001150 Input'!D17*'CAPGDS1000001150 Input'!$D$9*'CAPGDS1000001150 Input'!$H$9</f>
        <v>0</v>
      </c>
      <c r="F19" s="7"/>
      <c r="G19" s="7">
        <f t="shared" ref="G19:G29" si="2">$G$18</f>
        <v>147020</v>
      </c>
      <c r="H19" s="7"/>
      <c r="I19" s="7">
        <f t="shared" si="0"/>
        <v>147020</v>
      </c>
      <c r="J19" s="54"/>
    </row>
    <row r="20" spans="1:10" x14ac:dyDescent="0.2">
      <c r="A20" s="45">
        <f t="shared" si="1"/>
        <v>4</v>
      </c>
      <c r="C20" s="52">
        <f>'CAPGDS1000001150 Input'!B18</f>
        <v>45732</v>
      </c>
      <c r="D20" s="52"/>
      <c r="E20" s="80">
        <f>'CAPGDS1000001150 Input'!D18*'CAPGDS1000001150 Input'!$D$9*'CAPGDS1000001150 Input'!$H$9</f>
        <v>0</v>
      </c>
      <c r="F20" s="7"/>
      <c r="G20" s="7">
        <f t="shared" si="2"/>
        <v>147020</v>
      </c>
      <c r="H20" s="7"/>
      <c r="I20" s="7">
        <f t="shared" si="0"/>
        <v>147020</v>
      </c>
      <c r="J20" s="54"/>
    </row>
    <row r="21" spans="1:10" x14ac:dyDescent="0.2">
      <c r="A21" s="45">
        <f t="shared" si="1"/>
        <v>5</v>
      </c>
      <c r="C21" s="52">
        <f>'CAPGDS1000001150 Input'!B19</f>
        <v>45762</v>
      </c>
      <c r="D21" s="52"/>
      <c r="E21" s="80">
        <f>'CAPGDS1000001150 Input'!D19*'CAPGDS1000001150 Input'!$D$9*'CAPGDS1000001150 Input'!$H$9</f>
        <v>0</v>
      </c>
      <c r="F21" s="7"/>
      <c r="G21" s="7">
        <f t="shared" si="2"/>
        <v>147020</v>
      </c>
      <c r="H21" s="7"/>
      <c r="I21" s="7">
        <f t="shared" si="0"/>
        <v>147020</v>
      </c>
      <c r="J21" s="54"/>
    </row>
    <row r="22" spans="1:10" x14ac:dyDescent="0.2">
      <c r="A22" s="45">
        <f t="shared" si="1"/>
        <v>6</v>
      </c>
      <c r="C22" s="52">
        <f>'CAPGDS1000001150 Input'!B20</f>
        <v>45792</v>
      </c>
      <c r="D22" s="52"/>
      <c r="E22" s="80">
        <f>'CAPGDS1000001150 Input'!D20*'CAPGDS1000001150 Input'!$D$9*'CAPGDS1000001150 Input'!$H$9</f>
        <v>0</v>
      </c>
      <c r="F22" s="7"/>
      <c r="G22" s="7">
        <f t="shared" si="2"/>
        <v>147020</v>
      </c>
      <c r="H22" s="7"/>
      <c r="I22" s="7">
        <f t="shared" si="0"/>
        <v>147020</v>
      </c>
      <c r="J22" s="54"/>
    </row>
    <row r="23" spans="1:10" x14ac:dyDescent="0.2">
      <c r="A23" s="45">
        <f t="shared" si="1"/>
        <v>7</v>
      </c>
      <c r="C23" s="52">
        <f>'CAPGDS1000001150 Input'!B21</f>
        <v>45822</v>
      </c>
      <c r="D23" s="52"/>
      <c r="E23" s="80">
        <f>'CAPGDS1000001150 Input'!D21*'CAPGDS1000001150 Input'!$D$9*'CAPGDS1000001150 Input'!$H$9</f>
        <v>0</v>
      </c>
      <c r="F23" s="7"/>
      <c r="G23" s="7">
        <f t="shared" si="2"/>
        <v>147020</v>
      </c>
      <c r="H23" s="7"/>
      <c r="I23" s="7">
        <f t="shared" si="0"/>
        <v>147020</v>
      </c>
      <c r="J23" s="54"/>
    </row>
    <row r="24" spans="1:10" x14ac:dyDescent="0.2">
      <c r="A24" s="45">
        <f t="shared" si="1"/>
        <v>8</v>
      </c>
      <c r="C24" s="52">
        <f>'CAPGDS1000001150 Input'!B22</f>
        <v>45852</v>
      </c>
      <c r="D24" s="52"/>
      <c r="E24" s="80">
        <f>'CAPGDS1000001150 Input'!D22*'CAPGDS1000001150 Input'!$D$9*'CAPGDS1000001150 Input'!$H$9</f>
        <v>0</v>
      </c>
      <c r="F24" s="7"/>
      <c r="G24" s="7">
        <f t="shared" si="2"/>
        <v>147020</v>
      </c>
      <c r="H24" s="7"/>
      <c r="I24" s="7">
        <f t="shared" si="0"/>
        <v>147020</v>
      </c>
      <c r="J24" s="54"/>
    </row>
    <row r="25" spans="1:10" x14ac:dyDescent="0.2">
      <c r="A25" s="45">
        <f t="shared" si="1"/>
        <v>9</v>
      </c>
      <c r="C25" s="52">
        <f>'CAPGDS1000001150 Input'!B23</f>
        <v>45882</v>
      </c>
      <c r="D25" s="52"/>
      <c r="E25" s="80">
        <f>'CAPGDS1000001150 Input'!D23*'CAPGDS1000001150 Input'!$D$9*'CAPGDS1000001150 Input'!$H$9</f>
        <v>0</v>
      </c>
      <c r="F25" s="7"/>
      <c r="G25" s="7">
        <f t="shared" si="2"/>
        <v>147020</v>
      </c>
      <c r="H25" s="7"/>
      <c r="I25" s="7">
        <f t="shared" si="0"/>
        <v>147020</v>
      </c>
      <c r="J25" s="54"/>
    </row>
    <row r="26" spans="1:10" x14ac:dyDescent="0.2">
      <c r="A26" s="45">
        <f t="shared" si="1"/>
        <v>10</v>
      </c>
      <c r="C26" s="52">
        <f>'CAPGDS1000001150 Input'!B24</f>
        <v>45912</v>
      </c>
      <c r="D26" s="52"/>
      <c r="E26" s="80">
        <f>'CAPGDS1000001150 Input'!D24*'CAPGDS1000001150 Input'!$D$9*'CAPGDS1000001150 Input'!$H$9</f>
        <v>0</v>
      </c>
      <c r="F26" s="7"/>
      <c r="G26" s="7">
        <f t="shared" si="2"/>
        <v>147020</v>
      </c>
      <c r="H26" s="7"/>
      <c r="I26" s="7">
        <f t="shared" si="0"/>
        <v>147020</v>
      </c>
      <c r="J26" s="54"/>
    </row>
    <row r="27" spans="1:10" x14ac:dyDescent="0.2">
      <c r="A27" s="45">
        <f t="shared" si="1"/>
        <v>11</v>
      </c>
      <c r="C27" s="52">
        <f>'CAPGDS1000001150 Input'!B25</f>
        <v>45942</v>
      </c>
      <c r="D27" s="52"/>
      <c r="E27" s="80">
        <f>'CAPGDS1000001150 Input'!D25*'CAPGDS1000001150 Input'!$D$9*'CAPGDS1000001150 Input'!$H$9</f>
        <v>0</v>
      </c>
      <c r="F27" s="7"/>
      <c r="G27" s="7">
        <f t="shared" si="2"/>
        <v>147020</v>
      </c>
      <c r="H27" s="7"/>
      <c r="I27" s="7">
        <f t="shared" si="0"/>
        <v>147020</v>
      </c>
      <c r="J27" s="54"/>
    </row>
    <row r="28" spans="1:10" x14ac:dyDescent="0.2">
      <c r="A28" s="45">
        <f t="shared" si="1"/>
        <v>12</v>
      </c>
      <c r="C28" s="52">
        <f>'CAPGDS1000001150 Input'!B26</f>
        <v>45972</v>
      </c>
      <c r="D28" s="52"/>
      <c r="E28" s="80">
        <f>'CAPGDS1000001150 Input'!D26*'CAPGDS1000001150 Input'!$D$9*'CAPGDS1000001150 Input'!$H$9</f>
        <v>0</v>
      </c>
      <c r="F28" s="7"/>
      <c r="G28" s="7">
        <f t="shared" si="2"/>
        <v>147020</v>
      </c>
      <c r="H28" s="7"/>
      <c r="I28" s="7">
        <f t="shared" si="0"/>
        <v>147020</v>
      </c>
      <c r="J28" s="54"/>
    </row>
    <row r="29" spans="1:10" x14ac:dyDescent="0.2">
      <c r="A29" s="45">
        <f t="shared" si="1"/>
        <v>13</v>
      </c>
      <c r="C29" s="52">
        <f>'CAPGDS1000001150 Input'!B27</f>
        <v>46002</v>
      </c>
      <c r="D29" s="52"/>
      <c r="E29" s="114">
        <f>'CAPGDS1000001150 Input'!D27*'CAPGDS1000001150 Input'!$D$9*'CAPGDS1000001150 Input'!$H$9</f>
        <v>0</v>
      </c>
      <c r="F29" s="7"/>
      <c r="G29" s="115">
        <f t="shared" si="2"/>
        <v>147020</v>
      </c>
      <c r="H29" s="7"/>
      <c r="I29" s="115">
        <f t="shared" si="0"/>
        <v>147020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SUM(E17:E29)</f>
        <v>0</v>
      </c>
      <c r="F30" s="110"/>
      <c r="G30" s="110">
        <f>SUM(G17:G29)</f>
        <v>1911260</v>
      </c>
      <c r="H30" s="110"/>
      <c r="I30" s="110">
        <f>SUM(I17:I29)</f>
        <v>1911260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ROUND(+E30/13,2)</f>
        <v>0</v>
      </c>
      <c r="F32" s="110"/>
      <c r="G32" s="112">
        <f>ROUND(+G30/13,2)</f>
        <v>147020</v>
      </c>
      <c r="H32" s="110"/>
      <c r="I32" s="112">
        <f>ROUND(+I30/13,2)</f>
        <v>147020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147020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24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0.8554687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3.25" customHeight="1" x14ac:dyDescent="0.2">
      <c r="A5" s="139" t="str">
        <f>'CAPGDS1000001150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'CAPGDS1000001150 Input'!F8</f>
        <v>SFS-Hartford Serve Load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'CAPGDS1000001150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"&amp;'CAPGDS1000001150 Input'!F15</f>
        <v>Acct 2.376.00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'CAPGDS1000001150 TotalWO'!C17</f>
        <v>45641</v>
      </c>
      <c r="D17" s="52"/>
      <c r="E17" s="109">
        <f>'CAPGDS1000001150 TotalWO'!E17*'CAPGDS1000001150 Input'!$H$15</f>
        <v>0</v>
      </c>
      <c r="F17" s="116"/>
      <c r="G17" s="109">
        <f>'CAPGDS1000001150 TotalWO'!G17*'CAPGDS1000001150 Input'!$H$15</f>
        <v>24993.4</v>
      </c>
      <c r="H17" s="110"/>
      <c r="I17" s="109">
        <f t="shared" ref="I17:I29" si="0">G17-E17</f>
        <v>24993.4</v>
      </c>
    </row>
    <row r="18" spans="1:12" x14ac:dyDescent="0.2">
      <c r="A18" s="45">
        <f t="shared" ref="A18:A40" si="1">1+A17</f>
        <v>2</v>
      </c>
      <c r="C18" s="52">
        <f>'CAPGDS1000001150 TotalWO'!C18</f>
        <v>45672</v>
      </c>
      <c r="D18" s="52"/>
      <c r="E18" s="80">
        <f>'CAPGDS1000001150 TotalWO'!E18*'CAPGDS1000001150 Input'!$H$15</f>
        <v>0</v>
      </c>
      <c r="F18" s="80"/>
      <c r="G18" s="80">
        <f>'CAPGDS1000001150 TotalWO'!G18*'CAPGDS1000001150 Input'!$H$15</f>
        <v>24993.4</v>
      </c>
      <c r="H18" s="7"/>
      <c r="I18" s="80">
        <f t="shared" si="0"/>
        <v>24993.4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'CAPGDS1000001150 TotalWO'!E19*'CAPGDS1000001150 Input'!$H$15</f>
        <v>0</v>
      </c>
      <c r="F19" s="80"/>
      <c r="G19" s="80">
        <f>'CAPGDS1000001150 TotalWO'!G19*'CAPGDS1000001150 Input'!$H$15</f>
        <v>24993.4</v>
      </c>
      <c r="H19" s="7"/>
      <c r="I19" s="7">
        <f t="shared" si="0"/>
        <v>24993.4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'CAPGDS1000001150 TotalWO'!E20*'CAPGDS1000001150 Input'!$H$15</f>
        <v>0</v>
      </c>
      <c r="F20" s="80"/>
      <c r="G20" s="80">
        <f>'CAPGDS1000001150 TotalWO'!G20*'CAPGDS1000001150 Input'!$H$15</f>
        <v>24993.4</v>
      </c>
      <c r="H20" s="7"/>
      <c r="I20" s="7">
        <f t="shared" si="0"/>
        <v>24993.4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'CAPGDS1000001150 TotalWO'!E21*'CAPGDS1000001150 Input'!$H$15</f>
        <v>0</v>
      </c>
      <c r="F21" s="80"/>
      <c r="G21" s="80">
        <f>'CAPGDS1000001150 TotalWO'!G21*'CAPGDS1000001150 Input'!$H$15</f>
        <v>24993.4</v>
      </c>
      <c r="H21" s="7"/>
      <c r="I21" s="7">
        <f t="shared" si="0"/>
        <v>24993.4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'CAPGDS1000001150 TotalWO'!E22*'CAPGDS1000001150 Input'!$H$15</f>
        <v>0</v>
      </c>
      <c r="F22" s="80"/>
      <c r="G22" s="80">
        <f>'CAPGDS1000001150 TotalWO'!G22*'CAPGDS1000001150 Input'!$H$15</f>
        <v>24993.4</v>
      </c>
      <c r="H22" s="7"/>
      <c r="I22" s="7">
        <f t="shared" si="0"/>
        <v>24993.4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'CAPGDS1000001150 TotalWO'!E23*'CAPGDS1000001150 Input'!$H$15</f>
        <v>0</v>
      </c>
      <c r="F23" s="80"/>
      <c r="G23" s="80">
        <f>'CAPGDS1000001150 TotalWO'!G23*'CAPGDS1000001150 Input'!$H$15</f>
        <v>24993.4</v>
      </c>
      <c r="H23" s="7"/>
      <c r="I23" s="7">
        <f t="shared" si="0"/>
        <v>24993.4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'CAPGDS1000001150 TotalWO'!E24*'CAPGDS1000001150 Input'!$H$15</f>
        <v>0</v>
      </c>
      <c r="F24" s="80"/>
      <c r="G24" s="80">
        <f>'CAPGDS1000001150 TotalWO'!G24*'CAPGDS1000001150 Input'!$H$15</f>
        <v>24993.4</v>
      </c>
      <c r="H24" s="7"/>
      <c r="I24" s="7">
        <f t="shared" si="0"/>
        <v>24993.4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'CAPGDS1000001150 TotalWO'!E25*'CAPGDS1000001150 Input'!$H$15</f>
        <v>0</v>
      </c>
      <c r="F25" s="80"/>
      <c r="G25" s="80">
        <f>'CAPGDS1000001150 TotalWO'!G25*'CAPGDS1000001150 Input'!$H$15</f>
        <v>24993.4</v>
      </c>
      <c r="H25" s="7"/>
      <c r="I25" s="7">
        <f t="shared" si="0"/>
        <v>24993.4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'CAPGDS1000001150 TotalWO'!E26*'CAPGDS1000001150 Input'!$H$15</f>
        <v>0</v>
      </c>
      <c r="F26" s="80"/>
      <c r="G26" s="80">
        <f>'CAPGDS1000001150 TotalWO'!G26*'CAPGDS1000001150 Input'!$H$15</f>
        <v>24993.4</v>
      </c>
      <c r="H26" s="7"/>
      <c r="I26" s="7">
        <f t="shared" si="0"/>
        <v>24993.4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'CAPGDS1000001150 TotalWO'!E27*'CAPGDS1000001150 Input'!$H$15</f>
        <v>0</v>
      </c>
      <c r="F27" s="80"/>
      <c r="G27" s="80">
        <f>'CAPGDS1000001150 TotalWO'!G27*'CAPGDS1000001150 Input'!$H$15</f>
        <v>24993.4</v>
      </c>
      <c r="H27" s="7"/>
      <c r="I27" s="7">
        <f t="shared" si="0"/>
        <v>24993.4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'CAPGDS1000001150 TotalWO'!E28*'CAPGDS1000001150 Input'!$H$15</f>
        <v>0</v>
      </c>
      <c r="F28" s="80"/>
      <c r="G28" s="80">
        <f>'CAPGDS1000001150 TotalWO'!G28*'CAPGDS1000001150 Input'!$H$15</f>
        <v>24993.4</v>
      </c>
      <c r="H28" s="7"/>
      <c r="I28" s="7">
        <f t="shared" si="0"/>
        <v>24993.4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'CAPGDS1000001150 TotalWO'!E29*'CAPGDS1000001150 Input'!$H$15</f>
        <v>0</v>
      </c>
      <c r="F29" s="80"/>
      <c r="G29" s="114">
        <f>'CAPGDS1000001150 TotalWO'!G29*'CAPGDS1000001150 Input'!$H$15</f>
        <v>24993.4</v>
      </c>
      <c r="H29" s="7"/>
      <c r="I29" s="115">
        <f t="shared" si="0"/>
        <v>24993.4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SUM(E17:E29)</f>
        <v>0</v>
      </c>
      <c r="F30" s="110"/>
      <c r="G30" s="110">
        <f>SUM(G17:G29)</f>
        <v>324914.2</v>
      </c>
      <c r="H30" s="110"/>
      <c r="I30" s="110">
        <f>SUM(I17:I29)</f>
        <v>324914.2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ROUND(+E30/13,2)</f>
        <v>0</v>
      </c>
      <c r="F32" s="110"/>
      <c r="G32" s="112">
        <f>ROUND(+G30/13,2)</f>
        <v>24993.4</v>
      </c>
      <c r="H32" s="110"/>
      <c r="I32" s="112">
        <f>ROUND(+I30/13,2)</f>
        <v>24993.4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24993.4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148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ht="22.5" customHeight="1" x14ac:dyDescent="0.2">
      <c r="A43" s="138" t="str">
        <f>A5</f>
        <v>Pro-Forma Adjustment - System Reliability</v>
      </c>
      <c r="B43" s="138"/>
      <c r="C43" s="138"/>
      <c r="D43" s="138"/>
      <c r="E43" s="138"/>
      <c r="F43" s="138"/>
      <c r="G43" s="138"/>
      <c r="H43" s="138"/>
      <c r="I43" s="138"/>
    </row>
    <row r="44" spans="1:9" x14ac:dyDescent="0.2">
      <c r="A44" s="138"/>
      <c r="B44" s="138"/>
      <c r="C44" s="138"/>
      <c r="D44" s="138"/>
      <c r="E44" s="138"/>
      <c r="F44" s="138"/>
      <c r="G44" s="138"/>
      <c r="H44" s="138"/>
      <c r="I44" s="138"/>
    </row>
    <row r="45" spans="1:9" x14ac:dyDescent="0.2">
      <c r="A45" s="46"/>
      <c r="B45" s="46"/>
      <c r="C45" s="44"/>
      <c r="D45" s="44"/>
      <c r="E45" s="44"/>
      <c r="F45" s="44"/>
      <c r="G45" s="44"/>
      <c r="H45" s="44"/>
      <c r="I45" s="44"/>
    </row>
    <row r="46" spans="1:9" x14ac:dyDescent="0.2">
      <c r="A46" s="46" t="str">
        <f>A8</f>
        <v>SFS-Hartford Serve Load</v>
      </c>
      <c r="B46" s="46"/>
      <c r="C46" s="44"/>
      <c r="D46" s="44"/>
      <c r="E46" s="44"/>
      <c r="F46" s="44"/>
      <c r="G46" s="44"/>
      <c r="H46" s="44"/>
      <c r="I46" s="44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">
        <v>90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 t="s">
        <v>10</v>
      </c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K50" s="51" t="s">
        <v>91</v>
      </c>
      <c r="M50" s="51" t="s">
        <v>91</v>
      </c>
    </row>
    <row r="51" spans="1:13" ht="12" thickBot="1" x14ac:dyDescent="0.25">
      <c r="A51" s="71" t="s">
        <v>79</v>
      </c>
      <c r="E51" s="48" t="str">
        <f>E13</f>
        <v>Acct 2.376.00</v>
      </c>
      <c r="F51" s="48"/>
      <c r="G51" s="48"/>
      <c r="H51" s="48"/>
      <c r="I51" s="48"/>
      <c r="K51" s="51" t="s">
        <v>92</v>
      </c>
      <c r="M51" s="51" t="s">
        <v>93</v>
      </c>
    </row>
    <row r="52" spans="1:13" ht="12" thickBot="1" x14ac:dyDescent="0.25">
      <c r="A52" s="88" t="s">
        <v>81</v>
      </c>
      <c r="B52" s="51"/>
      <c r="C52" s="49" t="s">
        <v>82</v>
      </c>
      <c r="D52" s="51"/>
      <c r="E52" s="49" t="s">
        <v>83</v>
      </c>
      <c r="F52" s="51"/>
      <c r="G52" s="49" t="s">
        <v>84</v>
      </c>
      <c r="H52" s="51"/>
      <c r="I52" s="49" t="s">
        <v>85</v>
      </c>
      <c r="K52" s="49" t="s">
        <v>94</v>
      </c>
      <c r="M52" s="49" t="s">
        <v>95</v>
      </c>
    </row>
    <row r="53" spans="1:13" x14ac:dyDescent="0.2">
      <c r="A53" s="51"/>
      <c r="B53" s="51"/>
      <c r="C53" s="92" t="s">
        <v>6</v>
      </c>
      <c r="D53" s="51"/>
      <c r="E53" s="33" t="s">
        <v>7</v>
      </c>
      <c r="F53" s="51"/>
      <c r="G53" s="33" t="s">
        <v>8</v>
      </c>
      <c r="H53" s="89"/>
      <c r="I53" s="33" t="s">
        <v>42</v>
      </c>
      <c r="K53" s="16" t="s">
        <v>43</v>
      </c>
      <c r="M53" s="51" t="s">
        <v>44</v>
      </c>
    </row>
    <row r="54" spans="1:13" x14ac:dyDescent="0.2">
      <c r="A54" s="51"/>
      <c r="B54" s="51"/>
      <c r="C54" s="51"/>
      <c r="D54" s="51"/>
      <c r="E54" s="51"/>
      <c r="F54" s="51"/>
      <c r="G54" s="51"/>
      <c r="H54" s="51"/>
      <c r="I54" s="51"/>
    </row>
    <row r="55" spans="1:13" x14ac:dyDescent="0.2">
      <c r="A55" s="45">
        <v>1</v>
      </c>
      <c r="B55" s="51"/>
      <c r="C55" s="52">
        <f>C17</f>
        <v>45641</v>
      </c>
      <c r="D55" s="51"/>
      <c r="E55" s="109">
        <f>ROUND(E17*$G$76,2)</f>
        <v>0</v>
      </c>
      <c r="F55" s="110"/>
      <c r="G55" s="109">
        <f>ROUND(+G17*$G$76,2)</f>
        <v>42.41</v>
      </c>
      <c r="H55" s="110"/>
      <c r="I55" s="110">
        <f>G55-E55</f>
        <v>42.41</v>
      </c>
      <c r="J55" s="110"/>
      <c r="K55" s="111"/>
      <c r="L55" s="110"/>
      <c r="M55" s="110">
        <f>+ROUND(I55/I$70*M$70,2)</f>
        <v>6.23</v>
      </c>
    </row>
    <row r="56" spans="1:13" x14ac:dyDescent="0.2">
      <c r="A56" s="45">
        <f t="shared" ref="A56:A79" si="3">1+A55</f>
        <v>2</v>
      </c>
      <c r="C56" s="52">
        <f>C18</f>
        <v>45672</v>
      </c>
      <c r="D56" s="52"/>
      <c r="E56" s="80">
        <f t="shared" ref="E56:E67" si="4">ROUND(E17*$G$76,2)</f>
        <v>0</v>
      </c>
      <c r="F56" s="7"/>
      <c r="G56" s="80">
        <f>ROUND(+G18*$G$76,2)</f>
        <v>42.41</v>
      </c>
      <c r="H56" s="7"/>
      <c r="I56" s="7">
        <f t="shared" ref="I56:I67" si="5">G56-E56</f>
        <v>42.41</v>
      </c>
      <c r="J56" s="7"/>
      <c r="K56" s="7"/>
      <c r="L56" s="7"/>
      <c r="M56" s="7">
        <f t="shared" ref="M56:M67" si="6">+ROUND(I56/I$70*M$70,2)</f>
        <v>6.23</v>
      </c>
    </row>
    <row r="57" spans="1:13" x14ac:dyDescent="0.2">
      <c r="A57" s="45">
        <f t="shared" si="3"/>
        <v>3</v>
      </c>
      <c r="C57" s="52">
        <f t="shared" ref="C57:C67" si="7">C56+31</f>
        <v>45703</v>
      </c>
      <c r="D57" s="52"/>
      <c r="E57" s="80">
        <f t="shared" si="4"/>
        <v>0</v>
      </c>
      <c r="F57" s="80"/>
      <c r="G57" s="80">
        <f t="shared" ref="G57:G67" si="8">ROUND(+G19*$G$76,2)</f>
        <v>42.41</v>
      </c>
      <c r="H57" s="7"/>
      <c r="I57" s="7">
        <f t="shared" si="5"/>
        <v>42.41</v>
      </c>
      <c r="J57" s="7"/>
      <c r="K57" s="7"/>
      <c r="L57" s="7"/>
      <c r="M57" s="7">
        <f t="shared" si="6"/>
        <v>6.23</v>
      </c>
    </row>
    <row r="58" spans="1:13" x14ac:dyDescent="0.2">
      <c r="A58" s="45">
        <f t="shared" si="3"/>
        <v>4</v>
      </c>
      <c r="C58" s="52">
        <f t="shared" si="7"/>
        <v>45734</v>
      </c>
      <c r="D58" s="52"/>
      <c r="E58" s="80">
        <f t="shared" si="4"/>
        <v>0</v>
      </c>
      <c r="F58" s="80"/>
      <c r="G58" s="80">
        <f t="shared" si="8"/>
        <v>42.41</v>
      </c>
      <c r="H58" s="7"/>
      <c r="I58" s="7">
        <f t="shared" si="5"/>
        <v>42.41</v>
      </c>
      <c r="J58" s="7"/>
      <c r="K58" s="7"/>
      <c r="L58" s="7"/>
      <c r="M58" s="7">
        <f t="shared" si="6"/>
        <v>6.23</v>
      </c>
    </row>
    <row r="59" spans="1:13" x14ac:dyDescent="0.2">
      <c r="A59" s="45">
        <f t="shared" si="3"/>
        <v>5</v>
      </c>
      <c r="C59" s="52">
        <f t="shared" si="7"/>
        <v>45765</v>
      </c>
      <c r="D59" s="52"/>
      <c r="E59" s="80">
        <f t="shared" si="4"/>
        <v>0</v>
      </c>
      <c r="F59" s="80"/>
      <c r="G59" s="80">
        <f t="shared" si="8"/>
        <v>42.41</v>
      </c>
      <c r="H59" s="7"/>
      <c r="I59" s="7">
        <f t="shared" si="5"/>
        <v>42.41</v>
      </c>
      <c r="J59" s="7"/>
      <c r="K59" s="7"/>
      <c r="L59" s="7"/>
      <c r="M59" s="7">
        <f t="shared" si="6"/>
        <v>6.23</v>
      </c>
    </row>
    <row r="60" spans="1:13" x14ac:dyDescent="0.2">
      <c r="A60" s="45">
        <f t="shared" si="3"/>
        <v>6</v>
      </c>
      <c r="C60" s="52">
        <f t="shared" si="7"/>
        <v>45796</v>
      </c>
      <c r="D60" s="52"/>
      <c r="E60" s="80">
        <f t="shared" si="4"/>
        <v>0</v>
      </c>
      <c r="F60" s="80"/>
      <c r="G60" s="80">
        <f t="shared" si="8"/>
        <v>42.41</v>
      </c>
      <c r="H60" s="7"/>
      <c r="I60" s="7">
        <f t="shared" si="5"/>
        <v>42.41</v>
      </c>
      <c r="J60" s="7"/>
      <c r="K60" s="7"/>
      <c r="L60" s="7"/>
      <c r="M60" s="7">
        <f t="shared" si="6"/>
        <v>6.23</v>
      </c>
    </row>
    <row r="61" spans="1:13" x14ac:dyDescent="0.2">
      <c r="A61" s="45">
        <f t="shared" si="3"/>
        <v>7</v>
      </c>
      <c r="C61" s="52">
        <f t="shared" si="7"/>
        <v>45827</v>
      </c>
      <c r="D61" s="52"/>
      <c r="E61" s="80">
        <f t="shared" si="4"/>
        <v>0</v>
      </c>
      <c r="F61" s="80"/>
      <c r="G61" s="80">
        <f t="shared" si="8"/>
        <v>42.41</v>
      </c>
      <c r="H61" s="7"/>
      <c r="I61" s="7">
        <f t="shared" si="5"/>
        <v>42.41</v>
      </c>
      <c r="J61" s="7"/>
      <c r="K61" s="7"/>
      <c r="L61" s="7"/>
      <c r="M61" s="7">
        <f t="shared" si="6"/>
        <v>6.23</v>
      </c>
    </row>
    <row r="62" spans="1:13" x14ac:dyDescent="0.2">
      <c r="A62" s="45">
        <f t="shared" si="3"/>
        <v>8</v>
      </c>
      <c r="C62" s="52">
        <f t="shared" si="7"/>
        <v>45858</v>
      </c>
      <c r="D62" s="52"/>
      <c r="E62" s="80">
        <f t="shared" si="4"/>
        <v>0</v>
      </c>
      <c r="F62" s="80"/>
      <c r="G62" s="80">
        <f t="shared" si="8"/>
        <v>42.41</v>
      </c>
      <c r="H62" s="7"/>
      <c r="I62" s="7">
        <f t="shared" si="5"/>
        <v>42.41</v>
      </c>
      <c r="J62" s="7"/>
      <c r="K62" s="7"/>
      <c r="L62" s="7"/>
      <c r="M62" s="7">
        <f t="shared" si="6"/>
        <v>6.23</v>
      </c>
    </row>
    <row r="63" spans="1:13" x14ac:dyDescent="0.2">
      <c r="A63" s="45">
        <f t="shared" si="3"/>
        <v>9</v>
      </c>
      <c r="C63" s="52">
        <f t="shared" si="7"/>
        <v>45889</v>
      </c>
      <c r="D63" s="52"/>
      <c r="E63" s="80">
        <f t="shared" si="4"/>
        <v>0</v>
      </c>
      <c r="F63" s="80"/>
      <c r="G63" s="80">
        <f t="shared" si="8"/>
        <v>42.41</v>
      </c>
      <c r="H63" s="7"/>
      <c r="I63" s="7">
        <f t="shared" si="5"/>
        <v>42.41</v>
      </c>
      <c r="J63" s="7"/>
      <c r="K63" s="7"/>
      <c r="L63" s="7"/>
      <c r="M63" s="7">
        <f t="shared" si="6"/>
        <v>6.23</v>
      </c>
    </row>
    <row r="64" spans="1:13" x14ac:dyDescent="0.2">
      <c r="A64" s="45">
        <f t="shared" si="3"/>
        <v>10</v>
      </c>
      <c r="C64" s="52">
        <f t="shared" si="7"/>
        <v>45920</v>
      </c>
      <c r="D64" s="52"/>
      <c r="E64" s="80">
        <f t="shared" si="4"/>
        <v>0</v>
      </c>
      <c r="F64" s="80"/>
      <c r="G64" s="80">
        <f t="shared" si="8"/>
        <v>42.41</v>
      </c>
      <c r="H64" s="7"/>
      <c r="I64" s="7">
        <f t="shared" si="5"/>
        <v>42.41</v>
      </c>
      <c r="J64" s="7"/>
      <c r="K64" s="7"/>
      <c r="L64" s="7"/>
      <c r="M64" s="7">
        <f t="shared" si="6"/>
        <v>6.23</v>
      </c>
    </row>
    <row r="65" spans="1:13" x14ac:dyDescent="0.2">
      <c r="A65" s="45">
        <f t="shared" si="3"/>
        <v>11</v>
      </c>
      <c r="C65" s="52">
        <f t="shared" si="7"/>
        <v>45951</v>
      </c>
      <c r="D65" s="52"/>
      <c r="E65" s="80">
        <f t="shared" si="4"/>
        <v>0</v>
      </c>
      <c r="F65" s="80"/>
      <c r="G65" s="80">
        <f t="shared" si="8"/>
        <v>42.41</v>
      </c>
      <c r="H65" s="7"/>
      <c r="I65" s="7">
        <f t="shared" si="5"/>
        <v>42.41</v>
      </c>
      <c r="J65" s="7"/>
      <c r="K65" s="7"/>
      <c r="L65" s="7"/>
      <c r="M65" s="7">
        <f>+ROUND(I65/I$70*M$70,2)+0.01</f>
        <v>6.24</v>
      </c>
    </row>
    <row r="66" spans="1:13" x14ac:dyDescent="0.2">
      <c r="A66" s="45">
        <f t="shared" si="3"/>
        <v>12</v>
      </c>
      <c r="C66" s="52">
        <f t="shared" si="7"/>
        <v>45982</v>
      </c>
      <c r="D66" s="52"/>
      <c r="E66" s="80">
        <f t="shared" si="4"/>
        <v>0</v>
      </c>
      <c r="F66" s="80"/>
      <c r="G66" s="80">
        <f t="shared" si="8"/>
        <v>42.41</v>
      </c>
      <c r="H66" s="7"/>
      <c r="I66" s="7">
        <f t="shared" si="5"/>
        <v>42.41</v>
      </c>
      <c r="J66" s="7"/>
      <c r="K66" s="7"/>
      <c r="L66" s="7"/>
      <c r="M66" s="7">
        <f>+ROUND(I66/I$70*M$70,2)+0.01</f>
        <v>6.24</v>
      </c>
    </row>
    <row r="67" spans="1:13" x14ac:dyDescent="0.2">
      <c r="A67" s="45">
        <f t="shared" si="3"/>
        <v>13</v>
      </c>
      <c r="C67" s="52">
        <f t="shared" si="7"/>
        <v>46013</v>
      </c>
      <c r="D67" s="52"/>
      <c r="E67" s="114">
        <f t="shared" si="4"/>
        <v>0</v>
      </c>
      <c r="F67" s="80"/>
      <c r="G67" s="115">
        <f t="shared" si="8"/>
        <v>42.41</v>
      </c>
      <c r="H67" s="7"/>
      <c r="I67" s="115">
        <f t="shared" si="5"/>
        <v>42.41</v>
      </c>
      <c r="J67" s="7"/>
      <c r="K67" s="7"/>
      <c r="L67" s="7"/>
      <c r="M67" s="115">
        <f t="shared" si="6"/>
        <v>6.23</v>
      </c>
    </row>
    <row r="68" spans="1:13" x14ac:dyDescent="0.2">
      <c r="A68" s="45">
        <f t="shared" si="3"/>
        <v>14</v>
      </c>
      <c r="C68" s="58" t="s">
        <v>47</v>
      </c>
      <c r="D68" s="58"/>
      <c r="E68" s="110">
        <f>SUM(E55:E67)</f>
        <v>0</v>
      </c>
      <c r="F68" s="110"/>
      <c r="G68" s="110">
        <f>SUM(G55:G67)</f>
        <v>551.32999999999981</v>
      </c>
      <c r="H68" s="110"/>
      <c r="I68" s="110">
        <f>SUM(I55:I67)</f>
        <v>551.32999999999981</v>
      </c>
      <c r="J68" s="110"/>
      <c r="K68" s="110"/>
      <c r="L68" s="110"/>
      <c r="M68" s="110">
        <f>SUM(M55:M67)</f>
        <v>81.010000000000005</v>
      </c>
    </row>
    <row r="69" spans="1:13" x14ac:dyDescent="0.2">
      <c r="A69" s="45">
        <f t="shared" si="3"/>
        <v>15</v>
      </c>
      <c r="E69" s="113" t="s">
        <v>10</v>
      </c>
      <c r="F69" s="113"/>
      <c r="G69" s="113" t="s">
        <v>10</v>
      </c>
      <c r="H69" s="113"/>
      <c r="I69" s="113" t="s">
        <v>10</v>
      </c>
      <c r="J69" s="110"/>
      <c r="K69" s="110"/>
      <c r="L69" s="110"/>
      <c r="M69" s="110"/>
    </row>
    <row r="70" spans="1:13" ht="12" thickBot="1" x14ac:dyDescent="0.25">
      <c r="A70" s="45">
        <f t="shared" si="3"/>
        <v>16</v>
      </c>
      <c r="C70" s="58" t="s">
        <v>87</v>
      </c>
      <c r="D70" s="58"/>
      <c r="E70" s="110"/>
      <c r="F70" s="110"/>
      <c r="G70" s="110"/>
      <c r="H70" s="110"/>
      <c r="I70" s="112">
        <f>I68</f>
        <v>551.32999999999981</v>
      </c>
      <c r="J70" s="110"/>
      <c r="K70" s="112">
        <f>ROUND(G18*K76,2)</f>
        <v>937.25</v>
      </c>
      <c r="L70" s="110"/>
      <c r="M70" s="112">
        <f>ROUND(+(K70-I70)*M76,2)</f>
        <v>81.040000000000006</v>
      </c>
    </row>
    <row r="71" spans="1:13" ht="12" thickTop="1" x14ac:dyDescent="0.2">
      <c r="A71" s="45">
        <f t="shared" si="3"/>
        <v>17</v>
      </c>
      <c r="E71" s="54"/>
      <c r="F71" s="54"/>
      <c r="G71" s="54"/>
      <c r="H71" s="54"/>
      <c r="I71" s="58" t="s">
        <v>88</v>
      </c>
    </row>
    <row r="72" spans="1:13" x14ac:dyDescent="0.2">
      <c r="A72" s="45">
        <f t="shared" si="3"/>
        <v>18</v>
      </c>
      <c r="I72" s="58" t="s">
        <v>149</v>
      </c>
      <c r="M72" s="51" t="s">
        <v>91</v>
      </c>
    </row>
    <row r="73" spans="1:13" x14ac:dyDescent="0.2">
      <c r="A73" s="45">
        <f t="shared" si="3"/>
        <v>19</v>
      </c>
      <c r="K73" s="51" t="s">
        <v>96</v>
      </c>
      <c r="M73" s="51" t="s">
        <v>97</v>
      </c>
    </row>
    <row r="74" spans="1:13" x14ac:dyDescent="0.2">
      <c r="A74" s="45">
        <f t="shared" si="3"/>
        <v>20</v>
      </c>
      <c r="E74" s="69" t="s">
        <v>98</v>
      </c>
      <c r="F74" s="69"/>
      <c r="G74" s="69" t="s">
        <v>99</v>
      </c>
      <c r="K74" s="51" t="s">
        <v>100</v>
      </c>
      <c r="M74" s="51" t="s">
        <v>101</v>
      </c>
    </row>
    <row r="75" spans="1:13" ht="12" thickBot="1" x14ac:dyDescent="0.25">
      <c r="A75" s="45">
        <f t="shared" si="3"/>
        <v>21</v>
      </c>
      <c r="E75" s="70" t="s">
        <v>102</v>
      </c>
      <c r="F75" s="69"/>
      <c r="G75" s="70" t="s">
        <v>102</v>
      </c>
      <c r="K75" s="70" t="s">
        <v>103</v>
      </c>
      <c r="M75" s="70" t="s">
        <v>104</v>
      </c>
    </row>
    <row r="76" spans="1:13" x14ac:dyDescent="0.2">
      <c r="A76" s="45">
        <f t="shared" si="3"/>
        <v>22</v>
      </c>
      <c r="C76" s="71" t="str">
        <f>E51</f>
        <v>Acct 2.376.00</v>
      </c>
      <c r="D76" s="71"/>
      <c r="E76" s="72">
        <f>'CAPGDS1000001150 Input'!J15</f>
        <v>2.2058823529411766E-2</v>
      </c>
      <c r="F76" s="72"/>
      <c r="G76" s="72">
        <f>E76/13</f>
        <v>1.6968325791855204E-3</v>
      </c>
      <c r="K76" s="81">
        <f>+'CAPGDS1000001150 Input'!L15</f>
        <v>3.7499999999999999E-2</v>
      </c>
      <c r="M76" s="82">
        <f>+'CAPGDS1000001150 Input'!N15</f>
        <v>0.21</v>
      </c>
    </row>
    <row r="77" spans="1:13" x14ac:dyDescent="0.2">
      <c r="A77" s="45">
        <f t="shared" si="3"/>
        <v>23</v>
      </c>
      <c r="H77" s="63"/>
      <c r="I77" s="54"/>
      <c r="K77" s="51" t="s">
        <v>105</v>
      </c>
    </row>
    <row r="78" spans="1:13" x14ac:dyDescent="0.2">
      <c r="A78" s="45">
        <f t="shared" si="3"/>
        <v>24</v>
      </c>
      <c r="H78" s="72"/>
      <c r="I78" s="54"/>
    </row>
    <row r="79" spans="1:13" x14ac:dyDescent="0.2">
      <c r="A79" s="45">
        <f t="shared" si="3"/>
        <v>25</v>
      </c>
    </row>
    <row r="80" spans="1:13" x14ac:dyDescent="0.2">
      <c r="A80" s="45">
        <v>26</v>
      </c>
      <c r="H80" s="72"/>
      <c r="I80" s="54"/>
    </row>
    <row r="81" spans="1:13" x14ac:dyDescent="0.2">
      <c r="A81" s="42"/>
      <c r="B81" s="42"/>
      <c r="C81" s="43"/>
      <c r="D81" s="43"/>
      <c r="E81" s="43"/>
      <c r="F81" s="43"/>
      <c r="G81" s="43"/>
      <c r="H81" s="43"/>
      <c r="I81" s="43"/>
    </row>
    <row r="82" spans="1:13" x14ac:dyDescent="0.2">
      <c r="A82" s="42"/>
      <c r="B82" s="42"/>
      <c r="C82" s="43"/>
      <c r="D82" s="43"/>
      <c r="E82" s="43"/>
      <c r="F82" s="43"/>
      <c r="G82" s="43"/>
      <c r="H82" s="43"/>
      <c r="I82" s="43"/>
    </row>
    <row r="83" spans="1:13" ht="22.5" customHeight="1" x14ac:dyDescent="0.2">
      <c r="A83" s="138" t="str">
        <f>A5</f>
        <v>Pro-Forma Adjustment - System Reliability</v>
      </c>
      <c r="B83" s="138"/>
      <c r="C83" s="138"/>
      <c r="D83" s="138"/>
      <c r="E83" s="138"/>
      <c r="F83" s="138"/>
      <c r="G83" s="138"/>
      <c r="H83" s="138"/>
      <c r="I83" s="138"/>
    </row>
    <row r="84" spans="1:13" x14ac:dyDescent="0.2">
      <c r="A84" s="138"/>
      <c r="B84" s="138"/>
      <c r="C84" s="138"/>
      <c r="D84" s="138"/>
      <c r="E84" s="138"/>
      <c r="F84" s="138"/>
      <c r="G84" s="138"/>
      <c r="H84" s="138"/>
      <c r="I84" s="138"/>
    </row>
    <row r="85" spans="1:13" x14ac:dyDescent="0.2">
      <c r="A85" s="46"/>
      <c r="B85" s="46"/>
      <c r="C85" s="44"/>
      <c r="D85" s="44"/>
      <c r="E85" s="44"/>
      <c r="F85" s="44"/>
      <c r="G85" s="44"/>
      <c r="H85" s="44"/>
      <c r="I85" s="44"/>
    </row>
    <row r="86" spans="1:13" x14ac:dyDescent="0.2">
      <c r="A86" s="46" t="str">
        <f>A8</f>
        <v>SFS-Hartford Serve Load</v>
      </c>
      <c r="B86" s="46"/>
      <c r="C86" s="44"/>
      <c r="D86" s="44"/>
      <c r="E86" s="44"/>
      <c r="F86" s="44"/>
      <c r="G86" s="44"/>
      <c r="H86" s="44"/>
      <c r="I86" s="44"/>
    </row>
    <row r="87" spans="1:13" x14ac:dyDescent="0.2">
      <c r="A87" s="46"/>
      <c r="B87" s="46"/>
      <c r="C87" s="44"/>
      <c r="D87" s="44"/>
      <c r="E87" s="44"/>
      <c r="F87" s="44"/>
      <c r="G87" s="44"/>
      <c r="H87" s="44"/>
      <c r="I87" s="44"/>
    </row>
    <row r="88" spans="1:13" x14ac:dyDescent="0.2">
      <c r="A88" s="46" t="s">
        <v>106</v>
      </c>
      <c r="B88" s="46"/>
      <c r="C88" s="44"/>
      <c r="D88" s="44"/>
      <c r="E88" s="44"/>
      <c r="F88" s="44"/>
      <c r="G88" s="44"/>
      <c r="H88" s="44"/>
      <c r="I88" s="44"/>
    </row>
    <row r="89" spans="1:13" x14ac:dyDescent="0.2">
      <c r="A89" s="46" t="s">
        <v>10</v>
      </c>
      <c r="B89" s="46"/>
      <c r="C89" s="44"/>
      <c r="D89" s="44"/>
      <c r="E89" s="44"/>
      <c r="F89" s="44"/>
      <c r="G89" s="44"/>
      <c r="H89" s="44"/>
      <c r="I89" s="44"/>
    </row>
    <row r="91" spans="1:13" ht="12" thickBot="1" x14ac:dyDescent="0.25">
      <c r="A91" s="71" t="s">
        <v>79</v>
      </c>
      <c r="E91" s="48" t="str">
        <f>E13</f>
        <v>Acct 2.376.00</v>
      </c>
      <c r="F91" s="48"/>
      <c r="G91" s="48"/>
      <c r="H91" s="48"/>
      <c r="I91" s="48"/>
      <c r="M91" s="51" t="s">
        <v>107</v>
      </c>
    </row>
    <row r="92" spans="1:13" ht="12" thickBot="1" x14ac:dyDescent="0.25">
      <c r="A92" s="88" t="s">
        <v>81</v>
      </c>
      <c r="B92" s="51"/>
      <c r="C92" s="49" t="s">
        <v>82</v>
      </c>
      <c r="D92" s="51"/>
      <c r="E92" s="49" t="s">
        <v>83</v>
      </c>
      <c r="F92" s="51"/>
      <c r="G92" s="49" t="s">
        <v>84</v>
      </c>
      <c r="H92" s="51"/>
      <c r="I92" s="49" t="s">
        <v>85</v>
      </c>
      <c r="M92" s="49" t="s">
        <v>108</v>
      </c>
    </row>
    <row r="93" spans="1:13" x14ac:dyDescent="0.2">
      <c r="A93" s="51"/>
      <c r="B93" s="51"/>
      <c r="C93" s="92" t="s">
        <v>6</v>
      </c>
      <c r="D93" s="51"/>
      <c r="E93" s="33" t="s">
        <v>7</v>
      </c>
      <c r="F93" s="51"/>
      <c r="G93" s="33" t="s">
        <v>8</v>
      </c>
      <c r="H93" s="89"/>
      <c r="I93" s="33" t="s">
        <v>42</v>
      </c>
      <c r="K93" s="16" t="s">
        <v>43</v>
      </c>
      <c r="M93" s="51" t="s">
        <v>44</v>
      </c>
    </row>
    <row r="94" spans="1:13" x14ac:dyDescent="0.2">
      <c r="A94" s="51"/>
      <c r="B94" s="51"/>
      <c r="C94" s="51"/>
      <c r="D94" s="51"/>
      <c r="E94" s="51"/>
      <c r="F94" s="51"/>
      <c r="G94" s="51"/>
      <c r="H94" s="51"/>
      <c r="I94" s="51"/>
    </row>
    <row r="95" spans="1:13" x14ac:dyDescent="0.2">
      <c r="A95" s="45">
        <v>1</v>
      </c>
      <c r="C95" s="52">
        <f>C17</f>
        <v>45641</v>
      </c>
      <c r="D95" s="52"/>
      <c r="E95" s="109">
        <f>E55</f>
        <v>0</v>
      </c>
      <c r="F95" s="110"/>
      <c r="G95" s="109">
        <f>G55</f>
        <v>42.41</v>
      </c>
      <c r="H95" s="110"/>
      <c r="I95" s="110">
        <f>G95-E95</f>
        <v>42.41</v>
      </c>
      <c r="J95" s="110"/>
      <c r="K95" s="111"/>
      <c r="L95" s="110"/>
      <c r="M95" s="110">
        <f>+M55</f>
        <v>6.23</v>
      </c>
    </row>
    <row r="96" spans="1:13" x14ac:dyDescent="0.2">
      <c r="A96" s="45">
        <f t="shared" ref="A96:A124" si="9">1+A95</f>
        <v>2</v>
      </c>
      <c r="C96" s="52">
        <f>C18</f>
        <v>45672</v>
      </c>
      <c r="D96" s="52"/>
      <c r="E96" s="80">
        <f>E95+E55</f>
        <v>0</v>
      </c>
      <c r="F96" s="7"/>
      <c r="G96" s="7">
        <f>G95+G55</f>
        <v>84.82</v>
      </c>
      <c r="H96" s="7"/>
      <c r="I96" s="80">
        <f t="shared" ref="I96:I97" si="10">G96-E96</f>
        <v>84.82</v>
      </c>
      <c r="J96" s="7"/>
      <c r="K96" s="7"/>
      <c r="L96" s="7"/>
      <c r="M96" s="7">
        <f>+M95+M55</f>
        <v>12.46</v>
      </c>
    </row>
    <row r="97" spans="1:13" x14ac:dyDescent="0.2">
      <c r="A97" s="45">
        <f t="shared" si="9"/>
        <v>3</v>
      </c>
      <c r="C97" s="52">
        <f t="shared" ref="C97:C107" si="11">C96+31</f>
        <v>45703</v>
      </c>
      <c r="D97" s="52"/>
      <c r="E97" s="7">
        <f>E95+E57</f>
        <v>0</v>
      </c>
      <c r="F97" s="7"/>
      <c r="G97" s="7">
        <f>G95+G57</f>
        <v>84.82</v>
      </c>
      <c r="H97" s="7"/>
      <c r="I97" s="80">
        <f t="shared" si="10"/>
        <v>84.82</v>
      </c>
      <c r="J97" s="7"/>
      <c r="K97" s="7"/>
      <c r="L97" s="7"/>
      <c r="M97" s="7">
        <f t="shared" ref="M97:M107" si="12">+M96+M56</f>
        <v>18.690000000000001</v>
      </c>
    </row>
    <row r="98" spans="1:13" x14ac:dyDescent="0.2">
      <c r="A98" s="45">
        <f t="shared" si="9"/>
        <v>4</v>
      </c>
      <c r="C98" s="52">
        <f t="shared" si="11"/>
        <v>45734</v>
      </c>
      <c r="D98" s="52"/>
      <c r="E98" s="7">
        <f t="shared" ref="E98:E107" si="13">E97+E58</f>
        <v>0</v>
      </c>
      <c r="F98" s="7"/>
      <c r="G98" s="7">
        <f t="shared" ref="G98:G107" si="14">G97+G58</f>
        <v>127.22999999999999</v>
      </c>
      <c r="H98" s="7"/>
      <c r="I98" s="7">
        <f t="shared" ref="I98:I107" si="15">G98-E98</f>
        <v>127.22999999999999</v>
      </c>
      <c r="J98" s="7"/>
      <c r="K98" s="7"/>
      <c r="L98" s="7"/>
      <c r="M98" s="7">
        <f t="shared" si="12"/>
        <v>24.92</v>
      </c>
    </row>
    <row r="99" spans="1:13" x14ac:dyDescent="0.2">
      <c r="A99" s="45">
        <f t="shared" si="9"/>
        <v>5</v>
      </c>
      <c r="C99" s="52">
        <f t="shared" si="11"/>
        <v>45765</v>
      </c>
      <c r="D99" s="52"/>
      <c r="E99" s="7">
        <f t="shared" si="13"/>
        <v>0</v>
      </c>
      <c r="F99" s="7"/>
      <c r="G99" s="7">
        <f t="shared" si="14"/>
        <v>169.64</v>
      </c>
      <c r="H99" s="7"/>
      <c r="I99" s="7">
        <f t="shared" si="15"/>
        <v>169.64</v>
      </c>
      <c r="J99" s="7"/>
      <c r="K99" s="7"/>
      <c r="L99" s="7"/>
      <c r="M99" s="7">
        <f t="shared" si="12"/>
        <v>31.150000000000002</v>
      </c>
    </row>
    <row r="100" spans="1:13" x14ac:dyDescent="0.2">
      <c r="A100" s="45">
        <f t="shared" si="9"/>
        <v>6</v>
      </c>
      <c r="C100" s="52">
        <f t="shared" si="11"/>
        <v>45796</v>
      </c>
      <c r="D100" s="52"/>
      <c r="E100" s="7">
        <f t="shared" si="13"/>
        <v>0</v>
      </c>
      <c r="F100" s="7"/>
      <c r="G100" s="7">
        <f t="shared" si="14"/>
        <v>212.04999999999998</v>
      </c>
      <c r="H100" s="7"/>
      <c r="I100" s="7">
        <f t="shared" si="15"/>
        <v>212.04999999999998</v>
      </c>
      <c r="J100" s="7"/>
      <c r="K100" s="7"/>
      <c r="L100" s="7"/>
      <c r="M100" s="7">
        <f t="shared" si="12"/>
        <v>37.380000000000003</v>
      </c>
    </row>
    <row r="101" spans="1:13" x14ac:dyDescent="0.2">
      <c r="A101" s="45">
        <f t="shared" si="9"/>
        <v>7</v>
      </c>
      <c r="C101" s="52">
        <f t="shared" si="11"/>
        <v>45827</v>
      </c>
      <c r="D101" s="52"/>
      <c r="E101" s="7">
        <f t="shared" si="13"/>
        <v>0</v>
      </c>
      <c r="F101" s="7"/>
      <c r="G101" s="7">
        <f t="shared" si="14"/>
        <v>254.45999999999998</v>
      </c>
      <c r="H101" s="7"/>
      <c r="I101" s="7">
        <f t="shared" si="15"/>
        <v>254.45999999999998</v>
      </c>
      <c r="J101" s="7"/>
      <c r="K101" s="7"/>
      <c r="L101" s="7"/>
      <c r="M101" s="7">
        <f t="shared" si="12"/>
        <v>43.61</v>
      </c>
    </row>
    <row r="102" spans="1:13" x14ac:dyDescent="0.2">
      <c r="A102" s="45">
        <f t="shared" si="9"/>
        <v>8</v>
      </c>
      <c r="C102" s="52">
        <f t="shared" si="11"/>
        <v>45858</v>
      </c>
      <c r="D102" s="52"/>
      <c r="E102" s="7">
        <f t="shared" si="13"/>
        <v>0</v>
      </c>
      <c r="F102" s="7"/>
      <c r="G102" s="7">
        <f t="shared" si="14"/>
        <v>296.87</v>
      </c>
      <c r="H102" s="7"/>
      <c r="I102" s="7">
        <f t="shared" si="15"/>
        <v>296.87</v>
      </c>
      <c r="J102" s="7"/>
      <c r="K102" s="7"/>
      <c r="L102" s="7"/>
      <c r="M102" s="7">
        <f t="shared" si="12"/>
        <v>49.84</v>
      </c>
    </row>
    <row r="103" spans="1:13" x14ac:dyDescent="0.2">
      <c r="A103" s="45">
        <f t="shared" si="9"/>
        <v>9</v>
      </c>
      <c r="C103" s="52">
        <f t="shared" si="11"/>
        <v>45889</v>
      </c>
      <c r="D103" s="52"/>
      <c r="E103" s="7">
        <f t="shared" si="13"/>
        <v>0</v>
      </c>
      <c r="F103" s="7"/>
      <c r="G103" s="7">
        <f t="shared" si="14"/>
        <v>339.28</v>
      </c>
      <c r="H103" s="7"/>
      <c r="I103" s="7">
        <f t="shared" si="15"/>
        <v>339.28</v>
      </c>
      <c r="J103" s="7"/>
      <c r="K103" s="7"/>
      <c r="L103" s="7"/>
      <c r="M103" s="7">
        <f t="shared" si="12"/>
        <v>56.070000000000007</v>
      </c>
    </row>
    <row r="104" spans="1:13" x14ac:dyDescent="0.2">
      <c r="A104" s="45">
        <f t="shared" si="9"/>
        <v>10</v>
      </c>
      <c r="C104" s="52">
        <f t="shared" si="11"/>
        <v>45920</v>
      </c>
      <c r="D104" s="52"/>
      <c r="E104" s="7">
        <f t="shared" si="13"/>
        <v>0</v>
      </c>
      <c r="F104" s="7"/>
      <c r="G104" s="7">
        <f t="shared" si="14"/>
        <v>381.68999999999994</v>
      </c>
      <c r="H104" s="7"/>
      <c r="I104" s="7">
        <f t="shared" si="15"/>
        <v>381.68999999999994</v>
      </c>
      <c r="J104" s="7"/>
      <c r="K104" s="7"/>
      <c r="L104" s="7"/>
      <c r="M104" s="7">
        <f t="shared" si="12"/>
        <v>62.300000000000011</v>
      </c>
    </row>
    <row r="105" spans="1:13" x14ac:dyDescent="0.2">
      <c r="A105" s="45">
        <f t="shared" si="9"/>
        <v>11</v>
      </c>
      <c r="C105" s="52">
        <f t="shared" si="11"/>
        <v>45951</v>
      </c>
      <c r="D105" s="52"/>
      <c r="E105" s="7">
        <f t="shared" si="13"/>
        <v>0</v>
      </c>
      <c r="F105" s="7"/>
      <c r="G105" s="7">
        <f t="shared" si="14"/>
        <v>424.09999999999991</v>
      </c>
      <c r="H105" s="7"/>
      <c r="I105" s="7">
        <f t="shared" si="15"/>
        <v>424.09999999999991</v>
      </c>
      <c r="J105" s="7"/>
      <c r="K105" s="7"/>
      <c r="L105" s="7"/>
      <c r="M105" s="7">
        <f t="shared" si="12"/>
        <v>68.530000000000015</v>
      </c>
    </row>
    <row r="106" spans="1:13" x14ac:dyDescent="0.2">
      <c r="A106" s="45">
        <f t="shared" si="9"/>
        <v>12</v>
      </c>
      <c r="C106" s="52">
        <f t="shared" si="11"/>
        <v>45982</v>
      </c>
      <c r="D106" s="52"/>
      <c r="E106" s="7">
        <f t="shared" si="13"/>
        <v>0</v>
      </c>
      <c r="F106" s="7"/>
      <c r="G106" s="7">
        <f t="shared" si="14"/>
        <v>466.50999999999988</v>
      </c>
      <c r="H106" s="7"/>
      <c r="I106" s="7">
        <f t="shared" si="15"/>
        <v>466.50999999999988</v>
      </c>
      <c r="J106" s="7"/>
      <c r="K106" s="7"/>
      <c r="L106" s="7"/>
      <c r="M106" s="7">
        <f t="shared" si="12"/>
        <v>74.77000000000001</v>
      </c>
    </row>
    <row r="107" spans="1:13" x14ac:dyDescent="0.2">
      <c r="A107" s="45">
        <f t="shared" si="9"/>
        <v>13</v>
      </c>
      <c r="C107" s="52">
        <f t="shared" si="11"/>
        <v>46013</v>
      </c>
      <c r="D107" s="52"/>
      <c r="E107" s="115">
        <f t="shared" si="13"/>
        <v>0</v>
      </c>
      <c r="F107" s="7"/>
      <c r="G107" s="115">
        <f t="shared" si="14"/>
        <v>508.91999999999985</v>
      </c>
      <c r="H107" s="7"/>
      <c r="I107" s="115">
        <f t="shared" si="15"/>
        <v>508.91999999999985</v>
      </c>
      <c r="J107" s="7"/>
      <c r="K107" s="7"/>
      <c r="L107" s="7"/>
      <c r="M107" s="115">
        <f t="shared" si="12"/>
        <v>81.010000000000005</v>
      </c>
    </row>
    <row r="108" spans="1:13" x14ac:dyDescent="0.2">
      <c r="A108" s="45">
        <f t="shared" si="9"/>
        <v>14</v>
      </c>
      <c r="C108" s="58" t="s">
        <v>47</v>
      </c>
      <c r="D108" s="58"/>
      <c r="E108" s="110">
        <f>SUM(E95:E107)</f>
        <v>0</v>
      </c>
      <c r="F108" s="110"/>
      <c r="G108" s="110">
        <f>SUM(G95:G107)</f>
        <v>3392.7999999999993</v>
      </c>
      <c r="H108" s="110"/>
      <c r="I108" s="110">
        <f>SUM(I95:I107)</f>
        <v>3392.7999999999993</v>
      </c>
      <c r="J108" s="110"/>
      <c r="K108" s="110"/>
      <c r="L108" s="110"/>
      <c r="M108" s="110">
        <f>SUM(M95:M107)</f>
        <v>566.96</v>
      </c>
    </row>
    <row r="109" spans="1:13" x14ac:dyDescent="0.2">
      <c r="A109" s="45">
        <f t="shared" si="9"/>
        <v>15</v>
      </c>
      <c r="E109" s="110"/>
      <c r="F109" s="110"/>
      <c r="G109" s="110"/>
      <c r="H109" s="110"/>
      <c r="I109" s="110"/>
      <c r="J109" s="110"/>
      <c r="K109" s="110"/>
      <c r="L109" s="110"/>
      <c r="M109" s="110"/>
    </row>
    <row r="110" spans="1:13" ht="12" thickBot="1" x14ac:dyDescent="0.25">
      <c r="A110" s="45">
        <f t="shared" si="9"/>
        <v>16</v>
      </c>
      <c r="C110" s="73" t="s">
        <v>139</v>
      </c>
      <c r="D110" s="73"/>
      <c r="E110" s="112">
        <f>ROUND(+E108/13,2)</f>
        <v>0</v>
      </c>
      <c r="F110" s="110"/>
      <c r="G110" s="112">
        <f>ROUND(+G108/13,2)</f>
        <v>260.98</v>
      </c>
      <c r="H110" s="110"/>
      <c r="I110" s="112">
        <f>ROUND(+I108/13,2)</f>
        <v>260.98</v>
      </c>
      <c r="J110" s="110"/>
      <c r="K110" s="110"/>
      <c r="L110" s="110"/>
      <c r="M110" s="112">
        <f>ROUND(+M108/13,2)</f>
        <v>43.61</v>
      </c>
    </row>
    <row r="111" spans="1:13" ht="12" thickTop="1" x14ac:dyDescent="0.2">
      <c r="A111" s="45">
        <f t="shared" si="9"/>
        <v>17</v>
      </c>
      <c r="E111" s="113" t="s">
        <v>10</v>
      </c>
      <c r="F111" s="113"/>
      <c r="G111" s="113" t="s">
        <v>10</v>
      </c>
      <c r="H111" s="113"/>
      <c r="I111" s="113" t="s">
        <v>10</v>
      </c>
      <c r="J111" s="110"/>
      <c r="K111" s="110"/>
      <c r="L111" s="110"/>
      <c r="M111" s="110"/>
    </row>
    <row r="112" spans="1:13" x14ac:dyDescent="0.2">
      <c r="A112" s="45">
        <f t="shared" si="9"/>
        <v>18</v>
      </c>
      <c r="E112" s="110"/>
      <c r="F112" s="110"/>
      <c r="G112" s="110"/>
      <c r="H112" s="110"/>
      <c r="I112" s="110"/>
      <c r="J112" s="110"/>
      <c r="K112" s="110"/>
      <c r="L112" s="110"/>
      <c r="M112" s="110"/>
    </row>
    <row r="113" spans="1:13" ht="12" thickBot="1" x14ac:dyDescent="0.25">
      <c r="A113" s="45">
        <f t="shared" si="9"/>
        <v>19</v>
      </c>
      <c r="C113" s="58" t="s">
        <v>87</v>
      </c>
      <c r="D113" s="58"/>
      <c r="E113" s="110"/>
      <c r="F113" s="110"/>
      <c r="G113" s="110"/>
      <c r="H113" s="110"/>
      <c r="I113" s="118">
        <f>I110</f>
        <v>260.98</v>
      </c>
      <c r="J113" s="110"/>
      <c r="K113" s="110"/>
      <c r="L113" s="110"/>
      <c r="M113" s="118">
        <f>+M110</f>
        <v>43.61</v>
      </c>
    </row>
    <row r="114" spans="1:13" ht="12" thickTop="1" x14ac:dyDescent="0.2">
      <c r="A114" s="45">
        <f t="shared" si="9"/>
        <v>20</v>
      </c>
      <c r="E114" s="54"/>
      <c r="F114" s="54"/>
      <c r="G114" s="54"/>
      <c r="H114" s="54"/>
      <c r="I114" s="58" t="s">
        <v>88</v>
      </c>
      <c r="M114" s="58" t="s">
        <v>88</v>
      </c>
    </row>
    <row r="115" spans="1:13" x14ac:dyDescent="0.2">
      <c r="A115" s="45">
        <f t="shared" si="9"/>
        <v>21</v>
      </c>
      <c r="I115" s="58" t="s">
        <v>150</v>
      </c>
      <c r="M115" s="58" t="s">
        <v>151</v>
      </c>
    </row>
    <row r="116" spans="1:13" x14ac:dyDescent="0.2">
      <c r="A116" s="45">
        <f t="shared" si="9"/>
        <v>22</v>
      </c>
    </row>
    <row r="117" spans="1:13" x14ac:dyDescent="0.2">
      <c r="A117" s="45">
        <f t="shared" si="9"/>
        <v>23</v>
      </c>
      <c r="E117" s="69" t="s">
        <v>98</v>
      </c>
      <c r="F117" s="69"/>
      <c r="G117" s="69" t="s">
        <v>99</v>
      </c>
    </row>
    <row r="118" spans="1:13" ht="12" thickBot="1" x14ac:dyDescent="0.25">
      <c r="A118" s="45">
        <f t="shared" si="9"/>
        <v>24</v>
      </c>
      <c r="E118" s="70" t="s">
        <v>102</v>
      </c>
      <c r="F118" s="69"/>
      <c r="G118" s="70" t="s">
        <v>102</v>
      </c>
    </row>
    <row r="119" spans="1:13" x14ac:dyDescent="0.2">
      <c r="A119" s="45">
        <f t="shared" si="9"/>
        <v>25</v>
      </c>
      <c r="C119" s="71" t="str">
        <f>C76</f>
        <v>Acct 2.376.00</v>
      </c>
      <c r="D119" s="71"/>
      <c r="E119" s="75">
        <f>E76</f>
        <v>2.2058823529411766E-2</v>
      </c>
      <c r="F119" s="75"/>
      <c r="G119" s="75">
        <f>G76</f>
        <v>1.6968325791855204E-3</v>
      </c>
    </row>
    <row r="120" spans="1:13" x14ac:dyDescent="0.2">
      <c r="A120" s="45">
        <f t="shared" si="9"/>
        <v>26</v>
      </c>
      <c r="E120" s="54"/>
      <c r="F120" s="54"/>
      <c r="G120" s="54"/>
      <c r="H120" s="54"/>
      <c r="I120" s="54"/>
    </row>
    <row r="121" spans="1:13" x14ac:dyDescent="0.2">
      <c r="A121" s="45">
        <f t="shared" si="9"/>
        <v>27</v>
      </c>
      <c r="H121" s="54"/>
      <c r="I121" s="54"/>
    </row>
    <row r="122" spans="1:13" x14ac:dyDescent="0.2">
      <c r="A122" s="45">
        <f t="shared" si="9"/>
        <v>28</v>
      </c>
    </row>
    <row r="123" spans="1:13" x14ac:dyDescent="0.2">
      <c r="A123" s="45">
        <f t="shared" si="9"/>
        <v>29</v>
      </c>
    </row>
    <row r="124" spans="1:13" x14ac:dyDescent="0.2">
      <c r="A124" s="45">
        <f t="shared" si="9"/>
        <v>30</v>
      </c>
    </row>
  </sheetData>
  <mergeCells count="7">
    <mergeCell ref="A84:I84"/>
    <mergeCell ref="A4:I4"/>
    <mergeCell ref="A5:I5"/>
    <mergeCell ref="A8:I8"/>
    <mergeCell ref="A43:I43"/>
    <mergeCell ref="A44:I44"/>
    <mergeCell ref="A83:I83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ADEE-6D2E-4ADF-8590-90B2C0377CF6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0.8554687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3.25" customHeight="1" x14ac:dyDescent="0.2">
      <c r="A5" s="139" t="str">
        <f>'CAPGDS1000001150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'CAPGDS1000001150 Input'!F8</f>
        <v>SFS-Hartford Serve Load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'CAPGDS1000001150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"&amp;'CAPGDS1000001150 Input'!F16</f>
        <v>Acct 2.378.03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'CAPGDS1000001150 TotalWO'!C17</f>
        <v>45641</v>
      </c>
      <c r="D17" s="52"/>
      <c r="E17" s="53">
        <f>'CAPGDS1000001150 TotalWO'!E17*'CAPGDS1000001150 Input'!$H$15</f>
        <v>0</v>
      </c>
      <c r="F17" s="64"/>
      <c r="G17" s="53">
        <f>'CAPGDS1000001150 TotalWO'!G17*'CAPGDS1000001150 Input'!$H$16</f>
        <v>122026.59999999999</v>
      </c>
      <c r="H17" s="56"/>
      <c r="I17" s="53">
        <f t="shared" ref="I17:I29" si="0">G17-E17</f>
        <v>122026.59999999999</v>
      </c>
    </row>
    <row r="18" spans="1:12" x14ac:dyDescent="0.2">
      <c r="A18" s="45">
        <f t="shared" ref="A18:A40" si="1">1+A17</f>
        <v>2</v>
      </c>
      <c r="C18" s="52">
        <f>'CAPGDS1000001150 TotalWO'!C18</f>
        <v>45672</v>
      </c>
      <c r="D18" s="52"/>
      <c r="E18" s="55">
        <f>'CAPGDS1000001150 TotalWO'!E18*'CAPGDS1000001150 Input'!$H$15</f>
        <v>0</v>
      </c>
      <c r="F18" s="64"/>
      <c r="G18" s="55">
        <f>'CAPGDS1000001150 TotalWO'!G17*'CAPGDS1000001150 Input'!$H$16</f>
        <v>122026.59999999999</v>
      </c>
      <c r="H18" s="56"/>
      <c r="I18" s="55">
        <f t="shared" si="0"/>
        <v>122026.59999999999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65">
        <f>'CAPGDS1000001150 TotalWO'!E19*'CAPGDS1000001150 Input'!$H$15</f>
        <v>0</v>
      </c>
      <c r="F19" s="64"/>
      <c r="G19" s="55">
        <f>'CAPGDS1000001150 TotalWO'!G18*'CAPGDS1000001150 Input'!$H$16</f>
        <v>122026.59999999999</v>
      </c>
      <c r="H19" s="56"/>
      <c r="I19" s="56">
        <f t="shared" si="0"/>
        <v>122026.59999999999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65">
        <f>'CAPGDS1000001150 TotalWO'!E20*'CAPGDS1000001150 Input'!$H$15</f>
        <v>0</v>
      </c>
      <c r="F20" s="64"/>
      <c r="G20" s="55">
        <f>'CAPGDS1000001150 TotalWO'!G19*'CAPGDS1000001150 Input'!$H$16</f>
        <v>122026.59999999999</v>
      </c>
      <c r="H20" s="56"/>
      <c r="I20" s="56">
        <f t="shared" si="0"/>
        <v>122026.59999999999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65">
        <f>'CAPGDS1000001150 TotalWO'!E21*'CAPGDS1000001150 Input'!$H$15</f>
        <v>0</v>
      </c>
      <c r="F21" s="64"/>
      <c r="G21" s="55">
        <f>'CAPGDS1000001150 TotalWO'!G20*'CAPGDS1000001150 Input'!$H$16</f>
        <v>122026.59999999999</v>
      </c>
      <c r="H21" s="56"/>
      <c r="I21" s="56">
        <f t="shared" si="0"/>
        <v>122026.59999999999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65">
        <f>'CAPGDS1000001150 TotalWO'!E22*'CAPGDS1000001150 Input'!$H$15</f>
        <v>0</v>
      </c>
      <c r="F22" s="64"/>
      <c r="G22" s="55">
        <f>'CAPGDS1000001150 TotalWO'!G21*'CAPGDS1000001150 Input'!$H$16</f>
        <v>122026.59999999999</v>
      </c>
      <c r="H22" s="56"/>
      <c r="I22" s="56">
        <f t="shared" si="0"/>
        <v>122026.59999999999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65">
        <f>'CAPGDS1000001150 TotalWO'!E23*'CAPGDS1000001150 Input'!$H$15</f>
        <v>0</v>
      </c>
      <c r="F23" s="64"/>
      <c r="G23" s="55">
        <f>'CAPGDS1000001150 TotalWO'!G22*'CAPGDS1000001150 Input'!$H$16</f>
        <v>122026.59999999999</v>
      </c>
      <c r="H23" s="56"/>
      <c r="I23" s="56">
        <f t="shared" si="0"/>
        <v>122026.59999999999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65">
        <f>'CAPGDS1000001150 TotalWO'!E24*'CAPGDS1000001150 Input'!$H$15</f>
        <v>0</v>
      </c>
      <c r="F24" s="64"/>
      <c r="G24" s="55">
        <f>'CAPGDS1000001150 TotalWO'!G23*'CAPGDS1000001150 Input'!$H$16</f>
        <v>122026.59999999999</v>
      </c>
      <c r="H24" s="56"/>
      <c r="I24" s="56">
        <f t="shared" si="0"/>
        <v>122026.59999999999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65">
        <f>'CAPGDS1000001150 TotalWO'!E25*'CAPGDS1000001150 Input'!$H$15</f>
        <v>0</v>
      </c>
      <c r="F25" s="64"/>
      <c r="G25" s="55">
        <f>'CAPGDS1000001150 TotalWO'!G24*'CAPGDS1000001150 Input'!$H$16</f>
        <v>122026.59999999999</v>
      </c>
      <c r="H25" s="56"/>
      <c r="I25" s="56">
        <f t="shared" si="0"/>
        <v>122026.59999999999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65">
        <f>'CAPGDS1000001150 TotalWO'!E26*'CAPGDS1000001150 Input'!$H$15</f>
        <v>0</v>
      </c>
      <c r="F26" s="64"/>
      <c r="G26" s="55">
        <f>'CAPGDS1000001150 TotalWO'!G25*'CAPGDS1000001150 Input'!$H$16</f>
        <v>122026.59999999999</v>
      </c>
      <c r="H26" s="56"/>
      <c r="I26" s="56">
        <f t="shared" si="0"/>
        <v>122026.59999999999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65">
        <f>'CAPGDS1000001150 TotalWO'!E27*'CAPGDS1000001150 Input'!$H$15</f>
        <v>0</v>
      </c>
      <c r="F27" s="64"/>
      <c r="G27" s="55">
        <f>'CAPGDS1000001150 TotalWO'!G26*'CAPGDS1000001150 Input'!$H$16</f>
        <v>122026.59999999999</v>
      </c>
      <c r="H27" s="56"/>
      <c r="I27" s="56">
        <f t="shared" si="0"/>
        <v>122026.59999999999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65">
        <f>'CAPGDS1000001150 TotalWO'!E28*'CAPGDS1000001150 Input'!$H$15</f>
        <v>0</v>
      </c>
      <c r="F28" s="64"/>
      <c r="G28" s="55">
        <f>'CAPGDS1000001150 TotalWO'!G27*'CAPGDS1000001150 Input'!$H$16</f>
        <v>122026.59999999999</v>
      </c>
      <c r="H28" s="56"/>
      <c r="I28" s="56">
        <f t="shared" si="0"/>
        <v>122026.59999999999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66">
        <f>'CAPGDS1000001150 TotalWO'!E29*'CAPGDS1000001150 Input'!$H$15</f>
        <v>0</v>
      </c>
      <c r="F29" s="64"/>
      <c r="G29" s="66">
        <f>'CAPGDS1000001150 TotalWO'!G28*'CAPGDS1000001150 Input'!$H$16</f>
        <v>122026.59999999999</v>
      </c>
      <c r="H29" s="56"/>
      <c r="I29" s="57">
        <f t="shared" si="0"/>
        <v>122026.59999999999</v>
      </c>
    </row>
    <row r="30" spans="1:12" x14ac:dyDescent="0.2">
      <c r="A30" s="45">
        <f t="shared" si="1"/>
        <v>14</v>
      </c>
      <c r="C30" s="58" t="s">
        <v>47</v>
      </c>
      <c r="D30" s="58"/>
      <c r="E30" s="59">
        <f>SUM(E18:E29)</f>
        <v>0</v>
      </c>
      <c r="F30" s="60"/>
      <c r="G30" s="59">
        <f>SUM(G17:G29)</f>
        <v>1586345.8000000003</v>
      </c>
      <c r="H30" s="60"/>
      <c r="I30" s="59">
        <f>SUM(I17:I29)</f>
        <v>1586345.8000000003</v>
      </c>
    </row>
    <row r="31" spans="1:12" x14ac:dyDescent="0.2">
      <c r="A31" s="45">
        <f t="shared" si="1"/>
        <v>15</v>
      </c>
      <c r="E31" s="54"/>
      <c r="F31" s="54"/>
      <c r="G31" s="54"/>
      <c r="H31" s="54"/>
      <c r="I31" s="54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62">
        <f>ROUND(+E30/12,2)</f>
        <v>0</v>
      </c>
      <c r="F32" s="60"/>
      <c r="G32" s="62">
        <f>ROUND(+G30/13,2)</f>
        <v>122026.6</v>
      </c>
      <c r="H32" s="60"/>
      <c r="I32" s="62">
        <f>ROUND(+I30/13,2)</f>
        <v>122026.6</v>
      </c>
    </row>
    <row r="33" spans="1:9" ht="12" thickTop="1" x14ac:dyDescent="0.2">
      <c r="A33" s="45">
        <f t="shared" si="1"/>
        <v>17</v>
      </c>
    </row>
    <row r="34" spans="1:9" x14ac:dyDescent="0.2">
      <c r="A34" s="45">
        <f t="shared" si="1"/>
        <v>18</v>
      </c>
      <c r="E34" s="63" t="s">
        <v>10</v>
      </c>
      <c r="F34" s="63"/>
      <c r="G34" s="63" t="s">
        <v>10</v>
      </c>
      <c r="H34" s="63"/>
      <c r="I34" s="6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54"/>
      <c r="F35" s="54"/>
      <c r="G35" s="54"/>
      <c r="H35" s="54"/>
      <c r="I35" s="62">
        <f>I32</f>
        <v>122026.6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148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2.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>SFS-Hartford Serve Load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2.378.03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53">
        <f>ROUND(E17*$G$78,2)</f>
        <v>0</v>
      </c>
      <c r="F57" s="60"/>
      <c r="G57" s="53">
        <f>ROUND(+G17*$G$78,2)</f>
        <v>207.06</v>
      </c>
      <c r="H57" s="60"/>
      <c r="I57" s="59">
        <f t="shared" ref="I57" si="3">G57-E57</f>
        <v>207.06</v>
      </c>
      <c r="K57" s="55"/>
      <c r="M57" s="59">
        <f>+ROUND(I57/I$72*M$72,2)</f>
        <v>30.44</v>
      </c>
    </row>
    <row r="58" spans="1:13" x14ac:dyDescent="0.2">
      <c r="A58" s="45">
        <f t="shared" ref="A58:A81" si="4">1+A57</f>
        <v>2</v>
      </c>
      <c r="C58" s="52">
        <f>C18</f>
        <v>45672</v>
      </c>
      <c r="D58" s="52"/>
      <c r="E58" s="64">
        <f t="shared" ref="E58:E69" si="5">ROUND(E17*$G$78,2)</f>
        <v>0</v>
      </c>
      <c r="F58" s="68"/>
      <c r="G58" s="64">
        <f>ROUND(+G18*$G$78,2)</f>
        <v>207.06</v>
      </c>
      <c r="H58" s="54"/>
      <c r="I58" s="56">
        <f t="shared" ref="I58:I69" si="6">G58-E58</f>
        <v>207.06</v>
      </c>
      <c r="M58" s="56">
        <f>+ROUND(I58/I$72*M$72,2)</f>
        <v>30.44</v>
      </c>
    </row>
    <row r="59" spans="1:13" x14ac:dyDescent="0.2">
      <c r="A59" s="45">
        <f t="shared" si="4"/>
        <v>3</v>
      </c>
      <c r="C59" s="52">
        <f t="shared" ref="C59:C69" si="7">C58+31</f>
        <v>45703</v>
      </c>
      <c r="D59" s="52"/>
      <c r="E59" s="64">
        <f t="shared" si="5"/>
        <v>0</v>
      </c>
      <c r="F59" s="68"/>
      <c r="G59" s="64">
        <f t="shared" ref="G59:G69" si="8">ROUND(+G18*$G$78,2)</f>
        <v>207.06</v>
      </c>
      <c r="H59" s="54"/>
      <c r="I59" s="56">
        <f t="shared" si="6"/>
        <v>207.06</v>
      </c>
      <c r="M59" s="56">
        <f t="shared" ref="M59:M69" si="9">+ROUND(I59/I$72*M$72,2)</f>
        <v>30.44</v>
      </c>
    </row>
    <row r="60" spans="1:13" x14ac:dyDescent="0.2">
      <c r="A60" s="45">
        <f t="shared" si="4"/>
        <v>4</v>
      </c>
      <c r="C60" s="52">
        <f t="shared" si="7"/>
        <v>45734</v>
      </c>
      <c r="D60" s="52"/>
      <c r="E60" s="64">
        <f t="shared" si="5"/>
        <v>0</v>
      </c>
      <c r="F60" s="68"/>
      <c r="G60" s="64">
        <f t="shared" si="8"/>
        <v>207.06</v>
      </c>
      <c r="H60" s="54"/>
      <c r="I60" s="56">
        <f t="shared" si="6"/>
        <v>207.06</v>
      </c>
      <c r="M60" s="56">
        <f t="shared" si="9"/>
        <v>30.44</v>
      </c>
    </row>
    <row r="61" spans="1:13" x14ac:dyDescent="0.2">
      <c r="A61" s="45">
        <f t="shared" si="4"/>
        <v>5</v>
      </c>
      <c r="C61" s="52">
        <f t="shared" si="7"/>
        <v>45765</v>
      </c>
      <c r="D61" s="52"/>
      <c r="E61" s="64">
        <f t="shared" si="5"/>
        <v>0</v>
      </c>
      <c r="F61" s="68"/>
      <c r="G61" s="64">
        <f t="shared" si="8"/>
        <v>207.06</v>
      </c>
      <c r="H61" s="54"/>
      <c r="I61" s="56">
        <f t="shared" si="6"/>
        <v>207.06</v>
      </c>
      <c r="M61" s="56">
        <f t="shared" si="9"/>
        <v>30.44</v>
      </c>
    </row>
    <row r="62" spans="1:13" x14ac:dyDescent="0.2">
      <c r="A62" s="45">
        <f t="shared" si="4"/>
        <v>6</v>
      </c>
      <c r="C62" s="52">
        <f t="shared" si="7"/>
        <v>45796</v>
      </c>
      <c r="D62" s="52"/>
      <c r="E62" s="64">
        <f t="shared" si="5"/>
        <v>0</v>
      </c>
      <c r="F62" s="68"/>
      <c r="G62" s="64">
        <f t="shared" si="8"/>
        <v>207.06</v>
      </c>
      <c r="H62" s="54"/>
      <c r="I62" s="56">
        <f t="shared" si="6"/>
        <v>207.06</v>
      </c>
      <c r="M62" s="56">
        <f t="shared" si="9"/>
        <v>30.44</v>
      </c>
    </row>
    <row r="63" spans="1:13" x14ac:dyDescent="0.2">
      <c r="A63" s="45">
        <f t="shared" si="4"/>
        <v>7</v>
      </c>
      <c r="C63" s="52">
        <f t="shared" si="7"/>
        <v>45827</v>
      </c>
      <c r="D63" s="52"/>
      <c r="E63" s="64">
        <f t="shared" si="5"/>
        <v>0</v>
      </c>
      <c r="F63" s="68"/>
      <c r="G63" s="64">
        <f t="shared" si="8"/>
        <v>207.06</v>
      </c>
      <c r="H63" s="54"/>
      <c r="I63" s="56">
        <f t="shared" si="6"/>
        <v>207.06</v>
      </c>
      <c r="M63" s="56">
        <f t="shared" si="9"/>
        <v>30.44</v>
      </c>
    </row>
    <row r="64" spans="1:13" x14ac:dyDescent="0.2">
      <c r="A64" s="45">
        <f t="shared" si="4"/>
        <v>8</v>
      </c>
      <c r="C64" s="52">
        <f t="shared" si="7"/>
        <v>45858</v>
      </c>
      <c r="D64" s="52"/>
      <c r="E64" s="64">
        <f t="shared" si="5"/>
        <v>0</v>
      </c>
      <c r="F64" s="68"/>
      <c r="G64" s="64">
        <f t="shared" si="8"/>
        <v>207.06</v>
      </c>
      <c r="H64" s="54"/>
      <c r="I64" s="56">
        <f t="shared" si="6"/>
        <v>207.06</v>
      </c>
      <c r="M64" s="56">
        <f t="shared" si="9"/>
        <v>30.44</v>
      </c>
    </row>
    <row r="65" spans="1:13" x14ac:dyDescent="0.2">
      <c r="A65" s="45">
        <f t="shared" si="4"/>
        <v>9</v>
      </c>
      <c r="C65" s="52">
        <f t="shared" si="7"/>
        <v>45889</v>
      </c>
      <c r="D65" s="52"/>
      <c r="E65" s="64">
        <f t="shared" si="5"/>
        <v>0</v>
      </c>
      <c r="F65" s="68"/>
      <c r="G65" s="64">
        <f t="shared" si="8"/>
        <v>207.06</v>
      </c>
      <c r="H65" s="54"/>
      <c r="I65" s="56">
        <f t="shared" si="6"/>
        <v>207.06</v>
      </c>
      <c r="M65" s="56">
        <f t="shared" si="9"/>
        <v>30.44</v>
      </c>
    </row>
    <row r="66" spans="1:13" x14ac:dyDescent="0.2">
      <c r="A66" s="45">
        <f t="shared" si="4"/>
        <v>10</v>
      </c>
      <c r="C66" s="52">
        <f t="shared" si="7"/>
        <v>45920</v>
      </c>
      <c r="D66" s="52"/>
      <c r="E66" s="64">
        <f t="shared" si="5"/>
        <v>0</v>
      </c>
      <c r="F66" s="68"/>
      <c r="G66" s="64">
        <f t="shared" si="8"/>
        <v>207.06</v>
      </c>
      <c r="H66" s="54"/>
      <c r="I66" s="56">
        <f t="shared" si="6"/>
        <v>207.06</v>
      </c>
      <c r="M66" s="56">
        <f t="shared" si="9"/>
        <v>30.44</v>
      </c>
    </row>
    <row r="67" spans="1:13" x14ac:dyDescent="0.2">
      <c r="A67" s="45">
        <f t="shared" si="4"/>
        <v>11</v>
      </c>
      <c r="C67" s="52">
        <f t="shared" si="7"/>
        <v>45951</v>
      </c>
      <c r="D67" s="52"/>
      <c r="E67" s="64">
        <f t="shared" si="5"/>
        <v>0</v>
      </c>
      <c r="F67" s="68"/>
      <c r="G67" s="64">
        <f t="shared" si="8"/>
        <v>207.06</v>
      </c>
      <c r="H67" s="54"/>
      <c r="I67" s="56">
        <f t="shared" si="6"/>
        <v>207.06</v>
      </c>
      <c r="M67" s="56">
        <f>+ROUND(I67/I$72*M$72,2)+0.01</f>
        <v>30.450000000000003</v>
      </c>
    </row>
    <row r="68" spans="1:13" x14ac:dyDescent="0.2">
      <c r="A68" s="45">
        <f t="shared" si="4"/>
        <v>12</v>
      </c>
      <c r="C68" s="52">
        <f t="shared" si="7"/>
        <v>45982</v>
      </c>
      <c r="D68" s="52"/>
      <c r="E68" s="64">
        <f t="shared" si="5"/>
        <v>0</v>
      </c>
      <c r="F68" s="68"/>
      <c r="G68" s="64">
        <f t="shared" si="8"/>
        <v>207.06</v>
      </c>
      <c r="H68" s="54"/>
      <c r="I68" s="56">
        <f t="shared" si="6"/>
        <v>207.06</v>
      </c>
      <c r="M68" s="56">
        <f>+ROUND(I68/I$72*M$72,2)+0.01</f>
        <v>30.450000000000003</v>
      </c>
    </row>
    <row r="69" spans="1:13" x14ac:dyDescent="0.2">
      <c r="A69" s="45">
        <f t="shared" si="4"/>
        <v>13</v>
      </c>
      <c r="C69" s="52">
        <f t="shared" si="7"/>
        <v>46013</v>
      </c>
      <c r="D69" s="52"/>
      <c r="E69" s="67">
        <f t="shared" si="5"/>
        <v>0</v>
      </c>
      <c r="F69" s="68"/>
      <c r="G69" s="67">
        <f t="shared" si="8"/>
        <v>207.06</v>
      </c>
      <c r="H69" s="54"/>
      <c r="I69" s="57">
        <f t="shared" si="6"/>
        <v>207.06</v>
      </c>
      <c r="M69" s="57">
        <f t="shared" si="9"/>
        <v>30.44</v>
      </c>
    </row>
    <row r="70" spans="1:13" x14ac:dyDescent="0.2">
      <c r="A70" s="45">
        <f t="shared" si="4"/>
        <v>14</v>
      </c>
      <c r="C70" s="58" t="s">
        <v>47</v>
      </c>
      <c r="D70" s="58"/>
      <c r="E70" s="59">
        <f>SUM(E58:E69)</f>
        <v>0</v>
      </c>
      <c r="F70" s="60"/>
      <c r="G70" s="59">
        <f>SUM(G57:G69)</f>
        <v>2691.7799999999997</v>
      </c>
      <c r="H70" s="60"/>
      <c r="I70" s="59">
        <f>SUM(I57:I69)</f>
        <v>2691.7799999999997</v>
      </c>
      <c r="M70" s="59">
        <f>SUM(M57:M69)</f>
        <v>395.74</v>
      </c>
    </row>
    <row r="71" spans="1:13" x14ac:dyDescent="0.2">
      <c r="A71" s="45">
        <f t="shared" si="4"/>
        <v>15</v>
      </c>
      <c r="E71" s="63" t="s">
        <v>10</v>
      </c>
      <c r="F71" s="63"/>
      <c r="G71" s="63" t="s">
        <v>10</v>
      </c>
      <c r="H71" s="63"/>
      <c r="I71" s="63" t="s">
        <v>10</v>
      </c>
    </row>
    <row r="72" spans="1:13" ht="12" thickBot="1" x14ac:dyDescent="0.25">
      <c r="A72" s="45">
        <f t="shared" si="4"/>
        <v>16</v>
      </c>
      <c r="C72" s="58" t="s">
        <v>87</v>
      </c>
      <c r="D72" s="58"/>
      <c r="E72" s="60"/>
      <c r="F72" s="60"/>
      <c r="G72" s="60"/>
      <c r="H72" s="60"/>
      <c r="I72" s="62">
        <f>I70</f>
        <v>2691.7799999999997</v>
      </c>
      <c r="K72" s="62">
        <f>ROUND(G18*K78,2)</f>
        <v>4576</v>
      </c>
      <c r="M72" s="62">
        <f>ROUND(+(K72-I72)*M78,2)</f>
        <v>395.69</v>
      </c>
    </row>
    <row r="73" spans="1:13" ht="12" thickTop="1" x14ac:dyDescent="0.2">
      <c r="A73" s="45">
        <f t="shared" si="4"/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f t="shared" si="4"/>
        <v>18</v>
      </c>
      <c r="I74" s="58" t="s">
        <v>149</v>
      </c>
      <c r="M74" s="51" t="s">
        <v>91</v>
      </c>
    </row>
    <row r="75" spans="1:13" x14ac:dyDescent="0.2">
      <c r="A75" s="45">
        <f t="shared" si="4"/>
        <v>19</v>
      </c>
      <c r="K75" s="51" t="s">
        <v>96</v>
      </c>
      <c r="M75" s="51" t="s">
        <v>97</v>
      </c>
    </row>
    <row r="76" spans="1:13" x14ac:dyDescent="0.2">
      <c r="A76" s="45">
        <f t="shared" si="4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4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4"/>
        <v>22</v>
      </c>
      <c r="C78" s="71" t="str">
        <f>E53</f>
        <v>Acct 2.378.03</v>
      </c>
      <c r="D78" s="71"/>
      <c r="E78" s="72">
        <f>'CAPGDS1000001150 Input'!J15</f>
        <v>2.2058823529411766E-2</v>
      </c>
      <c r="F78" s="72"/>
      <c r="G78" s="72">
        <f>E78/13</f>
        <v>1.6968325791855204E-3</v>
      </c>
      <c r="K78" s="81">
        <f>+'CAPGDS1000001150 Input'!L15</f>
        <v>3.7499999999999999E-2</v>
      </c>
      <c r="M78" s="82">
        <f>+'CAPGDS1000001150 Input'!N15</f>
        <v>0.21</v>
      </c>
    </row>
    <row r="79" spans="1:13" x14ac:dyDescent="0.2">
      <c r="A79" s="45">
        <f t="shared" si="4"/>
        <v>23</v>
      </c>
      <c r="H79" s="63"/>
      <c r="I79" s="54"/>
      <c r="K79" s="51" t="s">
        <v>105</v>
      </c>
    </row>
    <row r="80" spans="1:13" x14ac:dyDescent="0.2">
      <c r="A80" s="45">
        <f t="shared" si="4"/>
        <v>24</v>
      </c>
      <c r="H80" s="72"/>
      <c r="I80" s="54"/>
    </row>
    <row r="81" spans="1:13" x14ac:dyDescent="0.2">
      <c r="A81" s="45">
        <f t="shared" si="4"/>
        <v>25</v>
      </c>
    </row>
    <row r="82" spans="1:13" x14ac:dyDescent="0.2">
      <c r="A82" s="45">
        <v>26</v>
      </c>
      <c r="H82" s="72"/>
      <c r="I82" s="54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2.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>SFS-Hartford Serve Load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71" t="s">
        <v>79</v>
      </c>
      <c r="E95" s="48" t="str">
        <f>E13</f>
        <v>Acct 2.378.03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88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55">
        <f>E57</f>
        <v>0</v>
      </c>
      <c r="F99" s="54"/>
      <c r="G99" s="55">
        <f>G57</f>
        <v>207.06</v>
      </c>
      <c r="H99" s="54"/>
      <c r="I99" s="55">
        <f t="shared" ref="I99:I100" si="10">G99-E99</f>
        <v>207.06</v>
      </c>
      <c r="M99" s="55">
        <f>+M57</f>
        <v>30.44</v>
      </c>
    </row>
    <row r="100" spans="1:13" x14ac:dyDescent="0.2">
      <c r="A100" s="45">
        <f t="shared" ref="A100:A128" si="11">1+A99</f>
        <v>2</v>
      </c>
      <c r="C100" s="52">
        <f>C18</f>
        <v>45672</v>
      </c>
      <c r="D100" s="52"/>
      <c r="E100" s="56">
        <f t="shared" ref="E100:E111" si="12">E99+E58</f>
        <v>0</v>
      </c>
      <c r="F100" s="54"/>
      <c r="G100" s="56">
        <f t="shared" ref="G100:G111" si="13">G99+G58</f>
        <v>414.12</v>
      </c>
      <c r="H100" s="54"/>
      <c r="I100" s="56">
        <f t="shared" si="10"/>
        <v>414.12</v>
      </c>
      <c r="M100" s="56">
        <f t="shared" ref="M100:M111" si="14">+M99+M58</f>
        <v>60.88</v>
      </c>
    </row>
    <row r="101" spans="1:13" x14ac:dyDescent="0.2">
      <c r="A101" s="45">
        <f t="shared" si="11"/>
        <v>3</v>
      </c>
      <c r="C101" s="52">
        <f t="shared" ref="C101:C111" si="15">C100+31</f>
        <v>45703</v>
      </c>
      <c r="D101" s="52"/>
      <c r="E101" s="56">
        <f t="shared" si="12"/>
        <v>0</v>
      </c>
      <c r="F101" s="54"/>
      <c r="G101" s="56">
        <f t="shared" si="13"/>
        <v>621.18000000000006</v>
      </c>
      <c r="H101" s="54"/>
      <c r="I101" s="56">
        <f t="shared" ref="I101:I111" si="16">G101-E101</f>
        <v>621.18000000000006</v>
      </c>
      <c r="M101" s="56">
        <f t="shared" si="14"/>
        <v>91.320000000000007</v>
      </c>
    </row>
    <row r="102" spans="1:13" x14ac:dyDescent="0.2">
      <c r="A102" s="45">
        <f t="shared" si="11"/>
        <v>4</v>
      </c>
      <c r="C102" s="52">
        <f t="shared" si="15"/>
        <v>45734</v>
      </c>
      <c r="D102" s="52"/>
      <c r="E102" s="56">
        <f t="shared" si="12"/>
        <v>0</v>
      </c>
      <c r="F102" s="54"/>
      <c r="G102" s="56">
        <f t="shared" si="13"/>
        <v>828.24</v>
      </c>
      <c r="H102" s="54"/>
      <c r="I102" s="56">
        <f t="shared" si="16"/>
        <v>828.24</v>
      </c>
      <c r="M102" s="56">
        <f t="shared" si="14"/>
        <v>121.76</v>
      </c>
    </row>
    <row r="103" spans="1:13" x14ac:dyDescent="0.2">
      <c r="A103" s="45">
        <f t="shared" si="11"/>
        <v>5</v>
      </c>
      <c r="C103" s="52">
        <f t="shared" si="15"/>
        <v>45765</v>
      </c>
      <c r="D103" s="52"/>
      <c r="E103" s="56">
        <f t="shared" si="12"/>
        <v>0</v>
      </c>
      <c r="F103" s="54"/>
      <c r="G103" s="56">
        <f t="shared" si="13"/>
        <v>1035.3</v>
      </c>
      <c r="H103" s="54"/>
      <c r="I103" s="56">
        <f t="shared" si="16"/>
        <v>1035.3</v>
      </c>
      <c r="M103" s="56">
        <f t="shared" si="14"/>
        <v>152.20000000000002</v>
      </c>
    </row>
    <row r="104" spans="1:13" x14ac:dyDescent="0.2">
      <c r="A104" s="45">
        <f t="shared" si="11"/>
        <v>6</v>
      </c>
      <c r="C104" s="52">
        <f t="shared" si="15"/>
        <v>45796</v>
      </c>
      <c r="D104" s="52"/>
      <c r="E104" s="56">
        <f t="shared" si="12"/>
        <v>0</v>
      </c>
      <c r="F104" s="54"/>
      <c r="G104" s="56">
        <f t="shared" si="13"/>
        <v>1242.3599999999999</v>
      </c>
      <c r="H104" s="54"/>
      <c r="I104" s="56">
        <f t="shared" si="16"/>
        <v>1242.3599999999999</v>
      </c>
      <c r="M104" s="56">
        <f t="shared" si="14"/>
        <v>182.64000000000001</v>
      </c>
    </row>
    <row r="105" spans="1:13" x14ac:dyDescent="0.2">
      <c r="A105" s="45">
        <f t="shared" si="11"/>
        <v>7</v>
      </c>
      <c r="C105" s="52">
        <f t="shared" si="15"/>
        <v>45827</v>
      </c>
      <c r="D105" s="52"/>
      <c r="E105" s="56">
        <f t="shared" si="12"/>
        <v>0</v>
      </c>
      <c r="F105" s="54"/>
      <c r="G105" s="56">
        <f t="shared" si="13"/>
        <v>1449.4199999999998</v>
      </c>
      <c r="H105" s="54"/>
      <c r="I105" s="56">
        <f t="shared" si="16"/>
        <v>1449.4199999999998</v>
      </c>
      <c r="M105" s="56">
        <f t="shared" si="14"/>
        <v>213.08</v>
      </c>
    </row>
    <row r="106" spans="1:13" x14ac:dyDescent="0.2">
      <c r="A106" s="45">
        <f t="shared" si="11"/>
        <v>8</v>
      </c>
      <c r="C106" s="52">
        <f t="shared" si="15"/>
        <v>45858</v>
      </c>
      <c r="D106" s="52"/>
      <c r="E106" s="56">
        <f t="shared" si="12"/>
        <v>0</v>
      </c>
      <c r="F106" s="54"/>
      <c r="G106" s="56">
        <f t="shared" si="13"/>
        <v>1656.4799999999998</v>
      </c>
      <c r="H106" s="54"/>
      <c r="I106" s="56">
        <f t="shared" si="16"/>
        <v>1656.4799999999998</v>
      </c>
      <c r="M106" s="56">
        <f t="shared" si="14"/>
        <v>243.52</v>
      </c>
    </row>
    <row r="107" spans="1:13" x14ac:dyDescent="0.2">
      <c r="A107" s="45">
        <f t="shared" si="11"/>
        <v>9</v>
      </c>
      <c r="C107" s="52">
        <f t="shared" si="15"/>
        <v>45889</v>
      </c>
      <c r="D107" s="52"/>
      <c r="E107" s="56">
        <f t="shared" si="12"/>
        <v>0</v>
      </c>
      <c r="F107" s="54"/>
      <c r="G107" s="56">
        <f t="shared" si="13"/>
        <v>1863.5399999999997</v>
      </c>
      <c r="H107" s="54"/>
      <c r="I107" s="56">
        <f t="shared" si="16"/>
        <v>1863.5399999999997</v>
      </c>
      <c r="M107" s="56">
        <f t="shared" si="14"/>
        <v>273.96000000000004</v>
      </c>
    </row>
    <row r="108" spans="1:13" x14ac:dyDescent="0.2">
      <c r="A108" s="45">
        <f t="shared" si="11"/>
        <v>10</v>
      </c>
      <c r="C108" s="52">
        <f t="shared" si="15"/>
        <v>45920</v>
      </c>
      <c r="D108" s="52"/>
      <c r="E108" s="56">
        <f t="shared" si="12"/>
        <v>0</v>
      </c>
      <c r="F108" s="54"/>
      <c r="G108" s="56">
        <f t="shared" si="13"/>
        <v>2070.6</v>
      </c>
      <c r="H108" s="54"/>
      <c r="I108" s="56">
        <f t="shared" si="16"/>
        <v>2070.6</v>
      </c>
      <c r="M108" s="56">
        <f t="shared" si="14"/>
        <v>304.40000000000003</v>
      </c>
    </row>
    <row r="109" spans="1:13" x14ac:dyDescent="0.2">
      <c r="A109" s="45">
        <f t="shared" si="11"/>
        <v>11</v>
      </c>
      <c r="C109" s="52">
        <f t="shared" si="15"/>
        <v>45951</v>
      </c>
      <c r="D109" s="52"/>
      <c r="E109" s="56">
        <f t="shared" si="12"/>
        <v>0</v>
      </c>
      <c r="F109" s="54"/>
      <c r="G109" s="56">
        <f t="shared" si="13"/>
        <v>2277.66</v>
      </c>
      <c r="H109" s="54"/>
      <c r="I109" s="56">
        <f t="shared" si="16"/>
        <v>2277.66</v>
      </c>
      <c r="M109" s="56">
        <f t="shared" si="14"/>
        <v>334.85</v>
      </c>
    </row>
    <row r="110" spans="1:13" x14ac:dyDescent="0.2">
      <c r="A110" s="45">
        <f t="shared" si="11"/>
        <v>12</v>
      </c>
      <c r="C110" s="52">
        <f t="shared" si="15"/>
        <v>45982</v>
      </c>
      <c r="D110" s="52"/>
      <c r="E110" s="56">
        <f t="shared" si="12"/>
        <v>0</v>
      </c>
      <c r="F110" s="54"/>
      <c r="G110" s="56">
        <f t="shared" si="13"/>
        <v>2484.7199999999998</v>
      </c>
      <c r="H110" s="54"/>
      <c r="I110" s="56">
        <f t="shared" si="16"/>
        <v>2484.7199999999998</v>
      </c>
      <c r="M110" s="56">
        <f t="shared" si="14"/>
        <v>365.3</v>
      </c>
    </row>
    <row r="111" spans="1:13" x14ac:dyDescent="0.2">
      <c r="A111" s="45">
        <f t="shared" si="11"/>
        <v>13</v>
      </c>
      <c r="C111" s="52">
        <f t="shared" si="15"/>
        <v>46013</v>
      </c>
      <c r="D111" s="52"/>
      <c r="E111" s="57">
        <f t="shared" si="12"/>
        <v>0</v>
      </c>
      <c r="F111" s="54"/>
      <c r="G111" s="57">
        <f t="shared" si="13"/>
        <v>2691.7799999999997</v>
      </c>
      <c r="H111" s="54"/>
      <c r="I111" s="57">
        <f t="shared" si="16"/>
        <v>2691.7799999999997</v>
      </c>
      <c r="M111" s="57">
        <f t="shared" si="14"/>
        <v>395.74</v>
      </c>
    </row>
    <row r="112" spans="1:13" x14ac:dyDescent="0.2">
      <c r="A112" s="45">
        <f t="shared" si="11"/>
        <v>14</v>
      </c>
      <c r="C112" s="58" t="s">
        <v>47</v>
      </c>
      <c r="D112" s="58"/>
      <c r="E112" s="59">
        <f>SUM(E100:E111)</f>
        <v>0</v>
      </c>
      <c r="F112" s="60"/>
      <c r="G112" s="59">
        <f>SUM(G99:G111)</f>
        <v>18842.46</v>
      </c>
      <c r="H112" s="60"/>
      <c r="I112" s="59">
        <f>SUM(I99:I111)</f>
        <v>18842.46</v>
      </c>
      <c r="M112" s="59">
        <f>SUM(M99:M111)</f>
        <v>2770.09</v>
      </c>
    </row>
    <row r="113" spans="1:13" x14ac:dyDescent="0.2">
      <c r="A113" s="45">
        <f t="shared" si="11"/>
        <v>15</v>
      </c>
      <c r="E113" s="54"/>
      <c r="F113" s="54"/>
      <c r="G113" s="54"/>
      <c r="H113" s="54"/>
      <c r="I113" s="54"/>
      <c r="M113" s="54"/>
    </row>
    <row r="114" spans="1:13" ht="12" thickBot="1" x14ac:dyDescent="0.25">
      <c r="A114" s="45">
        <f t="shared" si="11"/>
        <v>16</v>
      </c>
      <c r="C114" s="73" t="s">
        <v>139</v>
      </c>
      <c r="D114" s="73"/>
      <c r="E114" s="62">
        <f>ROUND(+E112/12,2)</f>
        <v>0</v>
      </c>
      <c r="F114" s="60"/>
      <c r="G114" s="62">
        <f>ROUND(+G112/13,2)</f>
        <v>1449.42</v>
      </c>
      <c r="H114" s="60"/>
      <c r="I114" s="62">
        <f>ROUND(+I112/13,2)</f>
        <v>1449.42</v>
      </c>
      <c r="M114" s="62">
        <f>ROUND(+M112/13,2)</f>
        <v>213.08</v>
      </c>
    </row>
    <row r="115" spans="1:13" ht="12" thickTop="1" x14ac:dyDescent="0.2">
      <c r="A115" s="45">
        <f t="shared" si="11"/>
        <v>17</v>
      </c>
      <c r="E115" s="63" t="s">
        <v>10</v>
      </c>
      <c r="F115" s="63"/>
      <c r="G115" s="63" t="s">
        <v>10</v>
      </c>
      <c r="H115" s="63"/>
      <c r="I115" s="63" t="s">
        <v>10</v>
      </c>
    </row>
    <row r="116" spans="1:13" x14ac:dyDescent="0.2">
      <c r="A116" s="45">
        <f t="shared" si="11"/>
        <v>18</v>
      </c>
      <c r="E116" s="54"/>
      <c r="F116" s="54"/>
      <c r="G116" s="54"/>
      <c r="H116" s="54"/>
      <c r="I116" s="54"/>
    </row>
    <row r="117" spans="1:13" ht="12" thickBot="1" x14ac:dyDescent="0.25">
      <c r="A117" s="45">
        <f t="shared" si="11"/>
        <v>19</v>
      </c>
      <c r="C117" s="58" t="s">
        <v>87</v>
      </c>
      <c r="D117" s="58"/>
      <c r="E117" s="54"/>
      <c r="F117" s="54"/>
      <c r="G117" s="54"/>
      <c r="H117" s="54"/>
      <c r="I117" s="74">
        <f>I114</f>
        <v>1449.42</v>
      </c>
      <c r="M117" s="74">
        <f>+M114</f>
        <v>213.08</v>
      </c>
    </row>
    <row r="118" spans="1:13" ht="12" thickTop="1" x14ac:dyDescent="0.2">
      <c r="A118" s="45">
        <f t="shared" si="11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1"/>
        <v>21</v>
      </c>
      <c r="I119" s="58" t="s">
        <v>150</v>
      </c>
      <c r="M119" s="58" t="s">
        <v>151</v>
      </c>
    </row>
    <row r="120" spans="1:13" x14ac:dyDescent="0.2">
      <c r="A120" s="45">
        <f t="shared" si="11"/>
        <v>22</v>
      </c>
    </row>
    <row r="121" spans="1:13" x14ac:dyDescent="0.2">
      <c r="A121" s="45">
        <f t="shared" si="11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1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1"/>
        <v>25</v>
      </c>
      <c r="C123" s="71" t="str">
        <f>C78</f>
        <v>Acct 2.378.03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11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1"/>
        <v>27</v>
      </c>
      <c r="H125" s="54"/>
      <c r="I125" s="54"/>
    </row>
    <row r="126" spans="1:13" x14ac:dyDescent="0.2">
      <c r="A126" s="45">
        <f t="shared" si="11"/>
        <v>28</v>
      </c>
    </row>
    <row r="127" spans="1:13" x14ac:dyDescent="0.2">
      <c r="A127" s="45">
        <f t="shared" si="11"/>
        <v>29</v>
      </c>
    </row>
    <row r="128" spans="1:13" x14ac:dyDescent="0.2">
      <c r="A128" s="45">
        <f t="shared" si="11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75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.42578125" style="76" customWidth="1"/>
    <col min="2" max="2" width="9.140625" style="76"/>
    <col min="3" max="3" width="0.85546875" style="76" customWidth="1"/>
    <col min="4" max="4" width="14.7109375" style="76" customWidth="1"/>
    <col min="5" max="5" width="5.85546875" style="76" customWidth="1"/>
    <col min="6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  <c r="L2" s="125"/>
    </row>
    <row r="3" spans="1:12" ht="12.75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25"/>
      <c r="L3" s="125"/>
    </row>
    <row r="4" spans="1:12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24.75" customHeight="1" x14ac:dyDescent="0.2">
      <c r="A5" s="142" t="str">
        <f>'CAPGDS1000001150 Input'!A5:J5</f>
        <v>Pro-Forma Adjustment - System Reliability</v>
      </c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3"/>
      <c r="L6" s="143"/>
    </row>
    <row r="7" spans="1:12" ht="12.75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3"/>
      <c r="L7" s="143"/>
    </row>
    <row r="8" spans="1:12" ht="12.75" x14ac:dyDescent="0.2">
      <c r="A8" s="142" t="str">
        <f>'CAPGDS1000001150 Input'!F8</f>
        <v>SFS-Hartford Serve Load</v>
      </c>
      <c r="B8" s="142"/>
      <c r="C8" s="142"/>
      <c r="D8" s="142"/>
      <c r="E8" s="142"/>
      <c r="F8" s="142"/>
      <c r="G8" s="142"/>
      <c r="H8" s="142"/>
      <c r="I8" s="142"/>
      <c r="J8" s="142"/>
      <c r="K8" s="143"/>
      <c r="L8" s="143"/>
    </row>
    <row r="9" spans="1:12" ht="12.75" x14ac:dyDescent="0.2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3"/>
      <c r="L9" s="143"/>
    </row>
    <row r="11" spans="1:12" x14ac:dyDescent="0.2">
      <c r="B11" s="77"/>
      <c r="D11" s="78"/>
    </row>
    <row r="12" spans="1:12" x14ac:dyDescent="0.2">
      <c r="B12" s="77"/>
      <c r="D12" s="78"/>
    </row>
    <row r="15" spans="1:12" x14ac:dyDescent="0.2">
      <c r="B15" s="77"/>
      <c r="D15" s="78"/>
    </row>
    <row r="16" spans="1:12" x14ac:dyDescent="0.2">
      <c r="B16" s="77"/>
      <c r="D16" s="78"/>
    </row>
    <row r="17" spans="2:4" x14ac:dyDescent="0.2">
      <c r="B17" s="77"/>
      <c r="D17" s="78"/>
    </row>
    <row r="18" spans="2:4" x14ac:dyDescent="0.2">
      <c r="B18" s="77"/>
      <c r="D18" s="78"/>
    </row>
    <row r="19" spans="2:4" x14ac:dyDescent="0.2">
      <c r="B19" s="77"/>
      <c r="D19" s="78"/>
    </row>
    <row r="20" spans="2:4" x14ac:dyDescent="0.2">
      <c r="B20" s="77"/>
      <c r="D20" s="78"/>
    </row>
    <row r="21" spans="2:4" x14ac:dyDescent="0.2">
      <c r="B21" s="77"/>
      <c r="D21" s="78"/>
    </row>
    <row r="22" spans="2:4" x14ac:dyDescent="0.2">
      <c r="B22" s="77"/>
      <c r="D22" s="78"/>
    </row>
    <row r="23" spans="2:4" x14ac:dyDescent="0.2">
      <c r="B23" s="77"/>
      <c r="D23" s="78"/>
    </row>
    <row r="24" spans="2:4" x14ac:dyDescent="0.2">
      <c r="B24" s="77"/>
      <c r="D24" s="78"/>
    </row>
    <row r="25" spans="2:4" x14ac:dyDescent="0.2">
      <c r="B25" s="77"/>
      <c r="D25" s="78"/>
    </row>
    <row r="26" spans="2:4" x14ac:dyDescent="0.2">
      <c r="B26" s="77"/>
      <c r="D26" s="78"/>
    </row>
    <row r="27" spans="2:4" x14ac:dyDescent="0.2">
      <c r="B27" s="77"/>
      <c r="D27" s="78"/>
    </row>
    <row r="28" spans="2:4" x14ac:dyDescent="0.2">
      <c r="B28" s="77"/>
      <c r="D28" s="78"/>
    </row>
    <row r="29" spans="2:4" x14ac:dyDescent="0.2">
      <c r="B29" s="77"/>
      <c r="D29" s="78"/>
    </row>
    <row r="30" spans="2:4" x14ac:dyDescent="0.2">
      <c r="B30" s="77"/>
      <c r="D30" s="78"/>
    </row>
    <row r="31" spans="2:4" x14ac:dyDescent="0.2">
      <c r="B31" s="77"/>
      <c r="D31" s="78"/>
    </row>
    <row r="32" spans="2:4" x14ac:dyDescent="0.2">
      <c r="B32" s="77"/>
      <c r="D32" s="78"/>
    </row>
    <row r="33" spans="2:4" x14ac:dyDescent="0.2">
      <c r="B33" s="77"/>
      <c r="D33" s="78"/>
    </row>
    <row r="34" spans="2:4" x14ac:dyDescent="0.2">
      <c r="B34" s="77"/>
      <c r="D34" s="78"/>
    </row>
    <row r="35" spans="2:4" x14ac:dyDescent="0.2">
      <c r="B35" s="77"/>
      <c r="D35" s="78"/>
    </row>
    <row r="36" spans="2:4" x14ac:dyDescent="0.2">
      <c r="B36" s="77"/>
      <c r="D36" s="78"/>
    </row>
    <row r="37" spans="2:4" x14ac:dyDescent="0.2">
      <c r="B37" s="77"/>
      <c r="D37" s="78"/>
    </row>
    <row r="38" spans="2:4" x14ac:dyDescent="0.2">
      <c r="B38" s="77"/>
      <c r="D38" s="78"/>
    </row>
    <row r="39" spans="2:4" x14ac:dyDescent="0.2">
      <c r="B39" s="77"/>
      <c r="D39" s="78"/>
    </row>
    <row r="40" spans="2:4" x14ac:dyDescent="0.2">
      <c r="B40" s="77"/>
      <c r="D40" s="78"/>
    </row>
    <row r="41" spans="2:4" x14ac:dyDescent="0.2">
      <c r="B41" s="77"/>
      <c r="D41" s="78"/>
    </row>
    <row r="42" spans="2:4" x14ac:dyDescent="0.2">
      <c r="B42" s="77"/>
      <c r="D42" s="78"/>
    </row>
    <row r="43" spans="2:4" x14ac:dyDescent="0.2">
      <c r="B43" s="77"/>
      <c r="D43" s="78"/>
    </row>
    <row r="44" spans="2:4" x14ac:dyDescent="0.2">
      <c r="B44" s="77"/>
      <c r="D44" s="78"/>
    </row>
    <row r="45" spans="2:4" x14ac:dyDescent="0.2">
      <c r="B45" s="77"/>
      <c r="D45" s="78"/>
    </row>
    <row r="46" spans="2:4" x14ac:dyDescent="0.2">
      <c r="B46" s="77"/>
      <c r="D46" s="78"/>
    </row>
    <row r="47" spans="2:4" x14ac:dyDescent="0.2">
      <c r="B47" s="77"/>
      <c r="D47" s="78"/>
    </row>
    <row r="48" spans="2:4" x14ac:dyDescent="0.2">
      <c r="B48" s="77"/>
      <c r="D48" s="78"/>
    </row>
    <row r="49" spans="1:12" x14ac:dyDescent="0.2">
      <c r="B49" s="77"/>
      <c r="D49" s="78"/>
    </row>
    <row r="50" spans="1:12" x14ac:dyDescent="0.2">
      <c r="B50" s="77"/>
      <c r="D50" s="78"/>
    </row>
    <row r="51" spans="1:12" ht="12.75" x14ac:dyDescent="0.2">
      <c r="A51" s="142" t="s">
        <v>0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3"/>
      <c r="L51" s="143"/>
    </row>
    <row r="52" spans="1:12" ht="12.75" x14ac:dyDescent="0.2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3"/>
      <c r="L52" s="143"/>
    </row>
    <row r="53" spans="1:12" ht="12.75" x14ac:dyDescent="0.2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3"/>
      <c r="L53" s="143"/>
    </row>
    <row r="54" spans="1:12" ht="12.75" x14ac:dyDescent="0.2">
      <c r="A54" s="142" t="s">
        <v>118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3"/>
      <c r="L54" s="143"/>
    </row>
    <row r="55" spans="1:12" x14ac:dyDescent="0.2">
      <c r="B55" s="77"/>
      <c r="D55" s="78"/>
    </row>
    <row r="56" spans="1:12" x14ac:dyDescent="0.2">
      <c r="B56" s="77"/>
      <c r="D56" s="78"/>
    </row>
    <row r="57" spans="1:12" x14ac:dyDescent="0.2">
      <c r="B57" s="77"/>
      <c r="D57" s="78"/>
    </row>
    <row r="58" spans="1:12" x14ac:dyDescent="0.2">
      <c r="B58" s="77"/>
      <c r="D58" s="78"/>
    </row>
    <row r="59" spans="1:12" x14ac:dyDescent="0.2">
      <c r="B59" s="77"/>
      <c r="D59" s="78"/>
    </row>
    <row r="60" spans="1:12" x14ac:dyDescent="0.2">
      <c r="B60" s="77"/>
      <c r="D60" s="78"/>
    </row>
    <row r="61" spans="1:12" x14ac:dyDescent="0.2">
      <c r="B61" s="77"/>
      <c r="D61" s="78"/>
    </row>
    <row r="62" spans="1:12" x14ac:dyDescent="0.2">
      <c r="B62" s="77"/>
      <c r="D62" s="78"/>
    </row>
    <row r="63" spans="1:12" x14ac:dyDescent="0.2">
      <c r="B63" s="77"/>
      <c r="D63" s="78"/>
    </row>
    <row r="64" spans="1:12" x14ac:dyDescent="0.2">
      <c r="B64" s="77"/>
      <c r="D64" s="78"/>
    </row>
    <row r="65" spans="1:12" x14ac:dyDescent="0.2">
      <c r="B65" s="77"/>
      <c r="D65" s="78"/>
    </row>
    <row r="66" spans="1:12" x14ac:dyDescent="0.2">
      <c r="B66" s="77"/>
      <c r="D66" s="78"/>
    </row>
    <row r="67" spans="1:12" x14ac:dyDescent="0.2">
      <c r="B67" s="77"/>
      <c r="D67" s="78"/>
    </row>
    <row r="68" spans="1:12" x14ac:dyDescent="0.2">
      <c r="B68" s="77"/>
      <c r="D68" s="78"/>
    </row>
    <row r="69" spans="1:12" x14ac:dyDescent="0.2">
      <c r="B69" s="77"/>
      <c r="D69" s="78"/>
    </row>
    <row r="72" spans="1:12" ht="12.75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3"/>
      <c r="L72" s="143"/>
    </row>
    <row r="73" spans="1:12" ht="12.75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3"/>
      <c r="L73" s="143"/>
    </row>
    <row r="74" spans="1:12" ht="25.5" customHeight="1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3"/>
      <c r="L74" s="143"/>
    </row>
    <row r="75" spans="1:12" ht="12.75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3"/>
      <c r="L75" s="143"/>
    </row>
    <row r="76" spans="1:12" ht="12.75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3"/>
      <c r="L76" s="143"/>
    </row>
    <row r="77" spans="1:12" ht="12.75" x14ac:dyDescent="0.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3"/>
      <c r="L77" s="143"/>
    </row>
    <row r="110" spans="1:12" ht="12.75" x14ac:dyDescent="0.2">
      <c r="A110" s="142" t="s">
        <v>0</v>
      </c>
      <c r="B110" s="141"/>
      <c r="C110" s="141"/>
      <c r="D110" s="141"/>
      <c r="E110" s="141"/>
      <c r="F110" s="141"/>
      <c r="G110" s="141"/>
      <c r="H110" s="141"/>
      <c r="I110" s="141"/>
      <c r="J110" s="141"/>
      <c r="K110" s="143"/>
      <c r="L110" s="143"/>
    </row>
    <row r="111" spans="1:12" ht="12.75" x14ac:dyDescent="0.2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3"/>
      <c r="L111" s="143"/>
    </row>
    <row r="112" spans="1:12" ht="12.75" x14ac:dyDescent="0.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3"/>
      <c r="L112" s="143"/>
    </row>
    <row r="113" spans="1:12" ht="12.75" x14ac:dyDescent="0.2">
      <c r="A113" s="142" t="s">
        <v>118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143"/>
      <c r="L113" s="143"/>
    </row>
    <row r="172" spans="1:12" ht="12.75" x14ac:dyDescent="0.2">
      <c r="A172" s="142" t="s">
        <v>0</v>
      </c>
      <c r="B172" s="141"/>
      <c r="C172" s="141"/>
      <c r="D172" s="141"/>
      <c r="E172" s="141"/>
      <c r="F172" s="141"/>
      <c r="G172" s="141"/>
      <c r="H172" s="141"/>
      <c r="I172" s="141"/>
      <c r="J172" s="141"/>
      <c r="K172" s="143"/>
      <c r="L172" s="143"/>
    </row>
    <row r="173" spans="1:12" ht="12.75" x14ac:dyDescent="0.2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3"/>
      <c r="L173" s="143"/>
    </row>
    <row r="174" spans="1:12" ht="12.75" x14ac:dyDescent="0.2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3"/>
      <c r="L174" s="143"/>
    </row>
    <row r="175" spans="1:12" ht="12.75" x14ac:dyDescent="0.2">
      <c r="A175" s="142" t="s">
        <v>118</v>
      </c>
      <c r="B175" s="142"/>
      <c r="C175" s="142"/>
      <c r="D175" s="142"/>
      <c r="E175" s="142"/>
      <c r="F175" s="142"/>
      <c r="G175" s="142"/>
      <c r="H175" s="142"/>
      <c r="I175" s="142"/>
      <c r="J175" s="142"/>
      <c r="K175" s="143"/>
      <c r="L175" s="143"/>
    </row>
  </sheetData>
  <mergeCells count="25">
    <mergeCell ref="A8:L8"/>
    <mergeCell ref="A9:L9"/>
    <mergeCell ref="A72:L72"/>
    <mergeCell ref="A73:L73"/>
    <mergeCell ref="A74:L74"/>
    <mergeCell ref="A51:L51"/>
    <mergeCell ref="A52:L52"/>
    <mergeCell ref="A53:L53"/>
    <mergeCell ref="A54:L54"/>
    <mergeCell ref="A1:L1"/>
    <mergeCell ref="A4:L4"/>
    <mergeCell ref="A5:L5"/>
    <mergeCell ref="A6:L6"/>
    <mergeCell ref="A7:L7"/>
    <mergeCell ref="A75:L75"/>
    <mergeCell ref="A172:L172"/>
    <mergeCell ref="A173:L173"/>
    <mergeCell ref="A174:L174"/>
    <mergeCell ref="A175:L175"/>
    <mergeCell ref="A110:L110"/>
    <mergeCell ref="A111:L111"/>
    <mergeCell ref="A112:L112"/>
    <mergeCell ref="A113:L113"/>
    <mergeCell ref="A76:L76"/>
    <mergeCell ref="A77:L7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3" manualBreakCount="3">
    <brk id="46" max="11" man="1"/>
    <brk id="105" max="11" man="1"/>
    <brk id="167" max="11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7109375" style="89" customWidth="1"/>
    <col min="5" max="5" width="0.85546875" style="89" customWidth="1"/>
    <col min="6" max="6" width="10.1406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8" style="89"/>
    <col min="13" max="13" width="1.7109375" style="89" customWidth="1"/>
    <col min="14" max="16384" width="8" style="89"/>
  </cols>
  <sheetData>
    <row r="1" spans="1:14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4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4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4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83" t="s">
        <v>123</v>
      </c>
      <c r="E8" s="31"/>
      <c r="F8" s="31" t="s">
        <v>119</v>
      </c>
    </row>
    <row r="9" spans="1:14" x14ac:dyDescent="0.2">
      <c r="B9" s="31" t="s">
        <v>58</v>
      </c>
      <c r="D9" s="93">
        <v>1</v>
      </c>
      <c r="F9" s="31" t="s">
        <v>59</v>
      </c>
      <c r="H9" s="93">
        <v>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69</v>
      </c>
      <c r="H15" s="5">
        <v>1</v>
      </c>
      <c r="J15" s="39">
        <f>1.5/68</f>
        <v>2.2058823529411766E-2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70</v>
      </c>
      <c r="H16" s="5">
        <v>0</v>
      </c>
      <c r="J16" s="39">
        <v>0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7">
        <v>46325</v>
      </c>
    </row>
    <row r="30" spans="1:10" x14ac:dyDescent="0.2">
      <c r="A30" s="33">
        <v>16</v>
      </c>
      <c r="B30" s="31" t="s">
        <v>72</v>
      </c>
      <c r="D30" s="98">
        <v>90450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110</v>
      </c>
    </row>
    <row r="35" spans="2:2" x14ac:dyDescent="0.2">
      <c r="B35" s="41" t="s">
        <v>183</v>
      </c>
    </row>
    <row r="36" spans="2:2" x14ac:dyDescent="0.2">
      <c r="B36" s="41" t="s">
        <v>184</v>
      </c>
    </row>
    <row r="37" spans="2:2" x14ac:dyDescent="0.2">
      <c r="B37" s="41" t="s">
        <v>185</v>
      </c>
    </row>
    <row r="38" spans="2:2" x14ac:dyDescent="0.2">
      <c r="B38" s="41" t="s">
        <v>186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6">
    <mergeCell ref="A1:J1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10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22.5" customHeight="1" x14ac:dyDescent="0.2">
      <c r="A5" s="46" t="str">
        <f>'CAPGDS1000001243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'CAPGDS1000001243 Input'!F8</f>
        <v>SFS - E Benson Rd &amp; N Serin Ave - 65# System Tie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'CAPGDS1000001243 Input'!B15</f>
        <v>45641</v>
      </c>
      <c r="D17" s="52"/>
      <c r="E17" s="109">
        <f>'CAPGDS1000001243 Input'!D15*'CAPGDS1000001243 Input'!$D$9*'CAPGDS1000001243 Input'!$H$9</f>
        <v>0</v>
      </c>
      <c r="F17" s="110"/>
      <c r="G17" s="109">
        <f>'CAPGDS1000001243 Input'!D30*'CAPGDS1000001243 Input'!D9*'CAPGDS1000001243 Input'!H9</f>
        <v>90450</v>
      </c>
      <c r="H17" s="110"/>
      <c r="I17" s="109">
        <f t="shared" ref="I17:I29" si="0">G17-E17</f>
        <v>90450</v>
      </c>
    </row>
    <row r="18" spans="1:10" x14ac:dyDescent="0.2">
      <c r="A18" s="45">
        <f t="shared" ref="A18:A40" si="1">1+A17</f>
        <v>2</v>
      </c>
      <c r="C18" s="52">
        <f>'CAPGDS1000001243 Input'!B16</f>
        <v>45672</v>
      </c>
      <c r="D18" s="52"/>
      <c r="E18" s="80">
        <f>'CAPGDS1000001243 Input'!D16*'CAPGDS1000001243 Input'!$D$9*'CAPGDS1000001243 Input'!$H$9</f>
        <v>0</v>
      </c>
      <c r="F18" s="7"/>
      <c r="G18" s="80">
        <f>'CAPGDS1000001243 Input'!D30*'CAPGDS1000001243 Input'!D9*'CAPGDS1000001243 Input'!H9</f>
        <v>90450</v>
      </c>
      <c r="H18" s="7"/>
      <c r="I18" s="80">
        <f t="shared" si="0"/>
        <v>90450</v>
      </c>
    </row>
    <row r="19" spans="1:10" x14ac:dyDescent="0.2">
      <c r="A19" s="45">
        <f t="shared" si="1"/>
        <v>3</v>
      </c>
      <c r="C19" s="52">
        <f>'CAPGDS1000001243 Input'!B17</f>
        <v>45702</v>
      </c>
      <c r="D19" s="52"/>
      <c r="E19" s="80">
        <f>'CAPGDS1000001243 Input'!D17*'CAPGDS1000001243 Input'!$D$9*'CAPGDS1000001243 Input'!$H$9</f>
        <v>0</v>
      </c>
      <c r="F19" s="7"/>
      <c r="G19" s="7">
        <f t="shared" ref="G19:G29" si="2">$G$18</f>
        <v>90450</v>
      </c>
      <c r="H19" s="7"/>
      <c r="I19" s="7">
        <f t="shared" si="0"/>
        <v>90450</v>
      </c>
      <c r="J19" s="54"/>
    </row>
    <row r="20" spans="1:10" x14ac:dyDescent="0.2">
      <c r="A20" s="45">
        <f t="shared" si="1"/>
        <v>4</v>
      </c>
      <c r="C20" s="52">
        <f>'CAPGDS1000001243 Input'!B18</f>
        <v>45732</v>
      </c>
      <c r="D20" s="52"/>
      <c r="E20" s="80">
        <f>'CAPGDS1000001243 Input'!D18*'CAPGDS1000001243 Input'!$D$9*'CAPGDS1000001243 Input'!$H$9</f>
        <v>0</v>
      </c>
      <c r="F20" s="7"/>
      <c r="G20" s="7">
        <f t="shared" si="2"/>
        <v>90450</v>
      </c>
      <c r="H20" s="7"/>
      <c r="I20" s="7">
        <f t="shared" si="0"/>
        <v>90450</v>
      </c>
      <c r="J20" s="54"/>
    </row>
    <row r="21" spans="1:10" x14ac:dyDescent="0.2">
      <c r="A21" s="45">
        <f t="shared" si="1"/>
        <v>5</v>
      </c>
      <c r="C21" s="52">
        <f>'CAPGDS1000001243 Input'!B19</f>
        <v>45762</v>
      </c>
      <c r="D21" s="52"/>
      <c r="E21" s="80">
        <f>'CAPGDS1000001243 Input'!D19*'CAPGDS1000001243 Input'!$D$9*'CAPGDS1000001243 Input'!$H$9</f>
        <v>0</v>
      </c>
      <c r="F21" s="7"/>
      <c r="G21" s="7">
        <f t="shared" si="2"/>
        <v>90450</v>
      </c>
      <c r="H21" s="7"/>
      <c r="I21" s="7">
        <f t="shared" si="0"/>
        <v>90450</v>
      </c>
      <c r="J21" s="54"/>
    </row>
    <row r="22" spans="1:10" x14ac:dyDescent="0.2">
      <c r="A22" s="45">
        <f t="shared" si="1"/>
        <v>6</v>
      </c>
      <c r="C22" s="52">
        <f>'CAPGDS1000001243 Input'!B20</f>
        <v>45792</v>
      </c>
      <c r="D22" s="52"/>
      <c r="E22" s="80">
        <f>'CAPGDS1000001243 Input'!D20*'CAPGDS1000001243 Input'!$D$9*'CAPGDS1000001243 Input'!$H$9</f>
        <v>0</v>
      </c>
      <c r="F22" s="7"/>
      <c r="G22" s="7">
        <f t="shared" si="2"/>
        <v>90450</v>
      </c>
      <c r="H22" s="7"/>
      <c r="I22" s="7">
        <f t="shared" si="0"/>
        <v>90450</v>
      </c>
      <c r="J22" s="54"/>
    </row>
    <row r="23" spans="1:10" x14ac:dyDescent="0.2">
      <c r="A23" s="45">
        <f t="shared" si="1"/>
        <v>7</v>
      </c>
      <c r="C23" s="52">
        <f>'CAPGDS1000001243 Input'!B21</f>
        <v>45822</v>
      </c>
      <c r="D23" s="52"/>
      <c r="E23" s="80">
        <f>'CAPGDS1000001243 Input'!D21*'CAPGDS1000001243 Input'!$D$9*'CAPGDS1000001243 Input'!$H$9</f>
        <v>0</v>
      </c>
      <c r="F23" s="7"/>
      <c r="G23" s="7">
        <f t="shared" si="2"/>
        <v>90450</v>
      </c>
      <c r="H23" s="7"/>
      <c r="I23" s="7">
        <f t="shared" si="0"/>
        <v>90450</v>
      </c>
      <c r="J23" s="54"/>
    </row>
    <row r="24" spans="1:10" x14ac:dyDescent="0.2">
      <c r="A24" s="45">
        <f t="shared" si="1"/>
        <v>8</v>
      </c>
      <c r="C24" s="52">
        <f>'CAPGDS1000001243 Input'!B22</f>
        <v>45852</v>
      </c>
      <c r="D24" s="52"/>
      <c r="E24" s="80">
        <f>'CAPGDS1000001243 Input'!D22*'CAPGDS1000001243 Input'!$D$9*'CAPGDS1000001243 Input'!$H$9</f>
        <v>0</v>
      </c>
      <c r="F24" s="7"/>
      <c r="G24" s="7">
        <f t="shared" si="2"/>
        <v>90450</v>
      </c>
      <c r="H24" s="7"/>
      <c r="I24" s="7">
        <f t="shared" si="0"/>
        <v>90450</v>
      </c>
      <c r="J24" s="54"/>
    </row>
    <row r="25" spans="1:10" x14ac:dyDescent="0.2">
      <c r="A25" s="45">
        <f t="shared" si="1"/>
        <v>9</v>
      </c>
      <c r="C25" s="52">
        <f>'CAPGDS1000001243 Input'!B23</f>
        <v>45882</v>
      </c>
      <c r="D25" s="52"/>
      <c r="E25" s="80">
        <f>'CAPGDS1000001243 Input'!D23*'CAPGDS1000001243 Input'!$D$9*'CAPGDS1000001243 Input'!$H$9</f>
        <v>0</v>
      </c>
      <c r="F25" s="7"/>
      <c r="G25" s="7">
        <f t="shared" si="2"/>
        <v>90450</v>
      </c>
      <c r="H25" s="7"/>
      <c r="I25" s="7">
        <f t="shared" si="0"/>
        <v>90450</v>
      </c>
      <c r="J25" s="54"/>
    </row>
    <row r="26" spans="1:10" x14ac:dyDescent="0.2">
      <c r="A26" s="45">
        <f t="shared" si="1"/>
        <v>10</v>
      </c>
      <c r="C26" s="52">
        <f>'CAPGDS1000001243 Input'!B24</f>
        <v>45912</v>
      </c>
      <c r="D26" s="52"/>
      <c r="E26" s="80">
        <f>'CAPGDS1000001243 Input'!D24*'CAPGDS1000001243 Input'!$D$9*'CAPGDS1000001243 Input'!$H$9</f>
        <v>0</v>
      </c>
      <c r="F26" s="7"/>
      <c r="G26" s="7">
        <f t="shared" si="2"/>
        <v>90450</v>
      </c>
      <c r="H26" s="7"/>
      <c r="I26" s="7">
        <f t="shared" si="0"/>
        <v>90450</v>
      </c>
      <c r="J26" s="54"/>
    </row>
    <row r="27" spans="1:10" x14ac:dyDescent="0.2">
      <c r="A27" s="45">
        <f t="shared" si="1"/>
        <v>11</v>
      </c>
      <c r="C27" s="52">
        <f>'CAPGDS1000001243 Input'!B25</f>
        <v>45942</v>
      </c>
      <c r="D27" s="52"/>
      <c r="E27" s="80">
        <f>'CAPGDS1000001243 Input'!D25*'CAPGDS1000001243 Input'!$D$9*'CAPGDS1000001243 Input'!$H$9</f>
        <v>0</v>
      </c>
      <c r="F27" s="7"/>
      <c r="G27" s="7">
        <f t="shared" si="2"/>
        <v>90450</v>
      </c>
      <c r="H27" s="7"/>
      <c r="I27" s="7">
        <f t="shared" si="0"/>
        <v>90450</v>
      </c>
      <c r="J27" s="54"/>
    </row>
    <row r="28" spans="1:10" x14ac:dyDescent="0.2">
      <c r="A28" s="45">
        <f t="shared" si="1"/>
        <v>12</v>
      </c>
      <c r="C28" s="52">
        <f>'CAPGDS1000001243 Input'!B26</f>
        <v>45972</v>
      </c>
      <c r="D28" s="52"/>
      <c r="E28" s="80">
        <f>'CAPGDS1000001243 Input'!D26*'CAPGDS1000001243 Input'!$D$9*'CAPGDS1000001243 Input'!$H$9</f>
        <v>0</v>
      </c>
      <c r="F28" s="7"/>
      <c r="G28" s="7">
        <f t="shared" si="2"/>
        <v>90450</v>
      </c>
      <c r="H28" s="7"/>
      <c r="I28" s="7">
        <f t="shared" si="0"/>
        <v>90450</v>
      </c>
      <c r="J28" s="54"/>
    </row>
    <row r="29" spans="1:10" x14ac:dyDescent="0.2">
      <c r="A29" s="45">
        <f t="shared" si="1"/>
        <v>13</v>
      </c>
      <c r="C29" s="52">
        <f>'CAPGDS1000001243 Input'!B27</f>
        <v>46002</v>
      </c>
      <c r="D29" s="52"/>
      <c r="E29" s="114">
        <f>'CAPGDS1000001243 Input'!D27*'CAPGDS1000001243 Input'!$D$9*'CAPGDS1000001243 Input'!$H$9</f>
        <v>0</v>
      </c>
      <c r="F29" s="7"/>
      <c r="G29" s="115">
        <f t="shared" si="2"/>
        <v>90450</v>
      </c>
      <c r="H29" s="7"/>
      <c r="I29" s="115">
        <f t="shared" si="0"/>
        <v>90450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1175850</v>
      </c>
      <c r="H30" s="110"/>
      <c r="I30" s="110">
        <f>SUM(I17:I29)</f>
        <v>1175850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90450</v>
      </c>
      <c r="H32" s="110"/>
      <c r="I32" s="112">
        <f>ROUND(+I30/13,2)</f>
        <v>90450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90450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0.8554687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1.75" customHeight="1" x14ac:dyDescent="0.2">
      <c r="A5" s="139" t="str">
        <f>'CAPGDS1000001243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'CAPGDS1000001243 Input'!F8</f>
        <v>SFS - E Benson Rd &amp; N Serin Ave - 65# System Tie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'CAPGDS1000001243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"&amp;'CAPGDS1000001243 Input'!F15</f>
        <v>Acct 2.376.00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'CAPGDS1000001243 TotalWO'!C17</f>
        <v>45641</v>
      </c>
      <c r="D17" s="52"/>
      <c r="E17" s="109">
        <f>'CAPGDS1000001243 TotalWO'!E17*'CAPGDS1000001243 Input'!$H$15</f>
        <v>0</v>
      </c>
      <c r="F17" s="116"/>
      <c r="G17" s="109">
        <f>'CAPGDS1000001243 TotalWO'!G17*'CAPGDS1000001243 Input'!$H$15</f>
        <v>90450</v>
      </c>
      <c r="H17" s="110"/>
      <c r="I17" s="109">
        <f t="shared" ref="I17:I29" si="0">G17-E17</f>
        <v>90450</v>
      </c>
    </row>
    <row r="18" spans="1:12" x14ac:dyDescent="0.2">
      <c r="A18" s="45">
        <f t="shared" ref="A18:A40" si="1">1+A17</f>
        <v>2</v>
      </c>
      <c r="C18" s="52">
        <f>'CAPGDS1000001243 TotalWO'!C18</f>
        <v>45672</v>
      </c>
      <c r="D18" s="52"/>
      <c r="E18" s="80">
        <f>'CAPGDS1000001243 TotalWO'!E18*'CAPGDS1000001243 Input'!$H$15</f>
        <v>0</v>
      </c>
      <c r="F18" s="80"/>
      <c r="G18" s="80">
        <f>'CAPGDS1000001243 TotalWO'!G18*'CAPGDS1000001243 Input'!$H$15</f>
        <v>90450</v>
      </c>
      <c r="H18" s="7"/>
      <c r="I18" s="80">
        <f t="shared" si="0"/>
        <v>90450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'CAPGDS1000001243 TotalWO'!E19*'CAPGDS1000001243 Input'!$H$15</f>
        <v>0</v>
      </c>
      <c r="F19" s="80"/>
      <c r="G19" s="80">
        <f>'CAPGDS1000001243 TotalWO'!G19*'CAPGDS1000001243 Input'!$H$15</f>
        <v>90450</v>
      </c>
      <c r="H19" s="7"/>
      <c r="I19" s="7">
        <f t="shared" si="0"/>
        <v>90450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'CAPGDS1000001243 TotalWO'!E20*'CAPGDS1000001243 Input'!$H$15</f>
        <v>0</v>
      </c>
      <c r="F20" s="80"/>
      <c r="G20" s="80">
        <f>'CAPGDS1000001243 TotalWO'!G20*'CAPGDS1000001243 Input'!$H$15</f>
        <v>90450</v>
      </c>
      <c r="H20" s="7"/>
      <c r="I20" s="7">
        <f t="shared" si="0"/>
        <v>90450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'CAPGDS1000001243 TotalWO'!E21*'CAPGDS1000001243 Input'!$H$15</f>
        <v>0</v>
      </c>
      <c r="F21" s="80"/>
      <c r="G21" s="80">
        <f>'CAPGDS1000001243 TotalWO'!G21*'CAPGDS1000001243 Input'!$H$15</f>
        <v>90450</v>
      </c>
      <c r="H21" s="7"/>
      <c r="I21" s="7">
        <f t="shared" si="0"/>
        <v>90450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'CAPGDS1000001243 TotalWO'!E22*'CAPGDS1000001243 Input'!$H$15</f>
        <v>0</v>
      </c>
      <c r="F22" s="80"/>
      <c r="G22" s="80">
        <f>'CAPGDS1000001243 TotalWO'!G22*'CAPGDS1000001243 Input'!$H$15</f>
        <v>90450</v>
      </c>
      <c r="H22" s="7"/>
      <c r="I22" s="7">
        <f t="shared" si="0"/>
        <v>90450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'CAPGDS1000001243 TotalWO'!E23*'CAPGDS1000001243 Input'!$H$15</f>
        <v>0</v>
      </c>
      <c r="F23" s="80"/>
      <c r="G23" s="80">
        <f>'CAPGDS1000001243 TotalWO'!G23*'CAPGDS1000001243 Input'!$H$15</f>
        <v>90450</v>
      </c>
      <c r="H23" s="7"/>
      <c r="I23" s="7">
        <f t="shared" si="0"/>
        <v>90450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'CAPGDS1000001243 TotalWO'!E24*'CAPGDS1000001243 Input'!$H$15</f>
        <v>0</v>
      </c>
      <c r="F24" s="80"/>
      <c r="G24" s="80">
        <f>'CAPGDS1000001243 TotalWO'!G24*'CAPGDS1000001243 Input'!$H$15</f>
        <v>90450</v>
      </c>
      <c r="H24" s="7"/>
      <c r="I24" s="7">
        <f t="shared" si="0"/>
        <v>90450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'CAPGDS1000001243 TotalWO'!E25*'CAPGDS1000001243 Input'!$H$15</f>
        <v>0</v>
      </c>
      <c r="F25" s="80"/>
      <c r="G25" s="80">
        <f>'CAPGDS1000001243 TotalWO'!G25*'CAPGDS1000001243 Input'!$H$15</f>
        <v>90450</v>
      </c>
      <c r="H25" s="7"/>
      <c r="I25" s="7">
        <f t="shared" si="0"/>
        <v>90450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'CAPGDS1000001243 TotalWO'!E26*'CAPGDS1000001243 Input'!$H$15</f>
        <v>0</v>
      </c>
      <c r="F26" s="80"/>
      <c r="G26" s="80">
        <f>'CAPGDS1000001243 TotalWO'!G26*'CAPGDS1000001243 Input'!$H$15</f>
        <v>90450</v>
      </c>
      <c r="H26" s="7"/>
      <c r="I26" s="7">
        <f t="shared" si="0"/>
        <v>90450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'CAPGDS1000001243 TotalWO'!E27*'CAPGDS1000001243 Input'!$H$15</f>
        <v>0</v>
      </c>
      <c r="F27" s="80"/>
      <c r="G27" s="80">
        <f>'CAPGDS1000001243 TotalWO'!G27*'CAPGDS1000001243 Input'!$H$15</f>
        <v>90450</v>
      </c>
      <c r="H27" s="7"/>
      <c r="I27" s="7">
        <f t="shared" si="0"/>
        <v>90450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'CAPGDS1000001243 TotalWO'!E28*'CAPGDS1000001243 Input'!$H$15</f>
        <v>0</v>
      </c>
      <c r="F28" s="80"/>
      <c r="G28" s="80">
        <f>'CAPGDS1000001243 TotalWO'!G28*'CAPGDS1000001243 Input'!$H$15</f>
        <v>90450</v>
      </c>
      <c r="H28" s="7"/>
      <c r="I28" s="7">
        <f t="shared" si="0"/>
        <v>90450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'CAPGDS1000001243 TotalWO'!E29*'CAPGDS1000001243 Input'!$H$15</f>
        <v>0</v>
      </c>
      <c r="F29" s="80"/>
      <c r="G29" s="114">
        <f>'CAPGDS1000001243 TotalWO'!G29*'CAPGDS1000001243 Input'!$H$15</f>
        <v>90450</v>
      </c>
      <c r="H29" s="7"/>
      <c r="I29" s="115">
        <f t="shared" si="0"/>
        <v>90450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1175850</v>
      </c>
      <c r="H30" s="110"/>
      <c r="I30" s="110">
        <f>SUM(I17:I29)</f>
        <v>1175850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90450</v>
      </c>
      <c r="H32" s="110"/>
      <c r="I32" s="112">
        <f>ROUND(+I30/13,2)</f>
        <v>90450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90450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152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3.2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>SFS - E Benson Rd &amp; N Serin Ave - 65# System Tie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2.376.00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 t="shared" ref="E57:E69" si="3">ROUND(E17*$G$78,2)</f>
        <v>0</v>
      </c>
      <c r="F57" s="110"/>
      <c r="G57" s="109">
        <f>ROUND(+G17*$G$78,2)</f>
        <v>153.47999999999999</v>
      </c>
      <c r="H57" s="110"/>
      <c r="I57" s="110">
        <f t="shared" ref="I57:I58" si="4">G57-E57</f>
        <v>153.47999999999999</v>
      </c>
      <c r="J57" s="110"/>
      <c r="K57" s="111"/>
      <c r="L57" s="110"/>
      <c r="M57" s="110">
        <f>+ROUND(I57/I$72*M$72,2)</f>
        <v>22.56</v>
      </c>
    </row>
    <row r="58" spans="1:13" x14ac:dyDescent="0.2">
      <c r="A58" s="45">
        <f t="shared" ref="A58:A81" si="5">1+A57</f>
        <v>2</v>
      </c>
      <c r="C58" s="52">
        <f>C18</f>
        <v>45672</v>
      </c>
      <c r="D58" s="52"/>
      <c r="E58" s="80">
        <f t="shared" si="3"/>
        <v>0</v>
      </c>
      <c r="F58" s="80"/>
      <c r="G58" s="80">
        <f t="shared" ref="G58:G69" si="6">ROUND(+G17*$G$78,2)</f>
        <v>153.47999999999999</v>
      </c>
      <c r="H58" s="7"/>
      <c r="I58" s="7">
        <f t="shared" si="4"/>
        <v>153.47999999999999</v>
      </c>
      <c r="J58" s="7"/>
      <c r="K58" s="7"/>
      <c r="L58" s="7"/>
      <c r="M58" s="7">
        <f t="shared" ref="M58" si="7">+ROUND(I58/I$72*M$72,2)</f>
        <v>22.56</v>
      </c>
    </row>
    <row r="59" spans="1:13" x14ac:dyDescent="0.2">
      <c r="A59" s="45">
        <f t="shared" si="5"/>
        <v>3</v>
      </c>
      <c r="C59" s="52">
        <f t="shared" ref="C59:C69" si="8">C58+31</f>
        <v>45703</v>
      </c>
      <c r="D59" s="52"/>
      <c r="E59" s="80">
        <f t="shared" si="3"/>
        <v>0</v>
      </c>
      <c r="F59" s="80"/>
      <c r="G59" s="80">
        <f t="shared" si="6"/>
        <v>153.47999999999999</v>
      </c>
      <c r="H59" s="7"/>
      <c r="I59" s="7">
        <f t="shared" ref="I59:I69" si="9">G59-E59</f>
        <v>153.47999999999999</v>
      </c>
      <c r="J59" s="7"/>
      <c r="K59" s="7"/>
      <c r="L59" s="7"/>
      <c r="M59" s="7">
        <f t="shared" ref="M59:M69" si="10">+ROUND(I59/I$72*M$72,2)</f>
        <v>22.56</v>
      </c>
    </row>
    <row r="60" spans="1:13" x14ac:dyDescent="0.2">
      <c r="A60" s="45">
        <f t="shared" si="5"/>
        <v>4</v>
      </c>
      <c r="C60" s="52">
        <f t="shared" si="8"/>
        <v>45734</v>
      </c>
      <c r="D60" s="52"/>
      <c r="E60" s="80">
        <f t="shared" si="3"/>
        <v>0</v>
      </c>
      <c r="F60" s="80"/>
      <c r="G60" s="80">
        <f t="shared" si="6"/>
        <v>153.47999999999999</v>
      </c>
      <c r="H60" s="7"/>
      <c r="I60" s="7">
        <f t="shared" si="9"/>
        <v>153.47999999999999</v>
      </c>
      <c r="J60" s="7"/>
      <c r="K60" s="7"/>
      <c r="L60" s="7"/>
      <c r="M60" s="7">
        <f t="shared" si="10"/>
        <v>22.56</v>
      </c>
    </row>
    <row r="61" spans="1:13" x14ac:dyDescent="0.2">
      <c r="A61" s="45">
        <f t="shared" si="5"/>
        <v>5</v>
      </c>
      <c r="C61" s="52">
        <f t="shared" si="8"/>
        <v>45765</v>
      </c>
      <c r="D61" s="52"/>
      <c r="E61" s="80">
        <f t="shared" si="3"/>
        <v>0</v>
      </c>
      <c r="F61" s="80"/>
      <c r="G61" s="80">
        <f t="shared" si="6"/>
        <v>153.47999999999999</v>
      </c>
      <c r="H61" s="7"/>
      <c r="I61" s="7">
        <f t="shared" si="9"/>
        <v>153.47999999999999</v>
      </c>
      <c r="J61" s="7"/>
      <c r="K61" s="7"/>
      <c r="L61" s="7"/>
      <c r="M61" s="7">
        <f t="shared" si="10"/>
        <v>22.56</v>
      </c>
    </row>
    <row r="62" spans="1:13" x14ac:dyDescent="0.2">
      <c r="A62" s="45">
        <f t="shared" si="5"/>
        <v>6</v>
      </c>
      <c r="C62" s="52">
        <f t="shared" si="8"/>
        <v>45796</v>
      </c>
      <c r="D62" s="52"/>
      <c r="E62" s="80">
        <f t="shared" si="3"/>
        <v>0</v>
      </c>
      <c r="F62" s="80"/>
      <c r="G62" s="80">
        <f t="shared" si="6"/>
        <v>153.47999999999999</v>
      </c>
      <c r="H62" s="7"/>
      <c r="I62" s="7">
        <f t="shared" si="9"/>
        <v>153.47999999999999</v>
      </c>
      <c r="J62" s="7"/>
      <c r="K62" s="7"/>
      <c r="L62" s="7"/>
      <c r="M62" s="7">
        <f t="shared" si="10"/>
        <v>22.56</v>
      </c>
    </row>
    <row r="63" spans="1:13" x14ac:dyDescent="0.2">
      <c r="A63" s="45">
        <f t="shared" si="5"/>
        <v>7</v>
      </c>
      <c r="C63" s="52">
        <f t="shared" si="8"/>
        <v>45827</v>
      </c>
      <c r="D63" s="52"/>
      <c r="E63" s="80">
        <f t="shared" si="3"/>
        <v>0</v>
      </c>
      <c r="F63" s="80"/>
      <c r="G63" s="80">
        <f t="shared" si="6"/>
        <v>153.47999999999999</v>
      </c>
      <c r="H63" s="7"/>
      <c r="I63" s="7">
        <f t="shared" si="9"/>
        <v>153.47999999999999</v>
      </c>
      <c r="J63" s="7"/>
      <c r="K63" s="7"/>
      <c r="L63" s="7"/>
      <c r="M63" s="7">
        <f t="shared" si="10"/>
        <v>22.56</v>
      </c>
    </row>
    <row r="64" spans="1:13" x14ac:dyDescent="0.2">
      <c r="A64" s="45">
        <f t="shared" si="5"/>
        <v>8</v>
      </c>
      <c r="C64" s="52">
        <f t="shared" si="8"/>
        <v>45858</v>
      </c>
      <c r="D64" s="52"/>
      <c r="E64" s="80">
        <f t="shared" si="3"/>
        <v>0</v>
      </c>
      <c r="F64" s="80"/>
      <c r="G64" s="80">
        <f t="shared" si="6"/>
        <v>153.47999999999999</v>
      </c>
      <c r="H64" s="7"/>
      <c r="I64" s="7">
        <f t="shared" si="9"/>
        <v>153.47999999999999</v>
      </c>
      <c r="J64" s="7"/>
      <c r="K64" s="7"/>
      <c r="L64" s="7"/>
      <c r="M64" s="7">
        <f t="shared" si="10"/>
        <v>22.56</v>
      </c>
    </row>
    <row r="65" spans="1:13" x14ac:dyDescent="0.2">
      <c r="A65" s="45">
        <f t="shared" si="5"/>
        <v>9</v>
      </c>
      <c r="C65" s="52">
        <f t="shared" si="8"/>
        <v>45889</v>
      </c>
      <c r="D65" s="52"/>
      <c r="E65" s="80">
        <f t="shared" si="3"/>
        <v>0</v>
      </c>
      <c r="F65" s="80"/>
      <c r="G65" s="80">
        <f t="shared" si="6"/>
        <v>153.47999999999999</v>
      </c>
      <c r="H65" s="7"/>
      <c r="I65" s="7">
        <f t="shared" si="9"/>
        <v>153.47999999999999</v>
      </c>
      <c r="J65" s="7"/>
      <c r="K65" s="7"/>
      <c r="L65" s="7"/>
      <c r="M65" s="7">
        <f t="shared" si="10"/>
        <v>22.56</v>
      </c>
    </row>
    <row r="66" spans="1:13" x14ac:dyDescent="0.2">
      <c r="A66" s="45">
        <f t="shared" si="5"/>
        <v>10</v>
      </c>
      <c r="C66" s="52">
        <f t="shared" si="8"/>
        <v>45920</v>
      </c>
      <c r="D66" s="52"/>
      <c r="E66" s="80">
        <f t="shared" si="3"/>
        <v>0</v>
      </c>
      <c r="F66" s="80"/>
      <c r="G66" s="80">
        <f t="shared" si="6"/>
        <v>153.47999999999999</v>
      </c>
      <c r="H66" s="7"/>
      <c r="I66" s="7">
        <f t="shared" si="9"/>
        <v>153.47999999999999</v>
      </c>
      <c r="J66" s="7"/>
      <c r="K66" s="7"/>
      <c r="L66" s="7"/>
      <c r="M66" s="7">
        <f t="shared" si="10"/>
        <v>22.56</v>
      </c>
    </row>
    <row r="67" spans="1:13" x14ac:dyDescent="0.2">
      <c r="A67" s="45">
        <f t="shared" si="5"/>
        <v>11</v>
      </c>
      <c r="C67" s="52">
        <f t="shared" si="8"/>
        <v>45951</v>
      </c>
      <c r="D67" s="52"/>
      <c r="E67" s="80">
        <f t="shared" si="3"/>
        <v>0</v>
      </c>
      <c r="F67" s="80"/>
      <c r="G67" s="80">
        <f t="shared" si="6"/>
        <v>153.47999999999999</v>
      </c>
      <c r="H67" s="7"/>
      <c r="I67" s="7">
        <f t="shared" si="9"/>
        <v>153.47999999999999</v>
      </c>
      <c r="J67" s="7"/>
      <c r="K67" s="7"/>
      <c r="L67" s="7"/>
      <c r="M67" s="7">
        <f>+ROUND(I67/I$72*M$72,2)+0.01</f>
        <v>22.57</v>
      </c>
    </row>
    <row r="68" spans="1:13" x14ac:dyDescent="0.2">
      <c r="A68" s="45">
        <f t="shared" si="5"/>
        <v>12</v>
      </c>
      <c r="C68" s="52">
        <f t="shared" si="8"/>
        <v>45982</v>
      </c>
      <c r="D68" s="52"/>
      <c r="E68" s="80">
        <f t="shared" si="3"/>
        <v>0</v>
      </c>
      <c r="F68" s="80"/>
      <c r="G68" s="80">
        <f t="shared" si="6"/>
        <v>153.47999999999999</v>
      </c>
      <c r="H68" s="7"/>
      <c r="I68" s="7">
        <f t="shared" si="9"/>
        <v>153.47999999999999</v>
      </c>
      <c r="J68" s="7"/>
      <c r="K68" s="7"/>
      <c r="L68" s="7"/>
      <c r="M68" s="7">
        <f>+ROUND(I68/I$72*M$72,2)+0.01</f>
        <v>22.57</v>
      </c>
    </row>
    <row r="69" spans="1:13" x14ac:dyDescent="0.2">
      <c r="A69" s="45">
        <f t="shared" si="5"/>
        <v>13</v>
      </c>
      <c r="C69" s="52">
        <f t="shared" si="8"/>
        <v>46013</v>
      </c>
      <c r="D69" s="52"/>
      <c r="E69" s="114">
        <f t="shared" si="3"/>
        <v>0</v>
      </c>
      <c r="F69" s="80"/>
      <c r="G69" s="114">
        <f t="shared" si="6"/>
        <v>153.47999999999999</v>
      </c>
      <c r="H69" s="7"/>
      <c r="I69" s="115">
        <f t="shared" si="9"/>
        <v>153.47999999999999</v>
      </c>
      <c r="J69" s="7"/>
      <c r="K69" s="7"/>
      <c r="L69" s="7"/>
      <c r="M69" s="115">
        <f t="shared" si="10"/>
        <v>22.56</v>
      </c>
    </row>
    <row r="70" spans="1:13" x14ac:dyDescent="0.2">
      <c r="A70" s="45">
        <f t="shared" si="5"/>
        <v>14</v>
      </c>
      <c r="C70" s="58" t="s">
        <v>47</v>
      </c>
      <c r="D70" s="58"/>
      <c r="E70" s="110">
        <f>SUM(E57:E69)</f>
        <v>0</v>
      </c>
      <c r="F70" s="110"/>
      <c r="G70" s="110">
        <f>SUM(G57:G69)</f>
        <v>1995.24</v>
      </c>
      <c r="H70" s="110"/>
      <c r="I70" s="110">
        <f>SUM(I57:I69)</f>
        <v>1995.24</v>
      </c>
      <c r="J70" s="110"/>
      <c r="K70" s="110"/>
      <c r="L70" s="110"/>
      <c r="M70" s="110">
        <f>SUM(M57:M69)</f>
        <v>293.3</v>
      </c>
    </row>
    <row r="71" spans="1:13" x14ac:dyDescent="0.2">
      <c r="A71" s="45">
        <f t="shared" si="5"/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f t="shared" si="5"/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1995.24</v>
      </c>
      <c r="J72" s="110"/>
      <c r="K72" s="112">
        <f>ROUND(G17*K78,2)</f>
        <v>3391.88</v>
      </c>
      <c r="L72" s="110"/>
      <c r="M72" s="112">
        <f>ROUND(+(K72-I72)*M78,2)</f>
        <v>293.29000000000002</v>
      </c>
    </row>
    <row r="73" spans="1:13" ht="12" thickTop="1" x14ac:dyDescent="0.2">
      <c r="A73" s="45">
        <f t="shared" si="5"/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f t="shared" si="5"/>
        <v>18</v>
      </c>
      <c r="I74" s="58" t="s">
        <v>153</v>
      </c>
      <c r="M74" s="51" t="s">
        <v>91</v>
      </c>
    </row>
    <row r="75" spans="1:13" x14ac:dyDescent="0.2">
      <c r="A75" s="45">
        <f t="shared" si="5"/>
        <v>19</v>
      </c>
      <c r="K75" s="51" t="s">
        <v>96</v>
      </c>
      <c r="M75" s="51" t="s">
        <v>97</v>
      </c>
    </row>
    <row r="76" spans="1:13" x14ac:dyDescent="0.2">
      <c r="A76" s="45">
        <f t="shared" si="5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5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5"/>
        <v>22</v>
      </c>
      <c r="C78" s="71" t="str">
        <f>E53</f>
        <v>Acct 2.376.00</v>
      </c>
      <c r="D78" s="71"/>
      <c r="E78" s="72">
        <f>'CAPGDS1000001243 Input'!J15</f>
        <v>2.2058823529411766E-2</v>
      </c>
      <c r="F78" s="72"/>
      <c r="G78" s="72">
        <f>E78/13</f>
        <v>1.6968325791855204E-3</v>
      </c>
      <c r="K78" s="81">
        <f>+'CAPGDS1000001243 Input'!L15</f>
        <v>3.7499999999999999E-2</v>
      </c>
      <c r="M78" s="82">
        <f>+'CAPGDS1000001243 Input'!N15</f>
        <v>0.21</v>
      </c>
    </row>
    <row r="79" spans="1:13" x14ac:dyDescent="0.2">
      <c r="A79" s="45">
        <f t="shared" si="5"/>
        <v>23</v>
      </c>
      <c r="H79" s="63"/>
      <c r="I79" s="54"/>
      <c r="K79" s="51" t="s">
        <v>105</v>
      </c>
    </row>
    <row r="80" spans="1:13" x14ac:dyDescent="0.2">
      <c r="A80" s="45">
        <f t="shared" si="5"/>
        <v>24</v>
      </c>
      <c r="H80" s="72"/>
      <c r="I80" s="54"/>
    </row>
    <row r="81" spans="1:13" x14ac:dyDescent="0.2">
      <c r="A81" s="45">
        <f t="shared" si="5"/>
        <v>25</v>
      </c>
    </row>
    <row r="82" spans="1:13" x14ac:dyDescent="0.2">
      <c r="A82" s="45">
        <v>26</v>
      </c>
      <c r="H82" s="72"/>
      <c r="I82" s="54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1.7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>SFS - E Benson Rd &amp; N Serin Ave - 65# System Tie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71" t="s">
        <v>79</v>
      </c>
      <c r="E95" s="48" t="str">
        <f>E13</f>
        <v>Acct 2.376.00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88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f>E57</f>
        <v>0</v>
      </c>
      <c r="F99" s="110"/>
      <c r="G99" s="109">
        <f>G57</f>
        <v>153.47999999999999</v>
      </c>
      <c r="H99" s="110"/>
      <c r="I99" s="110">
        <f t="shared" ref="I99:I100" si="11">G99-E99</f>
        <v>153.47999999999999</v>
      </c>
      <c r="J99" s="110"/>
      <c r="K99" s="111"/>
      <c r="L99" s="110"/>
      <c r="M99" s="110">
        <f>+M57</f>
        <v>22.56</v>
      </c>
    </row>
    <row r="100" spans="1:13" x14ac:dyDescent="0.2">
      <c r="A100" s="45">
        <f t="shared" ref="A100:A128" si="12">1+A99</f>
        <v>2</v>
      </c>
      <c r="C100" s="52">
        <f>C18</f>
        <v>45672</v>
      </c>
      <c r="D100" s="52"/>
      <c r="E100" s="7">
        <f t="shared" ref="E100:E111" si="13">E99+E58</f>
        <v>0</v>
      </c>
      <c r="F100" s="7"/>
      <c r="G100" s="7">
        <f t="shared" ref="G100:G111" si="14">G99+G58</f>
        <v>306.95999999999998</v>
      </c>
      <c r="H100" s="7"/>
      <c r="I100" s="7">
        <f t="shared" si="11"/>
        <v>306.95999999999998</v>
      </c>
      <c r="J100" s="7"/>
      <c r="K100" s="7"/>
      <c r="L100" s="7"/>
      <c r="M100" s="7">
        <f t="shared" ref="M100:M111" si="15">+M99+M58</f>
        <v>45.12</v>
      </c>
    </row>
    <row r="101" spans="1:13" x14ac:dyDescent="0.2">
      <c r="A101" s="45">
        <f t="shared" si="12"/>
        <v>3</v>
      </c>
      <c r="C101" s="52">
        <f t="shared" ref="C101:C111" si="16">C100+31</f>
        <v>45703</v>
      </c>
      <c r="D101" s="52"/>
      <c r="E101" s="7">
        <f t="shared" si="13"/>
        <v>0</v>
      </c>
      <c r="F101" s="7"/>
      <c r="G101" s="7">
        <f t="shared" si="14"/>
        <v>460.43999999999994</v>
      </c>
      <c r="H101" s="7"/>
      <c r="I101" s="7">
        <f t="shared" ref="I101:I111" si="17">G101-E101</f>
        <v>460.43999999999994</v>
      </c>
      <c r="J101" s="7"/>
      <c r="K101" s="7"/>
      <c r="L101" s="7"/>
      <c r="M101" s="7">
        <f t="shared" si="15"/>
        <v>67.679999999999993</v>
      </c>
    </row>
    <row r="102" spans="1:13" x14ac:dyDescent="0.2">
      <c r="A102" s="45">
        <f t="shared" si="12"/>
        <v>4</v>
      </c>
      <c r="C102" s="52">
        <f t="shared" si="16"/>
        <v>45734</v>
      </c>
      <c r="D102" s="52"/>
      <c r="E102" s="7">
        <f t="shared" si="13"/>
        <v>0</v>
      </c>
      <c r="F102" s="7"/>
      <c r="G102" s="7">
        <f t="shared" si="14"/>
        <v>613.91999999999996</v>
      </c>
      <c r="H102" s="7"/>
      <c r="I102" s="7">
        <f t="shared" si="17"/>
        <v>613.91999999999996</v>
      </c>
      <c r="J102" s="7"/>
      <c r="K102" s="7"/>
      <c r="L102" s="7"/>
      <c r="M102" s="7">
        <f t="shared" si="15"/>
        <v>90.24</v>
      </c>
    </row>
    <row r="103" spans="1:13" x14ac:dyDescent="0.2">
      <c r="A103" s="45">
        <f t="shared" si="12"/>
        <v>5</v>
      </c>
      <c r="C103" s="52">
        <f t="shared" si="16"/>
        <v>45765</v>
      </c>
      <c r="D103" s="52"/>
      <c r="E103" s="7">
        <f t="shared" si="13"/>
        <v>0</v>
      </c>
      <c r="F103" s="7"/>
      <c r="G103" s="7">
        <f t="shared" si="14"/>
        <v>767.4</v>
      </c>
      <c r="H103" s="7"/>
      <c r="I103" s="7">
        <f t="shared" si="17"/>
        <v>767.4</v>
      </c>
      <c r="J103" s="7"/>
      <c r="K103" s="7"/>
      <c r="L103" s="7"/>
      <c r="M103" s="7">
        <f t="shared" si="15"/>
        <v>112.8</v>
      </c>
    </row>
    <row r="104" spans="1:13" x14ac:dyDescent="0.2">
      <c r="A104" s="45">
        <f t="shared" si="12"/>
        <v>6</v>
      </c>
      <c r="C104" s="52">
        <f t="shared" si="16"/>
        <v>45796</v>
      </c>
      <c r="D104" s="52"/>
      <c r="E104" s="7">
        <f t="shared" si="13"/>
        <v>0</v>
      </c>
      <c r="F104" s="7"/>
      <c r="G104" s="7">
        <f t="shared" si="14"/>
        <v>920.88</v>
      </c>
      <c r="H104" s="7"/>
      <c r="I104" s="7">
        <f t="shared" si="17"/>
        <v>920.88</v>
      </c>
      <c r="J104" s="7"/>
      <c r="K104" s="7"/>
      <c r="L104" s="7"/>
      <c r="M104" s="7">
        <f t="shared" si="15"/>
        <v>135.35999999999999</v>
      </c>
    </row>
    <row r="105" spans="1:13" x14ac:dyDescent="0.2">
      <c r="A105" s="45">
        <f t="shared" si="12"/>
        <v>7</v>
      </c>
      <c r="C105" s="52">
        <f t="shared" si="16"/>
        <v>45827</v>
      </c>
      <c r="D105" s="52"/>
      <c r="E105" s="7">
        <f t="shared" si="13"/>
        <v>0</v>
      </c>
      <c r="F105" s="7"/>
      <c r="G105" s="7">
        <f t="shared" si="14"/>
        <v>1074.3599999999999</v>
      </c>
      <c r="H105" s="7"/>
      <c r="I105" s="7">
        <f t="shared" si="17"/>
        <v>1074.3599999999999</v>
      </c>
      <c r="J105" s="7"/>
      <c r="K105" s="7"/>
      <c r="L105" s="7"/>
      <c r="M105" s="7">
        <f t="shared" si="15"/>
        <v>157.91999999999999</v>
      </c>
    </row>
    <row r="106" spans="1:13" x14ac:dyDescent="0.2">
      <c r="A106" s="45">
        <f t="shared" si="12"/>
        <v>8</v>
      </c>
      <c r="C106" s="52">
        <f t="shared" si="16"/>
        <v>45858</v>
      </c>
      <c r="D106" s="52"/>
      <c r="E106" s="7">
        <f t="shared" si="13"/>
        <v>0</v>
      </c>
      <c r="F106" s="7"/>
      <c r="G106" s="7">
        <f t="shared" si="14"/>
        <v>1227.8399999999999</v>
      </c>
      <c r="H106" s="7"/>
      <c r="I106" s="7">
        <f t="shared" si="17"/>
        <v>1227.8399999999999</v>
      </c>
      <c r="J106" s="7"/>
      <c r="K106" s="7"/>
      <c r="L106" s="7"/>
      <c r="M106" s="7">
        <f t="shared" si="15"/>
        <v>180.48</v>
      </c>
    </row>
    <row r="107" spans="1:13" x14ac:dyDescent="0.2">
      <c r="A107" s="45">
        <f t="shared" si="12"/>
        <v>9</v>
      </c>
      <c r="C107" s="52">
        <f t="shared" si="16"/>
        <v>45889</v>
      </c>
      <c r="D107" s="52"/>
      <c r="E107" s="7">
        <f t="shared" si="13"/>
        <v>0</v>
      </c>
      <c r="F107" s="7"/>
      <c r="G107" s="7">
        <f t="shared" si="14"/>
        <v>1381.32</v>
      </c>
      <c r="H107" s="7"/>
      <c r="I107" s="7">
        <f t="shared" si="17"/>
        <v>1381.32</v>
      </c>
      <c r="J107" s="7"/>
      <c r="K107" s="7"/>
      <c r="L107" s="7"/>
      <c r="M107" s="7">
        <f t="shared" si="15"/>
        <v>203.04</v>
      </c>
    </row>
    <row r="108" spans="1:13" x14ac:dyDescent="0.2">
      <c r="A108" s="45">
        <f t="shared" si="12"/>
        <v>10</v>
      </c>
      <c r="C108" s="52">
        <f t="shared" si="16"/>
        <v>45920</v>
      </c>
      <c r="D108" s="52"/>
      <c r="E108" s="7">
        <f t="shared" si="13"/>
        <v>0</v>
      </c>
      <c r="F108" s="7"/>
      <c r="G108" s="7">
        <f t="shared" si="14"/>
        <v>1534.8</v>
      </c>
      <c r="H108" s="7"/>
      <c r="I108" s="7">
        <f t="shared" si="17"/>
        <v>1534.8</v>
      </c>
      <c r="J108" s="7"/>
      <c r="K108" s="7"/>
      <c r="L108" s="7"/>
      <c r="M108" s="7">
        <f t="shared" si="15"/>
        <v>225.6</v>
      </c>
    </row>
    <row r="109" spans="1:13" x14ac:dyDescent="0.2">
      <c r="A109" s="45">
        <f t="shared" si="12"/>
        <v>11</v>
      </c>
      <c r="C109" s="52">
        <f t="shared" si="16"/>
        <v>45951</v>
      </c>
      <c r="D109" s="52"/>
      <c r="E109" s="7">
        <f t="shared" si="13"/>
        <v>0</v>
      </c>
      <c r="F109" s="7"/>
      <c r="G109" s="7">
        <f t="shared" si="14"/>
        <v>1688.28</v>
      </c>
      <c r="H109" s="7"/>
      <c r="I109" s="7">
        <f t="shared" si="17"/>
        <v>1688.28</v>
      </c>
      <c r="J109" s="7"/>
      <c r="K109" s="7"/>
      <c r="L109" s="7"/>
      <c r="M109" s="7">
        <f t="shared" si="15"/>
        <v>248.17</v>
      </c>
    </row>
    <row r="110" spans="1:13" x14ac:dyDescent="0.2">
      <c r="A110" s="45">
        <f t="shared" si="12"/>
        <v>12</v>
      </c>
      <c r="C110" s="52">
        <f t="shared" si="16"/>
        <v>45982</v>
      </c>
      <c r="D110" s="52"/>
      <c r="E110" s="7">
        <f t="shared" si="13"/>
        <v>0</v>
      </c>
      <c r="F110" s="7"/>
      <c r="G110" s="7">
        <f t="shared" si="14"/>
        <v>1841.76</v>
      </c>
      <c r="H110" s="7"/>
      <c r="I110" s="7">
        <f t="shared" si="17"/>
        <v>1841.76</v>
      </c>
      <c r="J110" s="7"/>
      <c r="K110" s="7"/>
      <c r="L110" s="7"/>
      <c r="M110" s="7">
        <f t="shared" si="15"/>
        <v>270.74</v>
      </c>
    </row>
    <row r="111" spans="1:13" x14ac:dyDescent="0.2">
      <c r="A111" s="45">
        <f t="shared" si="12"/>
        <v>13</v>
      </c>
      <c r="C111" s="52">
        <f t="shared" si="16"/>
        <v>46013</v>
      </c>
      <c r="D111" s="52"/>
      <c r="E111" s="115">
        <f t="shared" si="13"/>
        <v>0</v>
      </c>
      <c r="F111" s="7"/>
      <c r="G111" s="115">
        <f t="shared" si="14"/>
        <v>1995.24</v>
      </c>
      <c r="H111" s="7"/>
      <c r="I111" s="115">
        <f t="shared" si="17"/>
        <v>1995.24</v>
      </c>
      <c r="J111" s="7"/>
      <c r="K111" s="7"/>
      <c r="L111" s="7"/>
      <c r="M111" s="115">
        <f t="shared" si="15"/>
        <v>293.3</v>
      </c>
    </row>
    <row r="112" spans="1:13" x14ac:dyDescent="0.2">
      <c r="A112" s="45">
        <f t="shared" si="12"/>
        <v>14</v>
      </c>
      <c r="C112" s="58" t="s">
        <v>47</v>
      </c>
      <c r="D112" s="58"/>
      <c r="E112" s="110">
        <f>SUM(E99:E111)</f>
        <v>0</v>
      </c>
      <c r="F112" s="110"/>
      <c r="G112" s="110">
        <f>SUM(G99:G111)</f>
        <v>13966.68</v>
      </c>
      <c r="H112" s="110"/>
      <c r="I112" s="110">
        <f>SUM(I99:I111)</f>
        <v>13966.68</v>
      </c>
      <c r="J112" s="110"/>
      <c r="K112" s="110"/>
      <c r="L112" s="110"/>
      <c r="M112" s="110">
        <f>SUM(M99:M111)</f>
        <v>2053.0100000000002</v>
      </c>
    </row>
    <row r="113" spans="1:13" x14ac:dyDescent="0.2">
      <c r="A113" s="45">
        <f t="shared" si="12"/>
        <v>15</v>
      </c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ht="12" thickBot="1" x14ac:dyDescent="0.25">
      <c r="A114" s="45">
        <f t="shared" si="12"/>
        <v>16</v>
      </c>
      <c r="C114" s="73" t="s">
        <v>139</v>
      </c>
      <c r="D114" s="73"/>
      <c r="E114" s="112">
        <f>ROUND(+E112/12,2)</f>
        <v>0</v>
      </c>
      <c r="F114" s="110"/>
      <c r="G114" s="112">
        <f>ROUND(+G112/13,2)</f>
        <v>1074.3599999999999</v>
      </c>
      <c r="H114" s="110"/>
      <c r="I114" s="112">
        <f>ROUND(+I112/13,2)</f>
        <v>1074.3599999999999</v>
      </c>
      <c r="J114" s="110"/>
      <c r="K114" s="110"/>
      <c r="L114" s="110"/>
      <c r="M114" s="112">
        <f>ROUND(+M112/13,2)</f>
        <v>157.91999999999999</v>
      </c>
    </row>
    <row r="115" spans="1:13" ht="12" thickTop="1" x14ac:dyDescent="0.2">
      <c r="A115" s="45">
        <f t="shared" si="12"/>
        <v>17</v>
      </c>
      <c r="E115" s="113" t="s">
        <v>10</v>
      </c>
      <c r="F115" s="113"/>
      <c r="G115" s="113" t="s">
        <v>10</v>
      </c>
      <c r="H115" s="113"/>
      <c r="I115" s="113" t="s">
        <v>10</v>
      </c>
      <c r="J115" s="110"/>
      <c r="K115" s="110"/>
      <c r="L115" s="110"/>
      <c r="M115" s="110"/>
    </row>
    <row r="116" spans="1:13" x14ac:dyDescent="0.2">
      <c r="A116" s="45">
        <f t="shared" si="12"/>
        <v>18</v>
      </c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 ht="12" thickBot="1" x14ac:dyDescent="0.25">
      <c r="A117" s="45">
        <f t="shared" si="12"/>
        <v>19</v>
      </c>
      <c r="C117" s="58" t="s">
        <v>87</v>
      </c>
      <c r="D117" s="58"/>
      <c r="E117" s="110"/>
      <c r="F117" s="110"/>
      <c r="G117" s="110"/>
      <c r="H117" s="110"/>
      <c r="I117" s="118">
        <f>I114</f>
        <v>1074.3599999999999</v>
      </c>
      <c r="J117" s="110"/>
      <c r="K117" s="110"/>
      <c r="L117" s="110"/>
      <c r="M117" s="118">
        <f>+M114</f>
        <v>157.91999999999999</v>
      </c>
    </row>
    <row r="118" spans="1:13" ht="12" thickTop="1" x14ac:dyDescent="0.2">
      <c r="A118" s="45">
        <f t="shared" si="12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2"/>
        <v>21</v>
      </c>
      <c r="I119" s="58" t="s">
        <v>154</v>
      </c>
      <c r="M119" s="58" t="s">
        <v>155</v>
      </c>
    </row>
    <row r="120" spans="1:13" x14ac:dyDescent="0.2">
      <c r="A120" s="45">
        <f t="shared" si="12"/>
        <v>22</v>
      </c>
    </row>
    <row r="121" spans="1:13" x14ac:dyDescent="0.2">
      <c r="A121" s="45">
        <f t="shared" si="12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2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2"/>
        <v>25</v>
      </c>
      <c r="C123" s="71" t="str">
        <f>C78</f>
        <v>Acct 2.376.00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12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2"/>
        <v>27</v>
      </c>
      <c r="H125" s="54"/>
      <c r="I125" s="54"/>
    </row>
    <row r="126" spans="1:13" x14ac:dyDescent="0.2">
      <c r="A126" s="45">
        <f t="shared" si="12"/>
        <v>28</v>
      </c>
    </row>
    <row r="127" spans="1:13" x14ac:dyDescent="0.2">
      <c r="A127" s="45">
        <f t="shared" si="12"/>
        <v>29</v>
      </c>
    </row>
    <row r="128" spans="1:13" x14ac:dyDescent="0.2">
      <c r="A128" s="45">
        <f t="shared" si="12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18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.42578125" style="76" customWidth="1"/>
    <col min="2" max="2" width="9.140625" style="76"/>
    <col min="3" max="3" width="0.85546875" style="76" customWidth="1"/>
    <col min="4" max="4" width="14.7109375" style="76" customWidth="1"/>
    <col min="5" max="5" width="5.85546875" style="76" customWidth="1"/>
    <col min="6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  <c r="L2" s="125"/>
    </row>
    <row r="3" spans="1:12" ht="12.75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25"/>
      <c r="L3" s="125"/>
    </row>
    <row r="4" spans="1:12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26.25" customHeight="1" x14ac:dyDescent="0.2">
      <c r="A5" s="142" t="str">
        <f>'CAPGDS1000001243 Input'!A5:J5</f>
        <v>Pro-Forma Adjustment - System Reliability</v>
      </c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3"/>
      <c r="L6" s="143"/>
    </row>
    <row r="7" spans="1:12" ht="12.75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3"/>
      <c r="L7" s="143"/>
    </row>
    <row r="8" spans="1:12" ht="12.75" x14ac:dyDescent="0.2">
      <c r="A8" s="142" t="str">
        <f>'CAPGDS1000001243 Input'!F8</f>
        <v>SFS - E Benson Rd &amp; N Serin Ave - 65# System Tie</v>
      </c>
      <c r="B8" s="142"/>
      <c r="C8" s="142"/>
      <c r="D8" s="142"/>
      <c r="E8" s="142"/>
      <c r="F8" s="142"/>
      <c r="G8" s="142"/>
      <c r="H8" s="142"/>
      <c r="I8" s="142"/>
      <c r="J8" s="142"/>
      <c r="K8" s="143"/>
      <c r="L8" s="143"/>
    </row>
    <row r="11" spans="1:12" x14ac:dyDescent="0.2">
      <c r="B11" s="77"/>
      <c r="D11" s="78"/>
    </row>
    <row r="12" spans="1:12" x14ac:dyDescent="0.2">
      <c r="B12" s="77"/>
      <c r="D12" s="78"/>
    </row>
    <row r="15" spans="1:12" x14ac:dyDescent="0.2">
      <c r="B15" s="77"/>
      <c r="D15" s="78"/>
    </row>
    <row r="16" spans="1:12" x14ac:dyDescent="0.2">
      <c r="B16" s="77"/>
      <c r="D16" s="78"/>
    </row>
    <row r="17" spans="2:4" x14ac:dyDescent="0.2">
      <c r="B17" s="77"/>
      <c r="D17" s="78"/>
    </row>
    <row r="18" spans="2:4" x14ac:dyDescent="0.2">
      <c r="B18" s="77"/>
      <c r="D18" s="78"/>
    </row>
    <row r="19" spans="2:4" x14ac:dyDescent="0.2">
      <c r="B19" s="77"/>
      <c r="D19" s="78"/>
    </row>
    <row r="20" spans="2:4" x14ac:dyDescent="0.2">
      <c r="B20" s="77"/>
      <c r="D20" s="78"/>
    </row>
    <row r="21" spans="2:4" x14ac:dyDescent="0.2">
      <c r="B21" s="77"/>
      <c r="D21" s="78"/>
    </row>
    <row r="22" spans="2:4" x14ac:dyDescent="0.2">
      <c r="B22" s="77"/>
      <c r="D22" s="78"/>
    </row>
    <row r="23" spans="2:4" x14ac:dyDescent="0.2">
      <c r="B23" s="77"/>
      <c r="D23" s="78"/>
    </row>
    <row r="24" spans="2:4" x14ac:dyDescent="0.2">
      <c r="B24" s="77"/>
      <c r="D24" s="78"/>
    </row>
    <row r="25" spans="2:4" x14ac:dyDescent="0.2">
      <c r="B25" s="77"/>
      <c r="D25" s="78"/>
    </row>
    <row r="26" spans="2:4" x14ac:dyDescent="0.2">
      <c r="B26" s="77"/>
      <c r="D26" s="78"/>
    </row>
    <row r="27" spans="2:4" x14ac:dyDescent="0.2">
      <c r="B27" s="77"/>
      <c r="D27" s="78"/>
    </row>
    <row r="28" spans="2:4" x14ac:dyDescent="0.2">
      <c r="B28" s="77"/>
      <c r="D28" s="78"/>
    </row>
    <row r="29" spans="2:4" x14ac:dyDescent="0.2">
      <c r="B29" s="77"/>
      <c r="D29" s="78"/>
    </row>
    <row r="30" spans="2:4" x14ac:dyDescent="0.2">
      <c r="B30" s="77"/>
      <c r="D30" s="78"/>
    </row>
    <row r="31" spans="2:4" x14ac:dyDescent="0.2">
      <c r="B31" s="77"/>
      <c r="D31" s="78"/>
    </row>
    <row r="32" spans="2:4" x14ac:dyDescent="0.2">
      <c r="B32" s="77"/>
      <c r="D32" s="78"/>
    </row>
    <row r="33" spans="2:4" x14ac:dyDescent="0.2">
      <c r="B33" s="77"/>
      <c r="D33" s="78"/>
    </row>
    <row r="34" spans="2:4" x14ac:dyDescent="0.2">
      <c r="B34" s="77"/>
      <c r="D34" s="78"/>
    </row>
    <row r="35" spans="2:4" x14ac:dyDescent="0.2">
      <c r="B35" s="77"/>
      <c r="D35" s="78"/>
    </row>
    <row r="36" spans="2:4" x14ac:dyDescent="0.2">
      <c r="B36" s="77"/>
      <c r="D36" s="78"/>
    </row>
    <row r="37" spans="2:4" x14ac:dyDescent="0.2">
      <c r="B37" s="77"/>
      <c r="D37" s="78"/>
    </row>
    <row r="38" spans="2:4" x14ac:dyDescent="0.2">
      <c r="B38" s="77"/>
      <c r="D38" s="78"/>
    </row>
    <row r="39" spans="2:4" x14ac:dyDescent="0.2">
      <c r="B39" s="77"/>
      <c r="D39" s="78"/>
    </row>
    <row r="40" spans="2:4" x14ac:dyDescent="0.2">
      <c r="B40" s="77"/>
      <c r="D40" s="78"/>
    </row>
    <row r="41" spans="2:4" x14ac:dyDescent="0.2">
      <c r="B41" s="77"/>
      <c r="D41" s="78"/>
    </row>
    <row r="42" spans="2:4" x14ac:dyDescent="0.2">
      <c r="B42" s="77"/>
      <c r="D42" s="78"/>
    </row>
    <row r="43" spans="2:4" x14ac:dyDescent="0.2">
      <c r="B43" s="77"/>
      <c r="D43" s="78"/>
    </row>
    <row r="44" spans="2:4" x14ac:dyDescent="0.2">
      <c r="B44" s="77"/>
      <c r="D44" s="78"/>
    </row>
    <row r="45" spans="2:4" x14ac:dyDescent="0.2">
      <c r="B45" s="77"/>
      <c r="D45" s="78"/>
    </row>
    <row r="46" spans="2:4" x14ac:dyDescent="0.2">
      <c r="B46" s="77"/>
      <c r="D46" s="78"/>
    </row>
    <row r="47" spans="2:4" x14ac:dyDescent="0.2">
      <c r="B47" s="77"/>
      <c r="D47" s="78"/>
    </row>
    <row r="48" spans="2:4" x14ac:dyDescent="0.2">
      <c r="B48" s="77"/>
      <c r="D48" s="78"/>
    </row>
    <row r="49" spans="1:12" x14ac:dyDescent="0.2">
      <c r="B49" s="77"/>
      <c r="D49" s="78"/>
    </row>
    <row r="50" spans="1:12" x14ac:dyDescent="0.2">
      <c r="B50" s="77"/>
      <c r="D50" s="78"/>
    </row>
    <row r="51" spans="1:12" x14ac:dyDescent="0.2">
      <c r="B51" s="77"/>
      <c r="D51" s="78"/>
    </row>
    <row r="52" spans="1:12" x14ac:dyDescent="0.2">
      <c r="B52" s="77"/>
      <c r="D52" s="78"/>
    </row>
    <row r="53" spans="1:12" x14ac:dyDescent="0.2">
      <c r="B53" s="77"/>
      <c r="D53" s="78"/>
    </row>
    <row r="54" spans="1:12" x14ac:dyDescent="0.2">
      <c r="B54" s="77"/>
      <c r="D54" s="78"/>
    </row>
    <row r="55" spans="1:12" ht="12.75" x14ac:dyDescent="0.2">
      <c r="A55" s="142" t="s">
        <v>0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3"/>
      <c r="L55" s="143"/>
    </row>
    <row r="56" spans="1:12" ht="12.75" x14ac:dyDescent="0.2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3"/>
      <c r="L56" s="143"/>
    </row>
    <row r="57" spans="1:12" ht="12.75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3"/>
      <c r="L57" s="143"/>
    </row>
    <row r="58" spans="1:12" ht="12.75" x14ac:dyDescent="0.2">
      <c r="A58" s="142" t="s">
        <v>119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3"/>
      <c r="L58" s="143"/>
    </row>
    <row r="59" spans="1:12" x14ac:dyDescent="0.2">
      <c r="B59" s="77"/>
      <c r="D59" s="78"/>
    </row>
    <row r="60" spans="1:12" x14ac:dyDescent="0.2">
      <c r="B60" s="77"/>
      <c r="D60" s="78"/>
    </row>
    <row r="61" spans="1:12" x14ac:dyDescent="0.2">
      <c r="B61" s="77"/>
      <c r="D61" s="78"/>
    </row>
    <row r="62" spans="1:12" x14ac:dyDescent="0.2">
      <c r="B62" s="77"/>
      <c r="D62" s="78"/>
    </row>
    <row r="63" spans="1:12" x14ac:dyDescent="0.2">
      <c r="B63" s="77"/>
      <c r="D63" s="78"/>
    </row>
    <row r="64" spans="1:12" x14ac:dyDescent="0.2">
      <c r="B64" s="77"/>
      <c r="D64" s="78"/>
    </row>
    <row r="65" spans="1:12" x14ac:dyDescent="0.2">
      <c r="B65" s="77"/>
      <c r="D65" s="78"/>
    </row>
    <row r="66" spans="1:12" x14ac:dyDescent="0.2">
      <c r="B66" s="77"/>
      <c r="D66" s="78"/>
    </row>
    <row r="67" spans="1:12" x14ac:dyDescent="0.2">
      <c r="B67" s="77"/>
      <c r="D67" s="78"/>
    </row>
    <row r="68" spans="1:12" x14ac:dyDescent="0.2">
      <c r="B68" s="77"/>
      <c r="D68" s="78"/>
    </row>
    <row r="69" spans="1:12" x14ac:dyDescent="0.2">
      <c r="B69" s="77"/>
      <c r="D69" s="78"/>
    </row>
    <row r="70" spans="1:12" x14ac:dyDescent="0.2">
      <c r="B70" s="77"/>
      <c r="D70" s="78"/>
    </row>
    <row r="71" spans="1:12" x14ac:dyDescent="0.2">
      <c r="B71" s="77"/>
      <c r="D71" s="78"/>
    </row>
    <row r="74" spans="1:12" ht="12.75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3"/>
      <c r="L74" s="143"/>
    </row>
    <row r="75" spans="1:12" ht="12.75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3"/>
      <c r="L75" s="143"/>
    </row>
    <row r="76" spans="1:12" ht="26.25" customHeight="1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3"/>
      <c r="L76" s="143"/>
    </row>
    <row r="77" spans="1:12" ht="12.75" x14ac:dyDescent="0.2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3"/>
      <c r="L77" s="143"/>
    </row>
    <row r="78" spans="1:12" ht="12.75" x14ac:dyDescent="0.2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3"/>
      <c r="L78" s="143"/>
    </row>
    <row r="79" spans="1:12" ht="12.75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3"/>
      <c r="L79" s="143"/>
    </row>
    <row r="115" spans="1:12" ht="12.75" x14ac:dyDescent="0.2">
      <c r="A115" s="142" t="s">
        <v>0</v>
      </c>
      <c r="B115" s="141"/>
      <c r="C115" s="141"/>
      <c r="D115" s="141"/>
      <c r="E115" s="141"/>
      <c r="F115" s="141"/>
      <c r="G115" s="141"/>
      <c r="H115" s="141"/>
      <c r="I115" s="141"/>
      <c r="J115" s="141"/>
      <c r="K115" s="143"/>
      <c r="L115" s="143"/>
    </row>
    <row r="116" spans="1:12" ht="12.75" x14ac:dyDescent="0.2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3"/>
      <c r="L116" s="143"/>
    </row>
    <row r="117" spans="1:12" ht="12.75" x14ac:dyDescent="0.2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3"/>
      <c r="L117" s="143"/>
    </row>
    <row r="118" spans="1:12" ht="12.75" x14ac:dyDescent="0.2">
      <c r="A118" s="142" t="s">
        <v>119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3"/>
      <c r="L118" s="143"/>
    </row>
  </sheetData>
  <mergeCells count="20">
    <mergeCell ref="A78:L78"/>
    <mergeCell ref="A55:L55"/>
    <mergeCell ref="A56:L56"/>
    <mergeCell ref="A57:L57"/>
    <mergeCell ref="A58:L58"/>
    <mergeCell ref="A8:L8"/>
    <mergeCell ref="A74:L74"/>
    <mergeCell ref="A75:L75"/>
    <mergeCell ref="A76:L76"/>
    <mergeCell ref="A77:L77"/>
    <mergeCell ref="A1:L1"/>
    <mergeCell ref="A4:L4"/>
    <mergeCell ref="A5:L5"/>
    <mergeCell ref="A6:L6"/>
    <mergeCell ref="A7:L7"/>
    <mergeCell ref="A115:L115"/>
    <mergeCell ref="A116:L116"/>
    <mergeCell ref="A117:L117"/>
    <mergeCell ref="A118:L118"/>
    <mergeCell ref="A79:L79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50" max="11" man="1"/>
    <brk id="11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4"/>
  <sheetViews>
    <sheetView view="pageLayout" zoomScaleNormal="100" workbookViewId="0">
      <selection sqref="A1:R1"/>
    </sheetView>
  </sheetViews>
  <sheetFormatPr defaultColWidth="8" defaultRowHeight="11.25" x14ac:dyDescent="0.2"/>
  <cols>
    <col min="1" max="1" width="3.5703125" style="10" customWidth="1"/>
    <col min="2" max="2" width="58.140625" style="10" customWidth="1"/>
    <col min="3" max="3" width="0.85546875" style="10" customWidth="1"/>
    <col min="4" max="4" width="5" style="10" bestFit="1" customWidth="1"/>
    <col min="5" max="5" width="0.85546875" style="10" customWidth="1"/>
    <col min="6" max="6" width="9.28515625" style="10" customWidth="1"/>
    <col min="7" max="7" width="0.85546875" style="10" customWidth="1"/>
    <col min="8" max="8" width="10" style="10" customWidth="1"/>
    <col min="9" max="9" width="0.85546875" style="10" customWidth="1"/>
    <col min="10" max="10" width="10.7109375" style="10" customWidth="1"/>
    <col min="11" max="11" width="0.85546875" style="10" customWidth="1"/>
    <col min="12" max="12" width="12.85546875" style="10" bestFit="1" customWidth="1"/>
    <col min="13" max="13" width="0.85546875" style="10" customWidth="1"/>
    <col min="14" max="14" width="10.28515625" style="10" customWidth="1"/>
    <col min="15" max="15" width="0.85546875" style="10" customWidth="1"/>
    <col min="16" max="16" width="12.85546875" style="10" bestFit="1" customWidth="1"/>
    <col min="17" max="17" width="0.85546875" style="10" customWidth="1"/>
    <col min="18" max="18" width="10.85546875" style="10" customWidth="1"/>
    <col min="19" max="19" width="0.85546875" style="10" customWidth="1"/>
    <col min="20" max="20" width="12" style="10" bestFit="1" customWidth="1"/>
    <col min="21" max="16384" width="8" style="10"/>
  </cols>
  <sheetData>
    <row r="1" spans="1:18" ht="12.7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8" ht="12.75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ht="12.75" customHeight="1" x14ac:dyDescent="0.2">
      <c r="A3" s="132" t="str">
        <f>'WP C, pg 1'!A5:H5</f>
        <v>Pro-Forma Adjustment - System Reliability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12.75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8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8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8" ht="12" thickBot="1" x14ac:dyDescent="0.25">
      <c r="F7" s="26" t="s">
        <v>28</v>
      </c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 x14ac:dyDescent="0.2">
      <c r="A8" s="84" t="s">
        <v>1</v>
      </c>
      <c r="F8" s="12" t="s">
        <v>29</v>
      </c>
      <c r="H8" s="12" t="s">
        <v>30</v>
      </c>
      <c r="J8" s="12" t="s">
        <v>31</v>
      </c>
      <c r="L8" s="12" t="s">
        <v>32</v>
      </c>
      <c r="N8" s="12" t="s">
        <v>33</v>
      </c>
    </row>
    <row r="9" spans="1:18" ht="12" thickBot="1" x14ac:dyDescent="0.25">
      <c r="A9" s="85" t="s">
        <v>2</v>
      </c>
      <c r="B9" s="13" t="s">
        <v>34</v>
      </c>
      <c r="C9" s="13"/>
      <c r="D9" s="13" t="s">
        <v>35</v>
      </c>
      <c r="F9" s="14" t="s">
        <v>36</v>
      </c>
      <c r="H9" s="14" t="s">
        <v>37</v>
      </c>
      <c r="J9" s="14" t="s">
        <v>38</v>
      </c>
      <c r="L9" s="14" t="s">
        <v>39</v>
      </c>
      <c r="N9" s="14" t="s">
        <v>40</v>
      </c>
      <c r="P9" s="13" t="s">
        <v>41</v>
      </c>
    </row>
    <row r="10" spans="1:18" x14ac:dyDescent="0.2">
      <c r="B10" s="12" t="s">
        <v>6</v>
      </c>
      <c r="C10" s="12"/>
      <c r="D10" s="12" t="s">
        <v>7</v>
      </c>
      <c r="F10" s="29" t="s">
        <v>8</v>
      </c>
      <c r="H10" s="29" t="s">
        <v>42</v>
      </c>
      <c r="J10" s="29" t="s">
        <v>43</v>
      </c>
      <c r="L10" s="29" t="s">
        <v>44</v>
      </c>
      <c r="N10" s="29" t="s">
        <v>45</v>
      </c>
      <c r="P10" s="12" t="s">
        <v>46</v>
      </c>
    </row>
    <row r="11" spans="1:18" x14ac:dyDescent="0.2">
      <c r="B11" s="12"/>
      <c r="C11" s="12"/>
      <c r="D11" s="12"/>
      <c r="F11" s="29"/>
      <c r="H11" s="29"/>
      <c r="J11" s="29"/>
      <c r="L11" s="29"/>
      <c r="N11" s="29"/>
      <c r="P11" s="12"/>
    </row>
    <row r="12" spans="1:18" x14ac:dyDescent="0.2">
      <c r="A12" s="19">
        <v>1</v>
      </c>
      <c r="B12" s="10" t="s">
        <v>132</v>
      </c>
      <c r="C12" s="15"/>
      <c r="D12" s="16">
        <v>2026</v>
      </c>
      <c r="F12" s="6">
        <v>0</v>
      </c>
      <c r="G12" s="106"/>
      <c r="H12" s="6">
        <v>0</v>
      </c>
      <c r="I12" s="106" t="s">
        <v>10</v>
      </c>
      <c r="J12" s="6">
        <v>0</v>
      </c>
      <c r="K12" s="106"/>
      <c r="L12" s="6">
        <f>'CAPGDS1000001240 Acct1'!I35</f>
        <v>149570</v>
      </c>
      <c r="M12" s="106"/>
      <c r="N12" s="6">
        <v>0</v>
      </c>
      <c r="O12" s="106"/>
      <c r="P12" s="6">
        <f>SUM(F12:N12)</f>
        <v>149570</v>
      </c>
    </row>
    <row r="13" spans="1:18" x14ac:dyDescent="0.2">
      <c r="A13" s="19">
        <f>A12+1</f>
        <v>2</v>
      </c>
      <c r="B13" s="10" t="s">
        <v>127</v>
      </c>
      <c r="C13" s="15"/>
      <c r="D13" s="16">
        <v>2026</v>
      </c>
      <c r="F13" s="3">
        <v>0</v>
      </c>
      <c r="G13" s="7"/>
      <c r="H13" s="3">
        <v>0</v>
      </c>
      <c r="I13" s="7"/>
      <c r="J13" s="3">
        <v>0</v>
      </c>
      <c r="K13" s="7"/>
      <c r="L13" s="3">
        <f>'CAPGDS1000001236 Acct1'!I35</f>
        <v>792056</v>
      </c>
      <c r="M13" s="7"/>
      <c r="N13" s="3">
        <v>0</v>
      </c>
      <c r="O13" s="7"/>
      <c r="P13" s="3">
        <f t="shared" ref="P13:P19" si="0">SUM(F13:N13)</f>
        <v>792056</v>
      </c>
    </row>
    <row r="14" spans="1:18" x14ac:dyDescent="0.2">
      <c r="A14" s="19">
        <f t="shared" ref="A14:A19" si="1">A13+1</f>
        <v>3</v>
      </c>
      <c r="B14" s="10" t="s">
        <v>129</v>
      </c>
      <c r="C14" s="15"/>
      <c r="D14" s="16">
        <v>2026</v>
      </c>
      <c r="F14" s="3">
        <v>0</v>
      </c>
      <c r="G14" s="7"/>
      <c r="H14" s="3">
        <v>0</v>
      </c>
      <c r="I14" s="7"/>
      <c r="J14" s="3">
        <v>0</v>
      </c>
      <c r="K14" s="7"/>
      <c r="L14" s="3">
        <f>'CAPGDS1000001150 Acct1'!I35+'CAPGDS1000001150 Acct2'!I35</f>
        <v>147020</v>
      </c>
      <c r="M14" s="7"/>
      <c r="N14" s="3">
        <v>0</v>
      </c>
      <c r="O14" s="7"/>
      <c r="P14" s="3">
        <f t="shared" si="0"/>
        <v>147020</v>
      </c>
    </row>
    <row r="15" spans="1:18" x14ac:dyDescent="0.2">
      <c r="A15" s="19">
        <f t="shared" si="1"/>
        <v>4</v>
      </c>
      <c r="B15" s="10" t="s">
        <v>128</v>
      </c>
      <c r="C15" s="15"/>
      <c r="D15" s="16">
        <v>2026</v>
      </c>
      <c r="F15" s="3">
        <v>0</v>
      </c>
      <c r="G15" s="7"/>
      <c r="H15" s="3">
        <v>0</v>
      </c>
      <c r="I15" s="7"/>
      <c r="J15" s="3">
        <v>0</v>
      </c>
      <c r="K15" s="7"/>
      <c r="L15" s="3">
        <f>'CAPGDS1000001243 Acct1'!I35</f>
        <v>90450</v>
      </c>
      <c r="M15" s="7"/>
      <c r="N15" s="3">
        <v>0</v>
      </c>
      <c r="O15" s="7"/>
      <c r="P15" s="3">
        <f t="shared" si="0"/>
        <v>90450</v>
      </c>
    </row>
    <row r="16" spans="1:18" x14ac:dyDescent="0.2">
      <c r="A16" s="19">
        <f t="shared" si="1"/>
        <v>5</v>
      </c>
      <c r="B16" s="10" t="s">
        <v>126</v>
      </c>
      <c r="C16" s="15"/>
      <c r="D16" s="16">
        <v>2026</v>
      </c>
      <c r="F16" s="3">
        <v>0</v>
      </c>
      <c r="G16" s="7"/>
      <c r="H16" s="3">
        <v>0</v>
      </c>
      <c r="I16" s="7"/>
      <c r="J16" s="3">
        <v>0</v>
      </c>
      <c r="K16" s="7"/>
      <c r="L16" s="3">
        <f>'CAPGDS1000001239 Acct1'!I35</f>
        <v>173971</v>
      </c>
      <c r="M16" s="7"/>
      <c r="N16" s="3">
        <v>0</v>
      </c>
      <c r="O16" s="7"/>
      <c r="P16" s="3">
        <f t="shared" si="0"/>
        <v>173971</v>
      </c>
    </row>
    <row r="17" spans="1:18" x14ac:dyDescent="0.2">
      <c r="A17" s="19">
        <f t="shared" si="1"/>
        <v>6</v>
      </c>
      <c r="B17" s="10" t="s">
        <v>124</v>
      </c>
      <c r="C17" s="15"/>
      <c r="D17" s="16">
        <v>2026</v>
      </c>
      <c r="F17" s="3">
        <v>0</v>
      </c>
      <c r="G17" s="7"/>
      <c r="H17" s="3">
        <v>0</v>
      </c>
      <c r="I17" s="7"/>
      <c r="J17" s="3">
        <v>0</v>
      </c>
      <c r="K17" s="7"/>
      <c r="L17" s="3">
        <f>'CAPGDS1000001184 Acct1 '!I35</f>
        <v>1228769.73</v>
      </c>
      <c r="M17" s="7"/>
      <c r="N17" s="3">
        <v>0</v>
      </c>
      <c r="O17" s="7"/>
      <c r="P17" s="3">
        <f t="shared" si="0"/>
        <v>1228769.73</v>
      </c>
    </row>
    <row r="18" spans="1:18" x14ac:dyDescent="0.2">
      <c r="A18" s="19">
        <f t="shared" si="1"/>
        <v>7</v>
      </c>
      <c r="B18" s="10" t="s">
        <v>141</v>
      </c>
      <c r="C18" s="15"/>
      <c r="D18" s="16">
        <v>2027</v>
      </c>
      <c r="F18" s="3">
        <v>0</v>
      </c>
      <c r="G18" s="7"/>
      <c r="H18" s="3">
        <v>0</v>
      </c>
      <c r="I18" s="7"/>
      <c r="J18" s="3">
        <v>0</v>
      </c>
      <c r="K18" s="7"/>
      <c r="L18" s="3">
        <f>'CAPGDS1000001253 Acct1'!I35</f>
        <v>261635</v>
      </c>
      <c r="M18" s="7"/>
      <c r="N18" s="3">
        <v>0</v>
      </c>
      <c r="O18" s="7"/>
      <c r="P18" s="3">
        <f t="shared" si="0"/>
        <v>261635</v>
      </c>
    </row>
    <row r="19" spans="1:18" x14ac:dyDescent="0.2">
      <c r="A19" s="19">
        <f t="shared" si="1"/>
        <v>8</v>
      </c>
      <c r="B19" s="10" t="s">
        <v>125</v>
      </c>
      <c r="C19" s="15"/>
      <c r="D19" s="16">
        <v>2027</v>
      </c>
      <c r="F19" s="3">
        <v>0</v>
      </c>
      <c r="G19" s="7"/>
      <c r="H19" s="3">
        <v>0</v>
      </c>
      <c r="I19" s="7"/>
      <c r="J19" s="3">
        <v>0</v>
      </c>
      <c r="K19" s="7"/>
      <c r="L19" s="3">
        <f>'CAPGDS1000001244  Acct1'!I35+'CAPGDS1000001244  Acct2'!I35</f>
        <v>2142769.6800000002</v>
      </c>
      <c r="M19" s="7"/>
      <c r="N19" s="3">
        <v>0</v>
      </c>
      <c r="O19" s="7"/>
      <c r="P19" s="3">
        <f t="shared" si="0"/>
        <v>2142769.6800000002</v>
      </c>
    </row>
    <row r="20" spans="1:18" x14ac:dyDescent="0.2">
      <c r="A20" s="19"/>
      <c r="C20" s="15"/>
      <c r="D20" s="16"/>
      <c r="F20" s="6"/>
      <c r="G20" s="106"/>
      <c r="H20" s="6"/>
      <c r="I20" s="106"/>
      <c r="J20" s="6"/>
      <c r="K20" s="106"/>
      <c r="L20" s="6"/>
      <c r="M20" s="106"/>
      <c r="N20" s="6"/>
      <c r="O20" s="106"/>
      <c r="P20" s="6"/>
    </row>
    <row r="21" spans="1:18" ht="12" thickBot="1" x14ac:dyDescent="0.25">
      <c r="A21" s="19"/>
      <c r="B21" s="18" t="s">
        <v>47</v>
      </c>
      <c r="D21" s="19" t="s">
        <v>10</v>
      </c>
      <c r="F21" s="107">
        <f>SUM(F12:F20)</f>
        <v>0</v>
      </c>
      <c r="G21" s="106"/>
      <c r="H21" s="107">
        <f>SUM(H12:H20)</f>
        <v>0</v>
      </c>
      <c r="I21" s="106"/>
      <c r="J21" s="107">
        <f>SUM(J12:J20)</f>
        <v>0</v>
      </c>
      <c r="K21" s="106"/>
      <c r="L21" s="107">
        <f>SUM(L12:L20)</f>
        <v>4986241.41</v>
      </c>
      <c r="M21" s="106"/>
      <c r="N21" s="107">
        <f>SUM(N12:N20)</f>
        <v>0</v>
      </c>
      <c r="O21" s="106"/>
      <c r="P21" s="107">
        <f>SUM(P12:P20)</f>
        <v>4986241.41</v>
      </c>
    </row>
    <row r="22" spans="1:18" ht="12" thickTop="1" x14ac:dyDescent="0.2">
      <c r="B22" s="10" t="s">
        <v>10</v>
      </c>
      <c r="D22" s="19" t="s">
        <v>10</v>
      </c>
      <c r="F22" s="20"/>
      <c r="G22" s="17"/>
      <c r="H22" s="20"/>
      <c r="I22" s="17"/>
      <c r="J22" s="20"/>
      <c r="K22" s="17"/>
      <c r="L22" s="20"/>
      <c r="M22" s="17"/>
      <c r="N22" s="20"/>
      <c r="O22" s="17"/>
      <c r="P22" s="20" t="s">
        <v>10</v>
      </c>
    </row>
    <row r="23" spans="1:18" x14ac:dyDescent="0.2">
      <c r="B23" s="10" t="s">
        <v>10</v>
      </c>
      <c r="D23" s="19" t="s">
        <v>10</v>
      </c>
      <c r="F23" s="20"/>
      <c r="G23" s="17"/>
      <c r="H23" s="20"/>
      <c r="I23" s="17"/>
      <c r="J23" s="20"/>
      <c r="K23" s="17"/>
      <c r="L23" s="20"/>
      <c r="M23" s="17"/>
      <c r="N23" s="20"/>
      <c r="O23" s="17"/>
      <c r="P23" s="20" t="s">
        <v>10</v>
      </c>
    </row>
    <row r="24" spans="1:18" x14ac:dyDescent="0.2">
      <c r="B24" s="10" t="s">
        <v>10</v>
      </c>
      <c r="D24" s="19" t="s">
        <v>10</v>
      </c>
      <c r="F24" s="20"/>
      <c r="G24" s="17"/>
      <c r="H24" s="20"/>
      <c r="I24" s="17"/>
      <c r="J24" s="20"/>
      <c r="K24" s="17"/>
      <c r="L24" s="20"/>
      <c r="M24" s="17"/>
      <c r="N24" s="20"/>
      <c r="O24" s="17"/>
      <c r="P24" s="20" t="s">
        <v>10</v>
      </c>
    </row>
    <row r="25" spans="1:18" x14ac:dyDescent="0.2">
      <c r="B25" s="10" t="s">
        <v>10</v>
      </c>
      <c r="D25" s="19" t="s">
        <v>10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8" x14ac:dyDescent="0.2">
      <c r="B26" s="10" t="s">
        <v>10</v>
      </c>
      <c r="D26" s="19" t="s">
        <v>10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8" x14ac:dyDescent="0.2"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 t="s">
        <v>10</v>
      </c>
    </row>
    <row r="28" spans="1:18" x14ac:dyDescent="0.2"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8" x14ac:dyDescent="0.2"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8" x14ac:dyDescent="0.2"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8" ht="12.75" customHeight="1" x14ac:dyDescent="0.2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</row>
    <row r="32" spans="1:18" ht="12.75" customHeight="1" x14ac:dyDescent="0.2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</row>
    <row r="33" spans="1:20" ht="12.75" customHeight="1" x14ac:dyDescent="0.2">
      <c r="A33" s="131" t="str">
        <f>'WP C, pg 1'!A5:H5</f>
        <v>Pro-Forma Adjustment - System Reliability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</row>
    <row r="34" spans="1:20" ht="12.75" customHeight="1" x14ac:dyDescent="0.2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</row>
    <row r="35" spans="1:20" x14ac:dyDescent="0.2"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T35" s="12" t="s">
        <v>48</v>
      </c>
    </row>
    <row r="36" spans="1:20" x14ac:dyDescent="0.2"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T36" s="12" t="s">
        <v>49</v>
      </c>
    </row>
    <row r="37" spans="1:20" ht="12" thickBot="1" x14ac:dyDescent="0.25">
      <c r="A37" s="84" t="s">
        <v>1</v>
      </c>
      <c r="F37" s="26" t="s">
        <v>50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R37" s="12" t="s">
        <v>51</v>
      </c>
      <c r="T37" s="12" t="s">
        <v>52</v>
      </c>
    </row>
    <row r="38" spans="1:20" ht="12" thickBot="1" x14ac:dyDescent="0.25">
      <c r="A38" s="86" t="s">
        <v>2</v>
      </c>
      <c r="B38" s="27" t="s">
        <v>34</v>
      </c>
      <c r="D38" s="27" t="s">
        <v>35</v>
      </c>
      <c r="F38" s="21" t="s">
        <v>29</v>
      </c>
      <c r="H38" s="21" t="s">
        <v>30</v>
      </c>
      <c r="J38" s="21" t="s">
        <v>31</v>
      </c>
      <c r="L38" s="21" t="s">
        <v>32</v>
      </c>
      <c r="N38" s="21" t="s">
        <v>33</v>
      </c>
      <c r="P38" s="21" t="s">
        <v>41</v>
      </c>
      <c r="R38" s="13" t="s">
        <v>53</v>
      </c>
      <c r="T38" s="13" t="s">
        <v>54</v>
      </c>
    </row>
    <row r="39" spans="1:20" x14ac:dyDescent="0.2">
      <c r="B39" s="12" t="s">
        <v>6</v>
      </c>
      <c r="C39" s="12"/>
      <c r="D39" s="12" t="s">
        <v>7</v>
      </c>
      <c r="F39" s="29" t="s">
        <v>8</v>
      </c>
      <c r="H39" s="29" t="s">
        <v>42</v>
      </c>
      <c r="J39" s="29" t="s">
        <v>43</v>
      </c>
      <c r="L39" s="29" t="s">
        <v>44</v>
      </c>
      <c r="N39" s="29" t="s">
        <v>45</v>
      </c>
      <c r="P39" s="12" t="s">
        <v>46</v>
      </c>
      <c r="R39" s="12" t="s">
        <v>55</v>
      </c>
      <c r="T39" s="12" t="s">
        <v>56</v>
      </c>
    </row>
    <row r="40" spans="1:20" x14ac:dyDescent="0.2">
      <c r="B40" s="12"/>
      <c r="D40" s="12"/>
      <c r="F40" s="12"/>
      <c r="H40" s="12"/>
      <c r="J40" s="12"/>
      <c r="L40" s="12"/>
      <c r="N40" s="12"/>
      <c r="P40" s="12"/>
      <c r="R40" s="12"/>
    </row>
    <row r="41" spans="1:20" x14ac:dyDescent="0.2">
      <c r="A41" s="19">
        <f>A19+1</f>
        <v>9</v>
      </c>
      <c r="B41" s="15" t="str">
        <f t="shared" ref="B41:B48" si="2">B12</f>
        <v>CAPGDS1000001240: Harrisburg Main Ext W Willow from Hwy 115</v>
      </c>
      <c r="C41" s="15"/>
      <c r="D41" s="22">
        <f t="shared" ref="D41:D48" si="3">D12</f>
        <v>2026</v>
      </c>
      <c r="F41" s="108">
        <v>0</v>
      </c>
      <c r="G41" s="106"/>
      <c r="H41" s="108">
        <v>0</v>
      </c>
      <c r="I41" s="106"/>
      <c r="J41" s="108">
        <v>0</v>
      </c>
      <c r="K41" s="106"/>
      <c r="L41" s="108">
        <f>'CAPGDS1000001240 Acct1'!I117</f>
        <v>1757.08</v>
      </c>
      <c r="M41" s="106"/>
      <c r="N41" s="108">
        <v>0</v>
      </c>
      <c r="O41" s="106"/>
      <c r="P41" s="108">
        <f>SUM(F41:N41)</f>
        <v>1757.08</v>
      </c>
      <c r="Q41" s="106"/>
      <c r="R41" s="108">
        <f>'CAPGDS1000001240 Acct1'!I72</f>
        <v>3299.4000000000005</v>
      </c>
      <c r="S41" s="106"/>
      <c r="T41" s="106">
        <f>+'CAPGDS1000001240 Acct1'!M117</f>
        <v>223.86</v>
      </c>
    </row>
    <row r="42" spans="1:20" x14ac:dyDescent="0.2">
      <c r="A42" s="19">
        <f>A41+1</f>
        <v>10</v>
      </c>
      <c r="B42" s="15" t="str">
        <f t="shared" si="2"/>
        <v>CAPGDS1000001236: SFS - Brandon-Holly (Rice) St 210 psig Serve Load</v>
      </c>
      <c r="C42" s="15"/>
      <c r="D42" s="22">
        <f t="shared" si="3"/>
        <v>2026</v>
      </c>
      <c r="F42" s="3">
        <v>0</v>
      </c>
      <c r="G42" s="7"/>
      <c r="H42" s="3">
        <v>0</v>
      </c>
      <c r="I42" s="7"/>
      <c r="J42" s="3">
        <v>0</v>
      </c>
      <c r="K42" s="7"/>
      <c r="L42" s="3">
        <f>'CAPGDS1000001236 Acct1'!I117</f>
        <v>9407.93</v>
      </c>
      <c r="M42" s="7"/>
      <c r="N42" s="3">
        <v>0</v>
      </c>
      <c r="O42" s="7"/>
      <c r="P42" s="3">
        <f t="shared" ref="P42:P48" si="4">SUM(F42:N42)</f>
        <v>9407.93</v>
      </c>
      <c r="Q42" s="7"/>
      <c r="R42" s="3">
        <f>'CAPGDS1000001236 Acct1'!I72</f>
        <v>17471.87</v>
      </c>
      <c r="S42" s="7"/>
      <c r="T42" s="3">
        <f>+'CAPGDS1000001236 Acct1'!M117</f>
        <v>1383</v>
      </c>
    </row>
    <row r="43" spans="1:20" x14ac:dyDescent="0.2">
      <c r="A43" s="19">
        <f t="shared" ref="A43:A48" si="5">A42+1</f>
        <v>11</v>
      </c>
      <c r="B43" s="15" t="str">
        <f t="shared" si="2"/>
        <v>CAPGDS1000001150: SFS - Hartford Serve Load</v>
      </c>
      <c r="C43" s="15"/>
      <c r="D43" s="22">
        <f t="shared" si="3"/>
        <v>2026</v>
      </c>
      <c r="F43" s="3">
        <v>0</v>
      </c>
      <c r="G43" s="7"/>
      <c r="H43" s="3">
        <v>0</v>
      </c>
      <c r="I43" s="7"/>
      <c r="J43" s="3">
        <v>0</v>
      </c>
      <c r="K43" s="7"/>
      <c r="L43" s="3">
        <f>'CAPGDS1000001150 Acct1'!I113+'CAPGDS1000001150 Acct2'!I117</f>
        <v>1710.4</v>
      </c>
      <c r="M43" s="7"/>
      <c r="N43" s="3">
        <v>0</v>
      </c>
      <c r="O43" s="7"/>
      <c r="P43" s="3">
        <f t="shared" si="4"/>
        <v>1710.4</v>
      </c>
      <c r="Q43" s="7"/>
      <c r="R43" s="3">
        <f>'CAPGDS1000001150 Acct1'!I70+'CAPGDS1000001150 Acct2'!I72</f>
        <v>3243.1099999999997</v>
      </c>
      <c r="S43" s="7"/>
      <c r="T43" s="3">
        <f>+'CAPGDS1000001150 Acct1'!M113+'CAPGDS1000001150 Acct2'!M117</f>
        <v>256.69</v>
      </c>
    </row>
    <row r="44" spans="1:20" x14ac:dyDescent="0.2">
      <c r="A44" s="19">
        <f t="shared" si="5"/>
        <v>12</v>
      </c>
      <c r="B44" s="15" t="str">
        <f t="shared" si="2"/>
        <v>CAPGDS1000001243: SFS - E Benson Rd &amp; N Sorin Ave - 65# System Tie</v>
      </c>
      <c r="C44" s="15"/>
      <c r="D44" s="22">
        <f t="shared" si="3"/>
        <v>2026</v>
      </c>
      <c r="F44" s="3">
        <v>0</v>
      </c>
      <c r="G44" s="7"/>
      <c r="H44" s="3">
        <v>0</v>
      </c>
      <c r="I44" s="7"/>
      <c r="J44" s="3">
        <v>0</v>
      </c>
      <c r="K44" s="7"/>
      <c r="L44" s="3">
        <f>'CAPGDS1000001243 Acct1'!I117</f>
        <v>1074.3599999999999</v>
      </c>
      <c r="M44" s="7"/>
      <c r="N44" s="3">
        <v>0</v>
      </c>
      <c r="O44" s="7"/>
      <c r="P44" s="3">
        <f t="shared" si="4"/>
        <v>1074.3599999999999</v>
      </c>
      <c r="Q44" s="7"/>
      <c r="R44" s="3">
        <f>'CAPGDS1000001243 Acct1'!I72</f>
        <v>1995.24</v>
      </c>
      <c r="S44" s="7"/>
      <c r="T44" s="3">
        <f>+'CAPGDS1000001243 Acct1'!M117</f>
        <v>157.91999999999999</v>
      </c>
    </row>
    <row r="45" spans="1:20" x14ac:dyDescent="0.2">
      <c r="A45" s="19">
        <f t="shared" si="5"/>
        <v>13</v>
      </c>
      <c r="B45" s="15" t="str">
        <f t="shared" si="2"/>
        <v>CAPGDS1000001239: SFS - Hartford Western Ave Tie</v>
      </c>
      <c r="C45" s="15"/>
      <c r="D45" s="22">
        <f t="shared" si="3"/>
        <v>2026</v>
      </c>
      <c r="F45" s="3">
        <v>0</v>
      </c>
      <c r="G45" s="7"/>
      <c r="H45" s="3">
        <v>0</v>
      </c>
      <c r="I45" s="7"/>
      <c r="J45" s="3">
        <v>0</v>
      </c>
      <c r="K45" s="7"/>
      <c r="L45" s="3">
        <f>'CAPGDS1000001239 Acct1'!I117</f>
        <v>2066.4</v>
      </c>
      <c r="M45" s="7"/>
      <c r="N45" s="3">
        <v>0</v>
      </c>
      <c r="O45" s="7"/>
      <c r="P45" s="3">
        <f t="shared" si="4"/>
        <v>2066.4</v>
      </c>
      <c r="Q45" s="7"/>
      <c r="R45" s="3">
        <f>'CAPGDS1000001239 Acct1'!I72</f>
        <v>3837.599999999999</v>
      </c>
      <c r="S45" s="7"/>
      <c r="T45" s="3">
        <f>+'CAPGDS1000001239 Acct1'!M117</f>
        <v>303.73</v>
      </c>
    </row>
    <row r="46" spans="1:20" x14ac:dyDescent="0.2">
      <c r="A46" s="19">
        <f t="shared" si="5"/>
        <v>14</v>
      </c>
      <c r="B46" s="15" t="str">
        <f t="shared" si="2"/>
        <v>CAPGDS1000001184: 2026 ERT Replacements</v>
      </c>
      <c r="C46" s="15"/>
      <c r="D46" s="22">
        <f t="shared" si="3"/>
        <v>2026</v>
      </c>
      <c r="F46" s="3">
        <v>0</v>
      </c>
      <c r="G46" s="7"/>
      <c r="H46" s="3">
        <v>0</v>
      </c>
      <c r="I46" s="7"/>
      <c r="J46" s="3">
        <v>0</v>
      </c>
      <c r="K46" s="7"/>
      <c r="L46" s="3">
        <f>'CAPGDS1000001184 Acct1 '!I117</f>
        <v>19529.47</v>
      </c>
      <c r="M46" s="7"/>
      <c r="N46" s="3">
        <v>0</v>
      </c>
      <c r="O46" s="7"/>
      <c r="P46" s="3">
        <f t="shared" ref="P46" si="6">SUM(F46:N46)</f>
        <v>19529.47</v>
      </c>
      <c r="Q46" s="7"/>
      <c r="R46" s="3">
        <f>'CAPGDS1000001184 Acct1 '!I72</f>
        <v>41778.229999999996</v>
      </c>
      <c r="S46" s="7"/>
      <c r="T46" s="3">
        <f>'CAPGDS1000001184 Acct1 '!M117</f>
        <v>486.28</v>
      </c>
    </row>
    <row r="47" spans="1:20" x14ac:dyDescent="0.2">
      <c r="A47" s="19">
        <f t="shared" si="5"/>
        <v>15</v>
      </c>
      <c r="B47" s="15" t="str">
        <f t="shared" si="2"/>
        <v>CAPGDS1000001253: SFS 85th ST I-29 Crossing</v>
      </c>
      <c r="C47" s="15"/>
      <c r="D47" s="22">
        <f t="shared" si="3"/>
        <v>2027</v>
      </c>
      <c r="F47" s="3">
        <v>0</v>
      </c>
      <c r="G47" s="7"/>
      <c r="H47" s="3">
        <v>0</v>
      </c>
      <c r="I47" s="7"/>
      <c r="J47" s="3">
        <v>0</v>
      </c>
      <c r="K47" s="7"/>
      <c r="L47" s="3">
        <f>'CAPGDS1000001253 Acct1'!I117</f>
        <v>3107.65</v>
      </c>
      <c r="M47" s="7"/>
      <c r="N47" s="3">
        <v>0</v>
      </c>
      <c r="O47" s="7"/>
      <c r="P47" s="3">
        <f t="shared" si="4"/>
        <v>3107.65</v>
      </c>
      <c r="Q47" s="7"/>
      <c r="R47" s="3">
        <f>'CAPGDS1000001253 Acct1'!I72</f>
        <v>5771.3499999999985</v>
      </c>
      <c r="S47" s="7"/>
      <c r="T47" s="3">
        <f>+'CAPGDS1000001253 Acct1'!M117</f>
        <v>456.81</v>
      </c>
    </row>
    <row r="48" spans="1:20" x14ac:dyDescent="0.2">
      <c r="A48" s="19">
        <f t="shared" si="5"/>
        <v>16</v>
      </c>
      <c r="B48" s="15" t="str">
        <f t="shared" si="2"/>
        <v>CAPGDS1000001244: SFS - 69th St &amp; S Veterans Pkwy - 8" STL Main</v>
      </c>
      <c r="C48" s="15"/>
      <c r="D48" s="22">
        <f t="shared" si="3"/>
        <v>2027</v>
      </c>
      <c r="F48" s="3">
        <v>0</v>
      </c>
      <c r="G48" s="7"/>
      <c r="H48" s="3">
        <v>0</v>
      </c>
      <c r="I48" s="7"/>
      <c r="J48" s="3">
        <v>0</v>
      </c>
      <c r="K48" s="7"/>
      <c r="L48" s="3">
        <f>'CAPGDS1000001244  Acct1'!I117+'CAPGDS1000001244  Acct2'!I117</f>
        <v>25451.439999999999</v>
      </c>
      <c r="M48" s="7"/>
      <c r="N48" s="3">
        <v>0</v>
      </c>
      <c r="O48" s="7"/>
      <c r="P48" s="3">
        <f t="shared" si="4"/>
        <v>25451.439999999999</v>
      </c>
      <c r="Q48" s="7"/>
      <c r="R48" s="3">
        <f>'CAPGDS1000001244  Acct1'!I72+'CAPGDS1000001244  Acct2'!I72</f>
        <v>47266.96</v>
      </c>
      <c r="S48" s="7"/>
      <c r="T48" s="3">
        <f>+'CAPGDS1000001244  Acct1'!M117+'CAPGDS1000001244  Acct2'!M117</f>
        <v>3741.36</v>
      </c>
    </row>
    <row r="49" spans="1:20" x14ac:dyDescent="0.2">
      <c r="A49" s="19"/>
      <c r="B49" s="15"/>
      <c r="C49" s="15"/>
      <c r="D49" s="22"/>
      <c r="F49" s="108"/>
      <c r="G49" s="106"/>
      <c r="H49" s="108"/>
      <c r="I49" s="106"/>
      <c r="J49" s="108"/>
      <c r="K49" s="106"/>
      <c r="L49" s="108"/>
      <c r="M49" s="106"/>
      <c r="N49" s="108"/>
      <c r="O49" s="106"/>
      <c r="P49" s="108"/>
      <c r="Q49" s="106"/>
      <c r="R49" s="108"/>
      <c r="S49" s="106"/>
      <c r="T49" s="106"/>
    </row>
    <row r="50" spans="1:20" ht="12" thickBot="1" x14ac:dyDescent="0.25">
      <c r="B50" s="23" t="str">
        <f t="shared" ref="B50:B55" si="7">B21</f>
        <v>TOTAL</v>
      </c>
      <c r="D50" s="16" t="str">
        <f>D21</f>
        <v xml:space="preserve"> </v>
      </c>
      <c r="F50" s="107">
        <f>SUM(F41:F49)</f>
        <v>0</v>
      </c>
      <c r="G50" s="106"/>
      <c r="H50" s="107">
        <f>SUM(H41:H49)</f>
        <v>0</v>
      </c>
      <c r="I50" s="106"/>
      <c r="J50" s="107">
        <f>SUM(J41:J49)</f>
        <v>0</v>
      </c>
      <c r="K50" s="106"/>
      <c r="L50" s="107">
        <f>SUM(L41:L49)</f>
        <v>64104.729999999996</v>
      </c>
      <c r="M50" s="106"/>
      <c r="N50" s="107">
        <f>SUM(N41:N49)</f>
        <v>0</v>
      </c>
      <c r="O50" s="106"/>
      <c r="P50" s="107">
        <f>SUM(P41:P49)</f>
        <v>64104.729999999996</v>
      </c>
      <c r="Q50" s="106"/>
      <c r="R50" s="107">
        <f>SUM(R41:R49)</f>
        <v>124663.75999999998</v>
      </c>
      <c r="S50" s="106"/>
      <c r="T50" s="107">
        <f>SUM(T41:T49)</f>
        <v>7009.6500000000005</v>
      </c>
    </row>
    <row r="51" spans="1:20" ht="12" thickTop="1" x14ac:dyDescent="0.2">
      <c r="B51" s="15" t="str">
        <f t="shared" si="7"/>
        <v xml:space="preserve"> </v>
      </c>
      <c r="D51" s="16" t="str">
        <f>D22</f>
        <v xml:space="preserve"> 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 t="s">
        <v>10</v>
      </c>
      <c r="Q51" s="24"/>
      <c r="R51" s="24"/>
    </row>
    <row r="52" spans="1:20" x14ac:dyDescent="0.2">
      <c r="B52" s="15" t="str">
        <f t="shared" si="7"/>
        <v xml:space="preserve"> </v>
      </c>
      <c r="D52" s="16" t="str">
        <f>D23</f>
        <v xml:space="preserve"> 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24" t="s">
        <v>10</v>
      </c>
      <c r="R52" s="17"/>
    </row>
    <row r="53" spans="1:20" x14ac:dyDescent="0.2">
      <c r="B53" s="15" t="str">
        <f t="shared" si="7"/>
        <v xml:space="preserve"> 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24" t="s">
        <v>10</v>
      </c>
      <c r="R53" s="17"/>
    </row>
    <row r="54" spans="1:20" x14ac:dyDescent="0.2">
      <c r="B54" s="15" t="str">
        <f t="shared" si="7"/>
        <v xml:space="preserve"> 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24" t="s">
        <v>10</v>
      </c>
      <c r="R54" s="17"/>
    </row>
    <row r="55" spans="1:20" x14ac:dyDescent="0.2">
      <c r="B55" s="15" t="str">
        <f t="shared" si="7"/>
        <v xml:space="preserve"> 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24" t="s">
        <v>10</v>
      </c>
      <c r="R55" s="17"/>
    </row>
    <row r="56" spans="1:20" x14ac:dyDescent="0.2"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R56" s="17"/>
    </row>
    <row r="57" spans="1:20" x14ac:dyDescent="0.2"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R57" s="17"/>
    </row>
    <row r="58" spans="1:20" x14ac:dyDescent="0.2"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R58" s="17"/>
    </row>
    <row r="59" spans="1:20" x14ac:dyDescent="0.2"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R59" s="17"/>
    </row>
    <row r="60" spans="1:20" x14ac:dyDescent="0.2"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R60" s="17"/>
    </row>
    <row r="61" spans="1:20" x14ac:dyDescent="0.2"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R61" s="17"/>
    </row>
    <row r="64" spans="1:20" x14ac:dyDescent="0.2">
      <c r="R64" s="17"/>
    </row>
  </sheetData>
  <mergeCells count="8">
    <mergeCell ref="A32:R32"/>
    <mergeCell ref="A33:R33"/>
    <mergeCell ref="A34:R34"/>
    <mergeCell ref="A1:R1"/>
    <mergeCell ref="A2:R2"/>
    <mergeCell ref="A3:R3"/>
    <mergeCell ref="A4:R4"/>
    <mergeCell ref="A31:R31"/>
  </mergeCells>
  <pageMargins left="0.75" right="0.75" top="1" bottom="1" header="0.5" footer="0.5"/>
  <pageSetup scale="90" fitToHeight="2" pageOrder="overThenDown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1" manualBreakCount="1">
    <brk id="30" max="1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325C-D785-4B1C-A1A0-687F39B17475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5703125" style="89" customWidth="1"/>
    <col min="5" max="5" width="0.85546875" style="89" customWidth="1"/>
    <col min="6" max="6" width="10.1406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8" style="89"/>
    <col min="13" max="13" width="1.7109375" style="89" customWidth="1"/>
    <col min="14" max="16384" width="8" style="89"/>
  </cols>
  <sheetData>
    <row r="1" spans="1:14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4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4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5.5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83" t="s">
        <v>134</v>
      </c>
      <c r="E8" s="31"/>
      <c r="F8" s="144" t="s">
        <v>120</v>
      </c>
      <c r="G8" s="145"/>
      <c r="H8" s="145"/>
      <c r="I8" s="145"/>
      <c r="J8" s="145"/>
    </row>
    <row r="9" spans="1:14" x14ac:dyDescent="0.2">
      <c r="B9" s="31" t="s">
        <v>58</v>
      </c>
      <c r="D9" s="93">
        <v>1</v>
      </c>
      <c r="F9" s="31" t="s">
        <v>59</v>
      </c>
      <c r="H9" s="93">
        <v>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69</v>
      </c>
      <c r="H15" s="5">
        <v>1</v>
      </c>
      <c r="J15" s="39">
        <f>1.5/68</f>
        <v>2.2058823529411766E-2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70</v>
      </c>
      <c r="H16" s="5">
        <v>0</v>
      </c>
      <c r="J16" s="39">
        <v>0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7">
        <v>46296</v>
      </c>
    </row>
    <row r="30" spans="1:10" x14ac:dyDescent="0.2">
      <c r="A30" s="33">
        <v>16</v>
      </c>
      <c r="B30" s="31" t="s">
        <v>72</v>
      </c>
      <c r="D30" s="98">
        <v>173971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187</v>
      </c>
    </row>
    <row r="35" spans="2:2" x14ac:dyDescent="0.2">
      <c r="B35" s="41" t="s">
        <v>188</v>
      </c>
    </row>
    <row r="36" spans="2:2" x14ac:dyDescent="0.2">
      <c r="B36" s="41" t="s">
        <v>189</v>
      </c>
    </row>
    <row r="37" spans="2:2" x14ac:dyDescent="0.2">
      <c r="B37" s="41" t="s">
        <v>190</v>
      </c>
    </row>
    <row r="38" spans="2:2" x14ac:dyDescent="0.2">
      <c r="B38" s="41" t="s">
        <v>191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7">
    <mergeCell ref="F8:J8"/>
    <mergeCell ref="A1:J1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86A9-7BA4-45CE-BBE9-033C42AC40BF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10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22.5" customHeight="1" x14ac:dyDescent="0.2">
      <c r="A5" s="46" t="str">
        <f>'CAPGDS1000001239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'CAPGDS1000001239 Input'!F8</f>
        <v>Hartford Western Ave Tie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'CAPGDS1000001239 Input'!B15</f>
        <v>45641</v>
      </c>
      <c r="D17" s="52"/>
      <c r="E17" s="109">
        <f>'CAPGDS1000001239 Input'!D15*'CAPGDS1000001239 Input'!$D$9*'CAPGDS1000001239 Input'!$H$9</f>
        <v>0</v>
      </c>
      <c r="F17" s="110"/>
      <c r="G17" s="109">
        <f>'CAPGDS1000001239 Input'!D30*'CAPGDS1000001239 Input'!D9*'CAPGDS1000001239 Input'!H9</f>
        <v>173971</v>
      </c>
      <c r="H17" s="110"/>
      <c r="I17" s="109">
        <f t="shared" ref="I17:I29" si="0">G17-E17</f>
        <v>173971</v>
      </c>
    </row>
    <row r="18" spans="1:10" x14ac:dyDescent="0.2">
      <c r="A18" s="45">
        <f t="shared" ref="A18:A40" si="1">1+A17</f>
        <v>2</v>
      </c>
      <c r="C18" s="52">
        <f>'CAPGDS1000001239 Input'!B16</f>
        <v>45672</v>
      </c>
      <c r="D18" s="52"/>
      <c r="E18" s="80">
        <f>'CAPGDS1000001239 Input'!D16*'CAPGDS1000001239 Input'!$D$9*'CAPGDS1000001239 Input'!$H$9</f>
        <v>0</v>
      </c>
      <c r="F18" s="7"/>
      <c r="G18" s="80">
        <f>'CAPGDS1000001239 Input'!D30*'CAPGDS1000001239 Input'!D9*'CAPGDS1000001239 Input'!H9</f>
        <v>173971</v>
      </c>
      <c r="H18" s="7"/>
      <c r="I18" s="80">
        <f t="shared" si="0"/>
        <v>173971</v>
      </c>
    </row>
    <row r="19" spans="1:10" x14ac:dyDescent="0.2">
      <c r="A19" s="45">
        <f t="shared" si="1"/>
        <v>3</v>
      </c>
      <c r="C19" s="52">
        <f>'CAPGDS1000001239 Input'!B17</f>
        <v>45702</v>
      </c>
      <c r="D19" s="52"/>
      <c r="E19" s="80">
        <f>'CAPGDS1000001239 Input'!D17*'CAPGDS1000001239 Input'!$D$9*'CAPGDS1000001239 Input'!$H$9</f>
        <v>0</v>
      </c>
      <c r="F19" s="7"/>
      <c r="G19" s="7">
        <f t="shared" ref="G19:G29" si="2">$G$18</f>
        <v>173971</v>
      </c>
      <c r="H19" s="7"/>
      <c r="I19" s="7">
        <f t="shared" si="0"/>
        <v>173971</v>
      </c>
      <c r="J19" s="54"/>
    </row>
    <row r="20" spans="1:10" x14ac:dyDescent="0.2">
      <c r="A20" s="45">
        <f t="shared" si="1"/>
        <v>4</v>
      </c>
      <c r="C20" s="52">
        <f>'CAPGDS1000001239 Input'!B18</f>
        <v>45732</v>
      </c>
      <c r="D20" s="52"/>
      <c r="E20" s="80">
        <f>'CAPGDS1000001239 Input'!D18*'CAPGDS1000001239 Input'!$D$9*'CAPGDS1000001239 Input'!$H$9</f>
        <v>0</v>
      </c>
      <c r="F20" s="7"/>
      <c r="G20" s="7">
        <f t="shared" si="2"/>
        <v>173971</v>
      </c>
      <c r="H20" s="7"/>
      <c r="I20" s="7">
        <f t="shared" si="0"/>
        <v>173971</v>
      </c>
      <c r="J20" s="54"/>
    </row>
    <row r="21" spans="1:10" x14ac:dyDescent="0.2">
      <c r="A21" s="45">
        <f t="shared" si="1"/>
        <v>5</v>
      </c>
      <c r="C21" s="52">
        <f>'CAPGDS1000001239 Input'!B19</f>
        <v>45762</v>
      </c>
      <c r="D21" s="52"/>
      <c r="E21" s="80">
        <f>'CAPGDS1000001239 Input'!D19*'CAPGDS1000001239 Input'!$D$9*'CAPGDS1000001239 Input'!$H$9</f>
        <v>0</v>
      </c>
      <c r="F21" s="7"/>
      <c r="G21" s="7">
        <f t="shared" si="2"/>
        <v>173971</v>
      </c>
      <c r="H21" s="7"/>
      <c r="I21" s="7">
        <f t="shared" si="0"/>
        <v>173971</v>
      </c>
      <c r="J21" s="54"/>
    </row>
    <row r="22" spans="1:10" x14ac:dyDescent="0.2">
      <c r="A22" s="45">
        <f t="shared" si="1"/>
        <v>6</v>
      </c>
      <c r="C22" s="52">
        <f>'CAPGDS1000001239 Input'!B20</f>
        <v>45792</v>
      </c>
      <c r="D22" s="52"/>
      <c r="E22" s="80">
        <f>'CAPGDS1000001239 Input'!D20*'CAPGDS1000001239 Input'!$D$9*'CAPGDS1000001239 Input'!$H$9</f>
        <v>0</v>
      </c>
      <c r="F22" s="7"/>
      <c r="G22" s="7">
        <f t="shared" si="2"/>
        <v>173971</v>
      </c>
      <c r="H22" s="7"/>
      <c r="I22" s="7">
        <f t="shared" si="0"/>
        <v>173971</v>
      </c>
      <c r="J22" s="54"/>
    </row>
    <row r="23" spans="1:10" x14ac:dyDescent="0.2">
      <c r="A23" s="45">
        <f t="shared" si="1"/>
        <v>7</v>
      </c>
      <c r="C23" s="52">
        <f>'CAPGDS1000001239 Input'!B21</f>
        <v>45822</v>
      </c>
      <c r="D23" s="52"/>
      <c r="E23" s="80">
        <f>'CAPGDS1000001239 Input'!D21*'CAPGDS1000001239 Input'!$D$9*'CAPGDS1000001239 Input'!$H$9</f>
        <v>0</v>
      </c>
      <c r="F23" s="7"/>
      <c r="G23" s="7">
        <f t="shared" si="2"/>
        <v>173971</v>
      </c>
      <c r="H23" s="7"/>
      <c r="I23" s="7">
        <f t="shared" si="0"/>
        <v>173971</v>
      </c>
      <c r="J23" s="54"/>
    </row>
    <row r="24" spans="1:10" x14ac:dyDescent="0.2">
      <c r="A24" s="45">
        <f t="shared" si="1"/>
        <v>8</v>
      </c>
      <c r="C24" s="52">
        <f>'CAPGDS1000001239 Input'!B22</f>
        <v>45852</v>
      </c>
      <c r="D24" s="52"/>
      <c r="E24" s="80">
        <f>'CAPGDS1000001239 Input'!D22*'CAPGDS1000001239 Input'!$D$9*'CAPGDS1000001239 Input'!$H$9</f>
        <v>0</v>
      </c>
      <c r="F24" s="7"/>
      <c r="G24" s="7">
        <f t="shared" si="2"/>
        <v>173971</v>
      </c>
      <c r="H24" s="7"/>
      <c r="I24" s="7">
        <f t="shared" si="0"/>
        <v>173971</v>
      </c>
      <c r="J24" s="54"/>
    </row>
    <row r="25" spans="1:10" x14ac:dyDescent="0.2">
      <c r="A25" s="45">
        <f t="shared" si="1"/>
        <v>9</v>
      </c>
      <c r="C25" s="52">
        <f>'CAPGDS1000001239 Input'!B23</f>
        <v>45882</v>
      </c>
      <c r="D25" s="52"/>
      <c r="E25" s="80">
        <f>'CAPGDS1000001239 Input'!D23*'CAPGDS1000001239 Input'!$D$9*'CAPGDS1000001239 Input'!$H$9</f>
        <v>0</v>
      </c>
      <c r="F25" s="7"/>
      <c r="G25" s="7">
        <f t="shared" si="2"/>
        <v>173971</v>
      </c>
      <c r="H25" s="7"/>
      <c r="I25" s="7">
        <f t="shared" si="0"/>
        <v>173971</v>
      </c>
      <c r="J25" s="54"/>
    </row>
    <row r="26" spans="1:10" x14ac:dyDescent="0.2">
      <c r="A26" s="45">
        <f t="shared" si="1"/>
        <v>10</v>
      </c>
      <c r="C26" s="52">
        <f>'CAPGDS1000001239 Input'!B24</f>
        <v>45912</v>
      </c>
      <c r="D26" s="52"/>
      <c r="E26" s="80">
        <f>'CAPGDS1000001239 Input'!D24*'CAPGDS1000001239 Input'!$D$9*'CAPGDS1000001239 Input'!$H$9</f>
        <v>0</v>
      </c>
      <c r="F26" s="7"/>
      <c r="G26" s="7">
        <f t="shared" si="2"/>
        <v>173971</v>
      </c>
      <c r="H26" s="7"/>
      <c r="I26" s="7">
        <f t="shared" si="0"/>
        <v>173971</v>
      </c>
      <c r="J26" s="54"/>
    </row>
    <row r="27" spans="1:10" x14ac:dyDescent="0.2">
      <c r="A27" s="45">
        <f t="shared" si="1"/>
        <v>11</v>
      </c>
      <c r="C27" s="52">
        <f>'CAPGDS1000001239 Input'!B25</f>
        <v>45942</v>
      </c>
      <c r="D27" s="52"/>
      <c r="E27" s="80">
        <f>'CAPGDS1000001239 Input'!D25*'CAPGDS1000001239 Input'!$D$9*'CAPGDS1000001239 Input'!$H$9</f>
        <v>0</v>
      </c>
      <c r="F27" s="7"/>
      <c r="G27" s="7">
        <f t="shared" si="2"/>
        <v>173971</v>
      </c>
      <c r="H27" s="7"/>
      <c r="I27" s="7">
        <f t="shared" si="0"/>
        <v>173971</v>
      </c>
      <c r="J27" s="54"/>
    </row>
    <row r="28" spans="1:10" x14ac:dyDescent="0.2">
      <c r="A28" s="45">
        <f t="shared" si="1"/>
        <v>12</v>
      </c>
      <c r="C28" s="52">
        <f>'CAPGDS1000001239 Input'!B26</f>
        <v>45972</v>
      </c>
      <c r="D28" s="52"/>
      <c r="E28" s="80">
        <f>'CAPGDS1000001239 Input'!D26*'CAPGDS1000001239 Input'!$D$9*'CAPGDS1000001239 Input'!$H$9</f>
        <v>0</v>
      </c>
      <c r="F28" s="7"/>
      <c r="G28" s="7">
        <f t="shared" si="2"/>
        <v>173971</v>
      </c>
      <c r="H28" s="7"/>
      <c r="I28" s="7">
        <f t="shared" si="0"/>
        <v>173971</v>
      </c>
      <c r="J28" s="54"/>
    </row>
    <row r="29" spans="1:10" x14ac:dyDescent="0.2">
      <c r="A29" s="45">
        <f t="shared" si="1"/>
        <v>13</v>
      </c>
      <c r="C29" s="52">
        <f>'CAPGDS1000001239 Input'!B27</f>
        <v>46002</v>
      </c>
      <c r="D29" s="52"/>
      <c r="E29" s="114">
        <f>'CAPGDS1000001239 Input'!D27*'CAPGDS1000001239 Input'!$D$9*'CAPGDS1000001239 Input'!$H$9</f>
        <v>0</v>
      </c>
      <c r="F29" s="7"/>
      <c r="G29" s="115">
        <f t="shared" si="2"/>
        <v>173971</v>
      </c>
      <c r="H29" s="7"/>
      <c r="I29" s="115">
        <f t="shared" si="0"/>
        <v>173971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2261623</v>
      </c>
      <c r="H30" s="110"/>
      <c r="I30" s="110">
        <f>SUM(I17:I29)</f>
        <v>2261623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173971</v>
      </c>
      <c r="H32" s="110"/>
      <c r="I32" s="112">
        <f>ROUND(+I30/13,2)</f>
        <v>173971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173971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3A82-A8E9-4696-9D45-89DACBD2EBF8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0.8554687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3.25" customHeight="1" x14ac:dyDescent="0.2">
      <c r="A5" s="139" t="str">
        <f>'CAPGDS1000001239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'CAPGDS1000001239 Input'!F8</f>
        <v>Hartford Western Ave Tie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'CAPGDS1000001239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"&amp;'CAPGDS1000001239 Input'!F15</f>
        <v>Acct 2.376.00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'CAPGDS1000001239 TotalWO'!C17</f>
        <v>45641</v>
      </c>
      <c r="D17" s="52"/>
      <c r="E17" s="109">
        <f>'CAPGDS1000001239 TotalWO'!E17*'CAPGDS1000001239 Input'!$H$15</f>
        <v>0</v>
      </c>
      <c r="F17" s="116"/>
      <c r="G17" s="109">
        <f>'CAPGDS1000001239 TotalWO'!G17*'CAPGDS1000001239 Input'!$H$15</f>
        <v>173971</v>
      </c>
      <c r="H17" s="110"/>
      <c r="I17" s="109">
        <f t="shared" ref="I17:I29" si="0">G17-E17</f>
        <v>173971</v>
      </c>
    </row>
    <row r="18" spans="1:12" x14ac:dyDescent="0.2">
      <c r="A18" s="45">
        <f t="shared" ref="A18:A40" si="1">1+A17</f>
        <v>2</v>
      </c>
      <c r="C18" s="52">
        <f>'CAPGDS1000001239 TotalWO'!C18</f>
        <v>45672</v>
      </c>
      <c r="D18" s="52"/>
      <c r="E18" s="80">
        <f>'CAPGDS1000001239 TotalWO'!E18*'CAPGDS1000001239 Input'!$H$15</f>
        <v>0</v>
      </c>
      <c r="F18" s="80"/>
      <c r="G18" s="80">
        <f>'CAPGDS1000001239 TotalWO'!G18*'CAPGDS1000001239 Input'!$H$15</f>
        <v>173971</v>
      </c>
      <c r="H18" s="7"/>
      <c r="I18" s="80">
        <f t="shared" si="0"/>
        <v>173971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'CAPGDS1000001239 TotalWO'!E19*'CAPGDS1000001239 Input'!$H$15</f>
        <v>0</v>
      </c>
      <c r="F19" s="80"/>
      <c r="G19" s="80">
        <f>'CAPGDS1000001239 TotalWO'!G19*'CAPGDS1000001239 Input'!$H$15</f>
        <v>173971</v>
      </c>
      <c r="H19" s="7"/>
      <c r="I19" s="7">
        <f t="shared" si="0"/>
        <v>173971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'CAPGDS1000001239 TotalWO'!E20*'CAPGDS1000001239 Input'!$H$15</f>
        <v>0</v>
      </c>
      <c r="F20" s="80"/>
      <c r="G20" s="80">
        <f>'CAPGDS1000001239 TotalWO'!G20*'CAPGDS1000001239 Input'!$H$15</f>
        <v>173971</v>
      </c>
      <c r="H20" s="7"/>
      <c r="I20" s="7">
        <f t="shared" si="0"/>
        <v>173971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'CAPGDS1000001239 TotalWO'!E21*'CAPGDS1000001239 Input'!$H$15</f>
        <v>0</v>
      </c>
      <c r="F21" s="80"/>
      <c r="G21" s="80">
        <f>'CAPGDS1000001239 TotalWO'!G21*'CAPGDS1000001239 Input'!$H$15</f>
        <v>173971</v>
      </c>
      <c r="H21" s="7"/>
      <c r="I21" s="7">
        <f t="shared" si="0"/>
        <v>173971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'CAPGDS1000001239 TotalWO'!E22*'CAPGDS1000001239 Input'!$H$15</f>
        <v>0</v>
      </c>
      <c r="F22" s="80"/>
      <c r="G22" s="80">
        <f>'CAPGDS1000001239 TotalWO'!G22*'CAPGDS1000001239 Input'!$H$15</f>
        <v>173971</v>
      </c>
      <c r="H22" s="7"/>
      <c r="I22" s="7">
        <f t="shared" si="0"/>
        <v>173971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'CAPGDS1000001239 TotalWO'!E23*'CAPGDS1000001239 Input'!$H$15</f>
        <v>0</v>
      </c>
      <c r="F23" s="80"/>
      <c r="G23" s="80">
        <f>'CAPGDS1000001239 TotalWO'!G23*'CAPGDS1000001239 Input'!$H$15</f>
        <v>173971</v>
      </c>
      <c r="H23" s="7"/>
      <c r="I23" s="7">
        <f t="shared" si="0"/>
        <v>173971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'CAPGDS1000001239 TotalWO'!E24*'CAPGDS1000001239 Input'!$H$15</f>
        <v>0</v>
      </c>
      <c r="F24" s="80"/>
      <c r="G24" s="80">
        <f>'CAPGDS1000001239 TotalWO'!G24*'CAPGDS1000001239 Input'!$H$15</f>
        <v>173971</v>
      </c>
      <c r="H24" s="7"/>
      <c r="I24" s="7">
        <f t="shared" si="0"/>
        <v>173971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'CAPGDS1000001239 TotalWO'!E25*'CAPGDS1000001239 Input'!$H$15</f>
        <v>0</v>
      </c>
      <c r="F25" s="80"/>
      <c r="G25" s="80">
        <f>'CAPGDS1000001239 TotalWO'!G25*'CAPGDS1000001239 Input'!$H$15</f>
        <v>173971</v>
      </c>
      <c r="H25" s="7"/>
      <c r="I25" s="7">
        <f t="shared" si="0"/>
        <v>173971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'CAPGDS1000001239 TotalWO'!E26*'CAPGDS1000001239 Input'!$H$15</f>
        <v>0</v>
      </c>
      <c r="F26" s="80"/>
      <c r="G26" s="80">
        <f>'CAPGDS1000001239 TotalWO'!G26*'CAPGDS1000001239 Input'!$H$15</f>
        <v>173971</v>
      </c>
      <c r="H26" s="7"/>
      <c r="I26" s="7">
        <f t="shared" si="0"/>
        <v>173971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'CAPGDS1000001239 TotalWO'!E27*'CAPGDS1000001239 Input'!$H$15</f>
        <v>0</v>
      </c>
      <c r="F27" s="80"/>
      <c r="G27" s="80">
        <f>'CAPGDS1000001239 TotalWO'!G27*'CAPGDS1000001239 Input'!$H$15</f>
        <v>173971</v>
      </c>
      <c r="H27" s="7"/>
      <c r="I27" s="7">
        <f t="shared" si="0"/>
        <v>173971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'CAPGDS1000001239 TotalWO'!E28*'CAPGDS1000001239 Input'!$H$15</f>
        <v>0</v>
      </c>
      <c r="F28" s="80"/>
      <c r="G28" s="80">
        <f>'CAPGDS1000001239 TotalWO'!G28*'CAPGDS1000001239 Input'!$H$15</f>
        <v>173971</v>
      </c>
      <c r="H28" s="7"/>
      <c r="I28" s="7">
        <f t="shared" si="0"/>
        <v>173971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'CAPGDS1000001239 TotalWO'!E29*'CAPGDS1000001239 Input'!$H$15</f>
        <v>0</v>
      </c>
      <c r="F29" s="80"/>
      <c r="G29" s="114">
        <f>'CAPGDS1000001239 TotalWO'!G29*'CAPGDS1000001239 Input'!$H$15</f>
        <v>173971</v>
      </c>
      <c r="H29" s="7"/>
      <c r="I29" s="115">
        <f t="shared" si="0"/>
        <v>173971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2261623</v>
      </c>
      <c r="H30" s="110"/>
      <c r="I30" s="110">
        <f>SUM(I17:I29)</f>
        <v>2261623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173971</v>
      </c>
      <c r="H32" s="110"/>
      <c r="I32" s="112">
        <f>ROUND(+I30/13,2)</f>
        <v>173971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173971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111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>Hartford Western Ave Tie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2.376.00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>ROUND(E17*$G$78,2)</f>
        <v>0</v>
      </c>
      <c r="F57" s="110"/>
      <c r="G57" s="109">
        <f t="shared" ref="G57:G69" si="3">ROUND(+G17*$G$78,2)</f>
        <v>295.2</v>
      </c>
      <c r="H57" s="110"/>
      <c r="I57" s="110">
        <f>G57-E57</f>
        <v>295.2</v>
      </c>
      <c r="J57" s="110"/>
      <c r="K57" s="111"/>
      <c r="L57" s="110"/>
      <c r="M57" s="110">
        <f>+ROUND(I57/I$72*M$72,2)</f>
        <v>43.39</v>
      </c>
    </row>
    <row r="58" spans="1:13" x14ac:dyDescent="0.2">
      <c r="A58" s="45">
        <f t="shared" ref="A58:A81" si="4">1+A57</f>
        <v>2</v>
      </c>
      <c r="C58" s="52">
        <f>C18</f>
        <v>45672</v>
      </c>
      <c r="D58" s="52"/>
      <c r="E58" s="80">
        <f t="shared" ref="E58:E69" si="5">ROUND(E17*$G$78,2)</f>
        <v>0</v>
      </c>
      <c r="F58" s="80"/>
      <c r="G58" s="80">
        <f t="shared" si="3"/>
        <v>295.2</v>
      </c>
      <c r="H58" s="7"/>
      <c r="I58" s="7">
        <f t="shared" ref="I58" si="6">G58-E58</f>
        <v>295.2</v>
      </c>
      <c r="J58" s="7"/>
      <c r="K58" s="7"/>
      <c r="L58" s="7"/>
      <c r="M58" s="7">
        <f t="shared" ref="M58" si="7">+ROUND(I58/I$72*M$72,2)</f>
        <v>43.39</v>
      </c>
    </row>
    <row r="59" spans="1:13" x14ac:dyDescent="0.2">
      <c r="A59" s="45">
        <f t="shared" si="4"/>
        <v>3</v>
      </c>
      <c r="C59" s="52">
        <f t="shared" ref="C59:C69" si="8">C58+31</f>
        <v>45703</v>
      </c>
      <c r="D59" s="52"/>
      <c r="E59" s="80">
        <f t="shared" si="5"/>
        <v>0</v>
      </c>
      <c r="F59" s="80"/>
      <c r="G59" s="80">
        <f t="shared" si="3"/>
        <v>295.2</v>
      </c>
      <c r="H59" s="7"/>
      <c r="I59" s="7">
        <f t="shared" ref="I59:I69" si="9">G59-E59</f>
        <v>295.2</v>
      </c>
      <c r="J59" s="7"/>
      <c r="K59" s="7"/>
      <c r="L59" s="7"/>
      <c r="M59" s="7">
        <f t="shared" ref="M59:M69" si="10">+ROUND(I59/I$72*M$72,2)</f>
        <v>43.39</v>
      </c>
    </row>
    <row r="60" spans="1:13" x14ac:dyDescent="0.2">
      <c r="A60" s="45">
        <f t="shared" si="4"/>
        <v>4</v>
      </c>
      <c r="C60" s="52">
        <f t="shared" si="8"/>
        <v>45734</v>
      </c>
      <c r="D60" s="52"/>
      <c r="E60" s="80">
        <f t="shared" si="5"/>
        <v>0</v>
      </c>
      <c r="F60" s="80"/>
      <c r="G60" s="80">
        <f t="shared" si="3"/>
        <v>295.2</v>
      </c>
      <c r="H60" s="7"/>
      <c r="I60" s="7">
        <f t="shared" si="9"/>
        <v>295.2</v>
      </c>
      <c r="J60" s="7"/>
      <c r="K60" s="7"/>
      <c r="L60" s="7"/>
      <c r="M60" s="7">
        <f t="shared" si="10"/>
        <v>43.39</v>
      </c>
    </row>
    <row r="61" spans="1:13" x14ac:dyDescent="0.2">
      <c r="A61" s="45">
        <f t="shared" si="4"/>
        <v>5</v>
      </c>
      <c r="C61" s="52">
        <f t="shared" si="8"/>
        <v>45765</v>
      </c>
      <c r="D61" s="52"/>
      <c r="E61" s="80">
        <f t="shared" si="5"/>
        <v>0</v>
      </c>
      <c r="F61" s="80"/>
      <c r="G61" s="80">
        <f t="shared" si="3"/>
        <v>295.2</v>
      </c>
      <c r="H61" s="7"/>
      <c r="I61" s="7">
        <f t="shared" si="9"/>
        <v>295.2</v>
      </c>
      <c r="J61" s="7"/>
      <c r="K61" s="7"/>
      <c r="L61" s="7"/>
      <c r="M61" s="7">
        <f t="shared" si="10"/>
        <v>43.39</v>
      </c>
    </row>
    <row r="62" spans="1:13" x14ac:dyDescent="0.2">
      <c r="A62" s="45">
        <f t="shared" si="4"/>
        <v>6</v>
      </c>
      <c r="C62" s="52">
        <f t="shared" si="8"/>
        <v>45796</v>
      </c>
      <c r="D62" s="52"/>
      <c r="E62" s="80">
        <f t="shared" si="5"/>
        <v>0</v>
      </c>
      <c r="F62" s="80"/>
      <c r="G62" s="80">
        <f t="shared" si="3"/>
        <v>295.2</v>
      </c>
      <c r="H62" s="7"/>
      <c r="I62" s="7">
        <f t="shared" si="9"/>
        <v>295.2</v>
      </c>
      <c r="J62" s="7"/>
      <c r="K62" s="7"/>
      <c r="L62" s="7"/>
      <c r="M62" s="7">
        <f t="shared" si="10"/>
        <v>43.39</v>
      </c>
    </row>
    <row r="63" spans="1:13" x14ac:dyDescent="0.2">
      <c r="A63" s="45">
        <f t="shared" si="4"/>
        <v>7</v>
      </c>
      <c r="C63" s="52">
        <f t="shared" si="8"/>
        <v>45827</v>
      </c>
      <c r="D63" s="52"/>
      <c r="E63" s="80">
        <f t="shared" si="5"/>
        <v>0</v>
      </c>
      <c r="F63" s="80"/>
      <c r="G63" s="80">
        <f t="shared" si="3"/>
        <v>295.2</v>
      </c>
      <c r="H63" s="7"/>
      <c r="I63" s="7">
        <f t="shared" si="9"/>
        <v>295.2</v>
      </c>
      <c r="J63" s="7"/>
      <c r="K63" s="7"/>
      <c r="L63" s="7"/>
      <c r="M63" s="7">
        <f t="shared" si="10"/>
        <v>43.39</v>
      </c>
    </row>
    <row r="64" spans="1:13" x14ac:dyDescent="0.2">
      <c r="A64" s="45">
        <f t="shared" si="4"/>
        <v>8</v>
      </c>
      <c r="C64" s="52">
        <f t="shared" si="8"/>
        <v>45858</v>
      </c>
      <c r="D64" s="52"/>
      <c r="E64" s="80">
        <f t="shared" si="5"/>
        <v>0</v>
      </c>
      <c r="F64" s="80"/>
      <c r="G64" s="80">
        <f t="shared" si="3"/>
        <v>295.2</v>
      </c>
      <c r="H64" s="7"/>
      <c r="I64" s="7">
        <f t="shared" si="9"/>
        <v>295.2</v>
      </c>
      <c r="J64" s="7"/>
      <c r="K64" s="7"/>
      <c r="L64" s="7"/>
      <c r="M64" s="7">
        <f t="shared" si="10"/>
        <v>43.39</v>
      </c>
    </row>
    <row r="65" spans="1:13" x14ac:dyDescent="0.2">
      <c r="A65" s="45">
        <f t="shared" si="4"/>
        <v>9</v>
      </c>
      <c r="C65" s="52">
        <f t="shared" si="8"/>
        <v>45889</v>
      </c>
      <c r="D65" s="52"/>
      <c r="E65" s="80">
        <f t="shared" si="5"/>
        <v>0</v>
      </c>
      <c r="F65" s="80"/>
      <c r="G65" s="80">
        <f t="shared" si="3"/>
        <v>295.2</v>
      </c>
      <c r="H65" s="7"/>
      <c r="I65" s="7">
        <f t="shared" si="9"/>
        <v>295.2</v>
      </c>
      <c r="J65" s="7"/>
      <c r="K65" s="7"/>
      <c r="L65" s="7"/>
      <c r="M65" s="7">
        <f t="shared" si="10"/>
        <v>43.39</v>
      </c>
    </row>
    <row r="66" spans="1:13" x14ac:dyDescent="0.2">
      <c r="A66" s="45">
        <f t="shared" si="4"/>
        <v>10</v>
      </c>
      <c r="C66" s="52">
        <f t="shared" si="8"/>
        <v>45920</v>
      </c>
      <c r="D66" s="52"/>
      <c r="E66" s="80">
        <f t="shared" si="5"/>
        <v>0</v>
      </c>
      <c r="F66" s="80"/>
      <c r="G66" s="80">
        <f t="shared" si="3"/>
        <v>295.2</v>
      </c>
      <c r="H66" s="7"/>
      <c r="I66" s="7">
        <f t="shared" si="9"/>
        <v>295.2</v>
      </c>
      <c r="J66" s="7"/>
      <c r="K66" s="7"/>
      <c r="L66" s="7"/>
      <c r="M66" s="7">
        <f t="shared" si="10"/>
        <v>43.39</v>
      </c>
    </row>
    <row r="67" spans="1:13" x14ac:dyDescent="0.2">
      <c r="A67" s="45">
        <f t="shared" si="4"/>
        <v>11</v>
      </c>
      <c r="C67" s="52">
        <f t="shared" si="8"/>
        <v>45951</v>
      </c>
      <c r="D67" s="52"/>
      <c r="E67" s="80">
        <f t="shared" si="5"/>
        <v>0</v>
      </c>
      <c r="F67" s="80"/>
      <c r="G67" s="80">
        <f t="shared" si="3"/>
        <v>295.2</v>
      </c>
      <c r="H67" s="7"/>
      <c r="I67" s="7">
        <f t="shared" si="9"/>
        <v>295.2</v>
      </c>
      <c r="J67" s="7"/>
      <c r="K67" s="7"/>
      <c r="L67" s="7"/>
      <c r="M67" s="7">
        <f>+ROUND(I67/I$72*M$72,2)+0.01</f>
        <v>43.4</v>
      </c>
    </row>
    <row r="68" spans="1:13" x14ac:dyDescent="0.2">
      <c r="A68" s="45">
        <f t="shared" si="4"/>
        <v>12</v>
      </c>
      <c r="C68" s="52">
        <f t="shared" si="8"/>
        <v>45982</v>
      </c>
      <c r="D68" s="52"/>
      <c r="E68" s="80">
        <f t="shared" si="5"/>
        <v>0</v>
      </c>
      <c r="F68" s="80"/>
      <c r="G68" s="80">
        <f t="shared" si="3"/>
        <v>295.2</v>
      </c>
      <c r="H68" s="7"/>
      <c r="I68" s="7">
        <f t="shared" si="9"/>
        <v>295.2</v>
      </c>
      <c r="J68" s="7"/>
      <c r="K68" s="7"/>
      <c r="L68" s="7"/>
      <c r="M68" s="7">
        <f>+ROUND(I68/I$72*M$72,2)+0.01</f>
        <v>43.4</v>
      </c>
    </row>
    <row r="69" spans="1:13" x14ac:dyDescent="0.2">
      <c r="A69" s="45">
        <f t="shared" si="4"/>
        <v>13</v>
      </c>
      <c r="C69" s="52">
        <f t="shared" si="8"/>
        <v>46013</v>
      </c>
      <c r="D69" s="52"/>
      <c r="E69" s="114">
        <f t="shared" si="5"/>
        <v>0</v>
      </c>
      <c r="F69" s="80"/>
      <c r="G69" s="114">
        <f t="shared" si="3"/>
        <v>295.2</v>
      </c>
      <c r="H69" s="7"/>
      <c r="I69" s="115">
        <f t="shared" si="9"/>
        <v>295.2</v>
      </c>
      <c r="J69" s="7"/>
      <c r="K69" s="7"/>
      <c r="L69" s="7"/>
      <c r="M69" s="115">
        <f t="shared" si="10"/>
        <v>43.39</v>
      </c>
    </row>
    <row r="70" spans="1:13" x14ac:dyDescent="0.2">
      <c r="A70" s="45">
        <f t="shared" si="4"/>
        <v>14</v>
      </c>
      <c r="C70" s="58" t="s">
        <v>47</v>
      </c>
      <c r="D70" s="58"/>
      <c r="E70" s="110">
        <f>SUM(E57:E69)</f>
        <v>0</v>
      </c>
      <c r="F70" s="110"/>
      <c r="G70" s="110">
        <f>SUM(G57:G69)</f>
        <v>3837.599999999999</v>
      </c>
      <c r="H70" s="110"/>
      <c r="I70" s="110">
        <f>SUM(I57:I69)</f>
        <v>3837.599999999999</v>
      </c>
      <c r="J70" s="110"/>
      <c r="K70" s="110"/>
      <c r="L70" s="110"/>
      <c r="M70" s="110">
        <f>SUM(M57:M69)</f>
        <v>564.08999999999992</v>
      </c>
    </row>
    <row r="71" spans="1:13" x14ac:dyDescent="0.2">
      <c r="A71" s="45">
        <f t="shared" si="4"/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f t="shared" si="4"/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3837.599999999999</v>
      </c>
      <c r="J72" s="110"/>
      <c r="K72" s="112">
        <f>ROUND(G18*K78,2)</f>
        <v>6523.91</v>
      </c>
      <c r="L72" s="110"/>
      <c r="M72" s="112">
        <f>ROUND(+(K72-I72)*M78,2)</f>
        <v>564.13</v>
      </c>
    </row>
    <row r="73" spans="1:13" ht="12" thickTop="1" x14ac:dyDescent="0.2">
      <c r="A73" s="45">
        <f t="shared" si="4"/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f t="shared" si="4"/>
        <v>18</v>
      </c>
      <c r="I74" s="58" t="s">
        <v>156</v>
      </c>
      <c r="M74" s="51" t="s">
        <v>91</v>
      </c>
    </row>
    <row r="75" spans="1:13" x14ac:dyDescent="0.2">
      <c r="A75" s="45">
        <f t="shared" si="4"/>
        <v>19</v>
      </c>
      <c r="K75" s="51" t="s">
        <v>96</v>
      </c>
      <c r="M75" s="51" t="s">
        <v>97</v>
      </c>
    </row>
    <row r="76" spans="1:13" x14ac:dyDescent="0.2">
      <c r="A76" s="45">
        <f t="shared" si="4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4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4"/>
        <v>22</v>
      </c>
      <c r="C78" s="71" t="str">
        <f>E53</f>
        <v>Acct 2.376.00</v>
      </c>
      <c r="D78" s="71"/>
      <c r="E78" s="72">
        <f>'CAPGDS1000001239 Input'!J15</f>
        <v>2.2058823529411766E-2</v>
      </c>
      <c r="F78" s="72"/>
      <c r="G78" s="72">
        <f>E78/13</f>
        <v>1.6968325791855204E-3</v>
      </c>
      <c r="K78" s="81">
        <f>+'CAPGDS1000001239 Input'!L15</f>
        <v>3.7499999999999999E-2</v>
      </c>
      <c r="M78" s="82">
        <f>+'CAPGDS1000001239 Input'!N15</f>
        <v>0.21</v>
      </c>
    </row>
    <row r="79" spans="1:13" x14ac:dyDescent="0.2">
      <c r="A79" s="45">
        <f t="shared" si="4"/>
        <v>23</v>
      </c>
      <c r="H79" s="63"/>
      <c r="I79" s="54"/>
      <c r="K79" s="51" t="s">
        <v>105</v>
      </c>
    </row>
    <row r="80" spans="1:13" x14ac:dyDescent="0.2">
      <c r="A80" s="45">
        <f t="shared" si="4"/>
        <v>24</v>
      </c>
      <c r="H80" s="72"/>
      <c r="I80" s="54"/>
    </row>
    <row r="81" spans="1:13" x14ac:dyDescent="0.2">
      <c r="A81" s="45">
        <f t="shared" si="4"/>
        <v>25</v>
      </c>
    </row>
    <row r="82" spans="1:13" x14ac:dyDescent="0.2">
      <c r="A82" s="45">
        <v>26</v>
      </c>
      <c r="H82" s="72"/>
      <c r="I82" s="54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>Hartford Western Ave Tie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71" t="s">
        <v>79</v>
      </c>
      <c r="E95" s="48" t="str">
        <f>E13</f>
        <v>Acct 2.376.00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88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f t="shared" ref="E99:E111" si="11">E57</f>
        <v>0</v>
      </c>
      <c r="F99" s="110"/>
      <c r="G99" s="109">
        <f>G57</f>
        <v>295.2</v>
      </c>
      <c r="H99" s="110"/>
      <c r="I99" s="110">
        <f t="shared" ref="I99" si="12">G99-E99</f>
        <v>295.2</v>
      </c>
      <c r="J99" s="110"/>
      <c r="K99" s="111"/>
      <c r="L99" s="110"/>
      <c r="M99" s="110">
        <f>+M57</f>
        <v>43.39</v>
      </c>
    </row>
    <row r="100" spans="1:13" x14ac:dyDescent="0.2">
      <c r="A100" s="45">
        <f t="shared" ref="A100:A128" si="13">1+A99</f>
        <v>2</v>
      </c>
      <c r="C100" s="52">
        <f>C18</f>
        <v>45672</v>
      </c>
      <c r="D100" s="52"/>
      <c r="E100" s="80">
        <f t="shared" si="11"/>
        <v>0</v>
      </c>
      <c r="F100" s="7"/>
      <c r="G100" s="80">
        <f t="shared" ref="G100:G111" si="14">G99+G58</f>
        <v>590.4</v>
      </c>
      <c r="H100" s="7"/>
      <c r="I100" s="80">
        <f t="shared" ref="I100:I111" si="15">G100-E100</f>
        <v>590.4</v>
      </c>
      <c r="J100" s="7"/>
      <c r="K100" s="7"/>
      <c r="L100" s="7"/>
      <c r="M100" s="80">
        <f t="shared" ref="M100:M111" si="16">M99+M58</f>
        <v>86.78</v>
      </c>
    </row>
    <row r="101" spans="1:13" x14ac:dyDescent="0.2">
      <c r="A101" s="45">
        <f t="shared" si="13"/>
        <v>3</v>
      </c>
      <c r="C101" s="52">
        <f t="shared" ref="C101:C111" si="17">C100+31</f>
        <v>45703</v>
      </c>
      <c r="D101" s="52"/>
      <c r="E101" s="80">
        <f t="shared" si="11"/>
        <v>0</v>
      </c>
      <c r="F101" s="7"/>
      <c r="G101" s="80">
        <f t="shared" si="14"/>
        <v>885.59999999999991</v>
      </c>
      <c r="H101" s="7"/>
      <c r="I101" s="7">
        <f t="shared" si="15"/>
        <v>885.59999999999991</v>
      </c>
      <c r="J101" s="7"/>
      <c r="K101" s="7"/>
      <c r="L101" s="7"/>
      <c r="M101" s="80">
        <f t="shared" si="16"/>
        <v>130.17000000000002</v>
      </c>
    </row>
    <row r="102" spans="1:13" x14ac:dyDescent="0.2">
      <c r="A102" s="45">
        <f t="shared" si="13"/>
        <v>4</v>
      </c>
      <c r="C102" s="52">
        <f t="shared" si="17"/>
        <v>45734</v>
      </c>
      <c r="D102" s="52"/>
      <c r="E102" s="80">
        <f t="shared" si="11"/>
        <v>0</v>
      </c>
      <c r="F102" s="7"/>
      <c r="G102" s="80">
        <f t="shared" si="14"/>
        <v>1180.8</v>
      </c>
      <c r="H102" s="7"/>
      <c r="I102" s="7">
        <f t="shared" si="15"/>
        <v>1180.8</v>
      </c>
      <c r="J102" s="7"/>
      <c r="K102" s="7"/>
      <c r="L102" s="7"/>
      <c r="M102" s="80">
        <f t="shared" si="16"/>
        <v>173.56</v>
      </c>
    </row>
    <row r="103" spans="1:13" x14ac:dyDescent="0.2">
      <c r="A103" s="45">
        <f t="shared" si="13"/>
        <v>5</v>
      </c>
      <c r="C103" s="52">
        <f t="shared" si="17"/>
        <v>45765</v>
      </c>
      <c r="D103" s="52"/>
      <c r="E103" s="80">
        <f t="shared" si="11"/>
        <v>0</v>
      </c>
      <c r="F103" s="7"/>
      <c r="G103" s="80">
        <f t="shared" si="14"/>
        <v>1476</v>
      </c>
      <c r="H103" s="7"/>
      <c r="I103" s="7">
        <f t="shared" si="15"/>
        <v>1476</v>
      </c>
      <c r="J103" s="7"/>
      <c r="K103" s="7"/>
      <c r="L103" s="7"/>
      <c r="M103" s="80">
        <f t="shared" si="16"/>
        <v>216.95</v>
      </c>
    </row>
    <row r="104" spans="1:13" x14ac:dyDescent="0.2">
      <c r="A104" s="45">
        <f t="shared" si="13"/>
        <v>6</v>
      </c>
      <c r="C104" s="52">
        <f t="shared" si="17"/>
        <v>45796</v>
      </c>
      <c r="D104" s="52"/>
      <c r="E104" s="80">
        <f t="shared" si="11"/>
        <v>0</v>
      </c>
      <c r="F104" s="7"/>
      <c r="G104" s="80">
        <f t="shared" si="14"/>
        <v>1771.2</v>
      </c>
      <c r="H104" s="7"/>
      <c r="I104" s="7">
        <f t="shared" si="15"/>
        <v>1771.2</v>
      </c>
      <c r="J104" s="7"/>
      <c r="K104" s="7"/>
      <c r="L104" s="7"/>
      <c r="M104" s="80">
        <f t="shared" si="16"/>
        <v>260.33999999999997</v>
      </c>
    </row>
    <row r="105" spans="1:13" x14ac:dyDescent="0.2">
      <c r="A105" s="45">
        <f t="shared" si="13"/>
        <v>7</v>
      </c>
      <c r="C105" s="52">
        <f t="shared" si="17"/>
        <v>45827</v>
      </c>
      <c r="D105" s="52"/>
      <c r="E105" s="80">
        <f t="shared" si="11"/>
        <v>0</v>
      </c>
      <c r="F105" s="7"/>
      <c r="G105" s="80">
        <f t="shared" si="14"/>
        <v>2066.4</v>
      </c>
      <c r="H105" s="7"/>
      <c r="I105" s="7">
        <f t="shared" si="15"/>
        <v>2066.4</v>
      </c>
      <c r="J105" s="7"/>
      <c r="K105" s="7"/>
      <c r="L105" s="7"/>
      <c r="M105" s="80">
        <f t="shared" si="16"/>
        <v>303.72999999999996</v>
      </c>
    </row>
    <row r="106" spans="1:13" x14ac:dyDescent="0.2">
      <c r="A106" s="45">
        <f t="shared" si="13"/>
        <v>8</v>
      </c>
      <c r="C106" s="52">
        <f t="shared" si="17"/>
        <v>45858</v>
      </c>
      <c r="D106" s="52"/>
      <c r="E106" s="80">
        <f t="shared" si="11"/>
        <v>0</v>
      </c>
      <c r="F106" s="7"/>
      <c r="G106" s="80">
        <f t="shared" si="14"/>
        <v>2361.6</v>
      </c>
      <c r="H106" s="7"/>
      <c r="I106" s="7">
        <f t="shared" si="15"/>
        <v>2361.6</v>
      </c>
      <c r="J106" s="7"/>
      <c r="K106" s="7"/>
      <c r="L106" s="7"/>
      <c r="M106" s="80">
        <f t="shared" si="16"/>
        <v>347.11999999999995</v>
      </c>
    </row>
    <row r="107" spans="1:13" x14ac:dyDescent="0.2">
      <c r="A107" s="45">
        <f t="shared" si="13"/>
        <v>9</v>
      </c>
      <c r="C107" s="52">
        <f t="shared" si="17"/>
        <v>45889</v>
      </c>
      <c r="D107" s="52"/>
      <c r="E107" s="80">
        <f t="shared" si="11"/>
        <v>0</v>
      </c>
      <c r="F107" s="7"/>
      <c r="G107" s="80">
        <f t="shared" si="14"/>
        <v>2656.7999999999997</v>
      </c>
      <c r="H107" s="7"/>
      <c r="I107" s="7">
        <f t="shared" si="15"/>
        <v>2656.7999999999997</v>
      </c>
      <c r="J107" s="7"/>
      <c r="K107" s="7"/>
      <c r="L107" s="7"/>
      <c r="M107" s="80">
        <f t="shared" si="16"/>
        <v>390.50999999999993</v>
      </c>
    </row>
    <row r="108" spans="1:13" x14ac:dyDescent="0.2">
      <c r="A108" s="45">
        <f t="shared" si="13"/>
        <v>10</v>
      </c>
      <c r="C108" s="52">
        <f t="shared" si="17"/>
        <v>45920</v>
      </c>
      <c r="D108" s="52"/>
      <c r="E108" s="80">
        <f t="shared" si="11"/>
        <v>0</v>
      </c>
      <c r="F108" s="7"/>
      <c r="G108" s="80">
        <f t="shared" si="14"/>
        <v>2951.9999999999995</v>
      </c>
      <c r="H108" s="7"/>
      <c r="I108" s="7">
        <f t="shared" si="15"/>
        <v>2951.9999999999995</v>
      </c>
      <c r="J108" s="7"/>
      <c r="K108" s="7"/>
      <c r="L108" s="7"/>
      <c r="M108" s="80">
        <f t="shared" si="16"/>
        <v>433.89999999999992</v>
      </c>
    </row>
    <row r="109" spans="1:13" x14ac:dyDescent="0.2">
      <c r="A109" s="45">
        <f t="shared" si="13"/>
        <v>11</v>
      </c>
      <c r="C109" s="52">
        <f t="shared" si="17"/>
        <v>45951</v>
      </c>
      <c r="D109" s="52"/>
      <c r="E109" s="80">
        <f t="shared" si="11"/>
        <v>0</v>
      </c>
      <c r="F109" s="7"/>
      <c r="G109" s="80">
        <f t="shared" si="14"/>
        <v>3247.1999999999994</v>
      </c>
      <c r="H109" s="7"/>
      <c r="I109" s="7">
        <f t="shared" si="15"/>
        <v>3247.1999999999994</v>
      </c>
      <c r="J109" s="7"/>
      <c r="K109" s="7"/>
      <c r="L109" s="7"/>
      <c r="M109" s="80">
        <f t="shared" si="16"/>
        <v>477.2999999999999</v>
      </c>
    </row>
    <row r="110" spans="1:13" x14ac:dyDescent="0.2">
      <c r="A110" s="45">
        <f t="shared" si="13"/>
        <v>12</v>
      </c>
      <c r="C110" s="52">
        <f t="shared" si="17"/>
        <v>45982</v>
      </c>
      <c r="D110" s="52"/>
      <c r="E110" s="80">
        <f t="shared" si="11"/>
        <v>0</v>
      </c>
      <c r="F110" s="7"/>
      <c r="G110" s="80">
        <f t="shared" si="14"/>
        <v>3542.3999999999992</v>
      </c>
      <c r="H110" s="7"/>
      <c r="I110" s="7">
        <f t="shared" si="15"/>
        <v>3542.3999999999992</v>
      </c>
      <c r="J110" s="7"/>
      <c r="K110" s="7"/>
      <c r="L110" s="7"/>
      <c r="M110" s="80">
        <f t="shared" si="16"/>
        <v>520.69999999999993</v>
      </c>
    </row>
    <row r="111" spans="1:13" x14ac:dyDescent="0.2">
      <c r="A111" s="45">
        <f t="shared" si="13"/>
        <v>13</v>
      </c>
      <c r="C111" s="52">
        <f t="shared" si="17"/>
        <v>46013</v>
      </c>
      <c r="D111" s="52"/>
      <c r="E111" s="115">
        <f t="shared" si="11"/>
        <v>0</v>
      </c>
      <c r="F111" s="7"/>
      <c r="G111" s="115">
        <f t="shared" si="14"/>
        <v>3837.599999999999</v>
      </c>
      <c r="H111" s="7"/>
      <c r="I111" s="115">
        <f t="shared" si="15"/>
        <v>3837.599999999999</v>
      </c>
      <c r="J111" s="7"/>
      <c r="K111" s="7"/>
      <c r="L111" s="7"/>
      <c r="M111" s="115">
        <f t="shared" si="16"/>
        <v>564.08999999999992</v>
      </c>
    </row>
    <row r="112" spans="1:13" x14ac:dyDescent="0.2">
      <c r="A112" s="45">
        <f t="shared" si="13"/>
        <v>14</v>
      </c>
      <c r="C112" s="58" t="s">
        <v>47</v>
      </c>
      <c r="D112" s="58"/>
      <c r="E112" s="110">
        <f>SUM(E100:E111)</f>
        <v>0</v>
      </c>
      <c r="F112" s="110"/>
      <c r="G112" s="110">
        <f>SUM(G99:G111)</f>
        <v>26863.199999999997</v>
      </c>
      <c r="H112" s="110"/>
      <c r="I112" s="110">
        <f>SUM(I99:I111)</f>
        <v>26863.199999999997</v>
      </c>
      <c r="J112" s="110"/>
      <c r="K112" s="110"/>
      <c r="L112" s="110"/>
      <c r="M112" s="110">
        <f>SUM(M99:M111)</f>
        <v>3948.5399999999991</v>
      </c>
    </row>
    <row r="113" spans="1:13" x14ac:dyDescent="0.2">
      <c r="A113" s="45">
        <f t="shared" si="13"/>
        <v>15</v>
      </c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ht="12" thickBot="1" x14ac:dyDescent="0.25">
      <c r="A114" s="45">
        <f t="shared" si="13"/>
        <v>16</v>
      </c>
      <c r="C114" s="73" t="s">
        <v>139</v>
      </c>
      <c r="D114" s="73"/>
      <c r="E114" s="112">
        <f>ROUND(+E112/12,2)</f>
        <v>0</v>
      </c>
      <c r="F114" s="110"/>
      <c r="G114" s="112">
        <f>ROUND(+G112/13,2)</f>
        <v>2066.4</v>
      </c>
      <c r="H114" s="110"/>
      <c r="I114" s="112">
        <f>ROUND(+I112/13,2)</f>
        <v>2066.4</v>
      </c>
      <c r="J114" s="110"/>
      <c r="K114" s="110"/>
      <c r="L114" s="110"/>
      <c r="M114" s="112">
        <f>ROUND(+M112/13,2)</f>
        <v>303.73</v>
      </c>
    </row>
    <row r="115" spans="1:13" ht="12" thickTop="1" x14ac:dyDescent="0.2">
      <c r="A115" s="45">
        <f t="shared" si="13"/>
        <v>17</v>
      </c>
      <c r="E115" s="113" t="s">
        <v>10</v>
      </c>
      <c r="F115" s="113"/>
      <c r="G115" s="113" t="s">
        <v>10</v>
      </c>
      <c r="H115" s="113"/>
      <c r="I115" s="113" t="s">
        <v>10</v>
      </c>
      <c r="J115" s="110"/>
      <c r="K115" s="110"/>
      <c r="L115" s="110"/>
      <c r="M115" s="110"/>
    </row>
    <row r="116" spans="1:13" x14ac:dyDescent="0.2">
      <c r="A116" s="45">
        <f t="shared" si="13"/>
        <v>18</v>
      </c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 ht="12" thickBot="1" x14ac:dyDescent="0.25">
      <c r="A117" s="45">
        <f t="shared" si="13"/>
        <v>19</v>
      </c>
      <c r="C117" s="58" t="s">
        <v>87</v>
      </c>
      <c r="D117" s="58"/>
      <c r="E117" s="110"/>
      <c r="F117" s="110"/>
      <c r="G117" s="110"/>
      <c r="H117" s="110"/>
      <c r="I117" s="118">
        <f>I114</f>
        <v>2066.4</v>
      </c>
      <c r="J117" s="110"/>
      <c r="K117" s="110"/>
      <c r="L117" s="110"/>
      <c r="M117" s="118">
        <f>+M114</f>
        <v>303.73</v>
      </c>
    </row>
    <row r="118" spans="1:13" ht="12" thickTop="1" x14ac:dyDescent="0.2">
      <c r="A118" s="45">
        <f t="shared" si="13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3"/>
        <v>21</v>
      </c>
      <c r="I119" s="58" t="s">
        <v>157</v>
      </c>
      <c r="M119" s="58" t="s">
        <v>158</v>
      </c>
    </row>
    <row r="120" spans="1:13" x14ac:dyDescent="0.2">
      <c r="A120" s="45">
        <f t="shared" si="13"/>
        <v>22</v>
      </c>
    </row>
    <row r="121" spans="1:13" x14ac:dyDescent="0.2">
      <c r="A121" s="45">
        <f t="shared" si="13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3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3"/>
        <v>25</v>
      </c>
      <c r="C123" s="71" t="str">
        <f>C78</f>
        <v>Acct 2.376.00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13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3"/>
        <v>27</v>
      </c>
      <c r="H125" s="54"/>
      <c r="I125" s="54"/>
    </row>
    <row r="126" spans="1:13" x14ac:dyDescent="0.2">
      <c r="A126" s="45">
        <f t="shared" si="13"/>
        <v>28</v>
      </c>
    </row>
    <row r="127" spans="1:13" x14ac:dyDescent="0.2">
      <c r="A127" s="45">
        <f t="shared" si="13"/>
        <v>29</v>
      </c>
    </row>
    <row r="128" spans="1:13" x14ac:dyDescent="0.2">
      <c r="A128" s="45">
        <f t="shared" si="13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6B0E-E63F-4C63-8C8F-32DBE19A5B58}">
  <dimension ref="A1:L113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.42578125" style="76" customWidth="1"/>
    <col min="2" max="2" width="9.140625" style="76"/>
    <col min="3" max="3" width="0.85546875" style="76" customWidth="1"/>
    <col min="4" max="4" width="14.7109375" style="76" customWidth="1"/>
    <col min="5" max="5" width="5.85546875" style="76" customWidth="1"/>
    <col min="6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3"/>
      <c r="L2" s="143"/>
    </row>
    <row r="3" spans="1:12" ht="26.25" customHeight="1" x14ac:dyDescent="0.2">
      <c r="A3" s="142" t="str">
        <f>'CAPGDS1000001239 Input'!A5:J5</f>
        <v>Pro-Forma Adjustment - System Reliability</v>
      </c>
      <c r="B3" s="141"/>
      <c r="C3" s="141"/>
      <c r="D3" s="141"/>
      <c r="E3" s="141"/>
      <c r="F3" s="141"/>
      <c r="G3" s="141"/>
      <c r="H3" s="141"/>
      <c r="I3" s="141"/>
      <c r="J3" s="141"/>
      <c r="K3" s="143"/>
      <c r="L3" s="143"/>
    </row>
    <row r="4" spans="1:12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12.75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2" t="str">
        <f>'CAPGDS1000001239 Input'!F8</f>
        <v>Hartford Western Ave Tie</v>
      </c>
      <c r="B6" s="142"/>
      <c r="C6" s="142"/>
      <c r="D6" s="142"/>
      <c r="E6" s="142"/>
      <c r="F6" s="142"/>
      <c r="G6" s="142"/>
      <c r="H6" s="142"/>
      <c r="I6" s="142"/>
      <c r="J6" s="142"/>
      <c r="K6" s="143"/>
      <c r="L6" s="143"/>
    </row>
    <row r="9" spans="1:12" x14ac:dyDescent="0.2">
      <c r="B9" s="77"/>
      <c r="D9" s="78"/>
    </row>
    <row r="10" spans="1:12" x14ac:dyDescent="0.2">
      <c r="B10" s="77"/>
      <c r="D10" s="78"/>
    </row>
    <row r="13" spans="1:12" x14ac:dyDescent="0.2">
      <c r="B13" s="77"/>
      <c r="D13" s="78"/>
    </row>
    <row r="14" spans="1:12" x14ac:dyDescent="0.2">
      <c r="B14" s="77"/>
      <c r="D14" s="78"/>
    </row>
    <row r="15" spans="1:12" x14ac:dyDescent="0.2">
      <c r="B15" s="77"/>
      <c r="D15" s="78"/>
    </row>
    <row r="16" spans="1:12" x14ac:dyDescent="0.2">
      <c r="B16" s="77"/>
      <c r="D16" s="78"/>
    </row>
    <row r="17" spans="2:4" x14ac:dyDescent="0.2">
      <c r="B17" s="77"/>
      <c r="D17" s="78"/>
    </row>
    <row r="18" spans="2:4" x14ac:dyDescent="0.2">
      <c r="B18" s="77"/>
      <c r="D18" s="78"/>
    </row>
    <row r="19" spans="2:4" x14ac:dyDescent="0.2">
      <c r="B19" s="77"/>
      <c r="D19" s="78"/>
    </row>
    <row r="20" spans="2:4" x14ac:dyDescent="0.2">
      <c r="B20" s="77"/>
      <c r="D20" s="78"/>
    </row>
    <row r="21" spans="2:4" x14ac:dyDescent="0.2">
      <c r="B21" s="77"/>
      <c r="D21" s="78"/>
    </row>
    <row r="22" spans="2:4" x14ac:dyDescent="0.2">
      <c r="B22" s="77"/>
      <c r="D22" s="78"/>
    </row>
    <row r="23" spans="2:4" x14ac:dyDescent="0.2">
      <c r="B23" s="77"/>
      <c r="D23" s="78"/>
    </row>
    <row r="24" spans="2:4" x14ac:dyDescent="0.2">
      <c r="B24" s="77"/>
      <c r="D24" s="78"/>
    </row>
    <row r="25" spans="2:4" x14ac:dyDescent="0.2">
      <c r="B25" s="77"/>
      <c r="D25" s="78"/>
    </row>
    <row r="26" spans="2:4" x14ac:dyDescent="0.2">
      <c r="B26" s="77"/>
      <c r="D26" s="78"/>
    </row>
    <row r="27" spans="2:4" x14ac:dyDescent="0.2">
      <c r="B27" s="77"/>
      <c r="D27" s="78"/>
    </row>
    <row r="28" spans="2:4" x14ac:dyDescent="0.2">
      <c r="B28" s="77"/>
      <c r="D28" s="78"/>
    </row>
    <row r="29" spans="2:4" x14ac:dyDescent="0.2">
      <c r="B29" s="77"/>
      <c r="D29" s="78"/>
    </row>
    <row r="30" spans="2:4" x14ac:dyDescent="0.2">
      <c r="B30" s="77"/>
      <c r="D30" s="78"/>
    </row>
    <row r="31" spans="2:4" x14ac:dyDescent="0.2">
      <c r="B31" s="77"/>
      <c r="D31" s="78"/>
    </row>
    <row r="32" spans="2:4" x14ac:dyDescent="0.2">
      <c r="B32" s="77"/>
      <c r="D32" s="78"/>
    </row>
    <row r="33" spans="2:4" x14ac:dyDescent="0.2">
      <c r="B33" s="77"/>
      <c r="D33" s="78"/>
    </row>
    <row r="34" spans="2:4" x14ac:dyDescent="0.2">
      <c r="B34" s="77"/>
      <c r="D34" s="78"/>
    </row>
    <row r="35" spans="2:4" x14ac:dyDescent="0.2">
      <c r="B35" s="77"/>
      <c r="D35" s="78"/>
    </row>
    <row r="36" spans="2:4" x14ac:dyDescent="0.2">
      <c r="B36" s="77"/>
      <c r="D36" s="78"/>
    </row>
    <row r="37" spans="2:4" x14ac:dyDescent="0.2">
      <c r="B37" s="77"/>
      <c r="D37" s="78"/>
    </row>
    <row r="38" spans="2:4" x14ac:dyDescent="0.2">
      <c r="B38" s="77"/>
      <c r="D38" s="78"/>
    </row>
    <row r="39" spans="2:4" x14ac:dyDescent="0.2">
      <c r="B39" s="77"/>
      <c r="D39" s="78"/>
    </row>
    <row r="40" spans="2:4" x14ac:dyDescent="0.2">
      <c r="B40" s="77"/>
      <c r="D40" s="78"/>
    </row>
    <row r="41" spans="2:4" x14ac:dyDescent="0.2">
      <c r="B41" s="77"/>
      <c r="D41" s="78"/>
    </row>
    <row r="42" spans="2:4" x14ac:dyDescent="0.2">
      <c r="B42" s="77"/>
      <c r="D42" s="78"/>
    </row>
    <row r="43" spans="2:4" x14ac:dyDescent="0.2">
      <c r="B43" s="77"/>
      <c r="D43" s="78"/>
    </row>
    <row r="44" spans="2:4" x14ac:dyDescent="0.2">
      <c r="B44" s="77"/>
      <c r="D44" s="78"/>
    </row>
    <row r="45" spans="2:4" x14ac:dyDescent="0.2">
      <c r="B45" s="77"/>
      <c r="D45" s="78"/>
    </row>
    <row r="46" spans="2:4" x14ac:dyDescent="0.2">
      <c r="B46" s="77"/>
      <c r="D46" s="78"/>
    </row>
    <row r="47" spans="2:4" x14ac:dyDescent="0.2">
      <c r="B47" s="77"/>
      <c r="D47" s="78"/>
    </row>
    <row r="48" spans="2:4" x14ac:dyDescent="0.2">
      <c r="B48" s="77"/>
      <c r="D48" s="78"/>
    </row>
    <row r="49" spans="1:12" ht="12.75" x14ac:dyDescent="0.2">
      <c r="A49" s="142" t="s">
        <v>0</v>
      </c>
      <c r="B49" s="141"/>
      <c r="C49" s="141"/>
      <c r="D49" s="141"/>
      <c r="E49" s="141"/>
      <c r="F49" s="141"/>
      <c r="G49" s="141"/>
      <c r="H49" s="141"/>
      <c r="I49" s="141"/>
      <c r="J49" s="141"/>
      <c r="K49" s="143"/>
      <c r="L49" s="143"/>
    </row>
    <row r="50" spans="1:12" ht="12.75" x14ac:dyDescent="0.2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3"/>
      <c r="L50" s="143"/>
    </row>
    <row r="51" spans="1:12" ht="12.75" x14ac:dyDescent="0.2">
      <c r="A51" s="141"/>
      <c r="B51" s="141"/>
      <c r="C51" s="141"/>
      <c r="D51" s="141"/>
      <c r="E51" s="141"/>
      <c r="F51" s="141"/>
      <c r="G51" s="141"/>
      <c r="H51" s="141"/>
      <c r="I51" s="141"/>
      <c r="J51" s="141"/>
      <c r="K51" s="143"/>
      <c r="L51" s="143"/>
    </row>
    <row r="52" spans="1:12" ht="12.75" x14ac:dyDescent="0.2">
      <c r="A52" s="142" t="s">
        <v>120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3"/>
      <c r="L52" s="143"/>
    </row>
    <row r="53" spans="1:12" x14ac:dyDescent="0.2">
      <c r="B53" s="77"/>
      <c r="D53" s="78"/>
    </row>
    <row r="54" spans="1:12" x14ac:dyDescent="0.2">
      <c r="B54" s="77"/>
      <c r="D54" s="78"/>
    </row>
    <row r="55" spans="1:12" x14ac:dyDescent="0.2">
      <c r="B55" s="77"/>
      <c r="D55" s="78"/>
    </row>
    <row r="56" spans="1:12" x14ac:dyDescent="0.2">
      <c r="B56" s="77"/>
      <c r="D56" s="78"/>
    </row>
    <row r="57" spans="1:12" x14ac:dyDescent="0.2">
      <c r="B57" s="77"/>
      <c r="D57" s="78"/>
    </row>
    <row r="58" spans="1:12" x14ac:dyDescent="0.2">
      <c r="B58" s="77"/>
      <c r="D58" s="78"/>
    </row>
    <row r="59" spans="1:12" x14ac:dyDescent="0.2">
      <c r="B59" s="77"/>
      <c r="D59" s="78"/>
    </row>
    <row r="60" spans="1:12" x14ac:dyDescent="0.2">
      <c r="B60" s="77"/>
      <c r="D60" s="78"/>
    </row>
    <row r="61" spans="1:12" x14ac:dyDescent="0.2">
      <c r="B61" s="77"/>
      <c r="D61" s="78"/>
    </row>
    <row r="62" spans="1:12" x14ac:dyDescent="0.2">
      <c r="B62" s="77"/>
      <c r="D62" s="78"/>
    </row>
    <row r="63" spans="1:12" x14ac:dyDescent="0.2">
      <c r="B63" s="77"/>
      <c r="D63" s="78"/>
    </row>
    <row r="64" spans="1:12" x14ac:dyDescent="0.2">
      <c r="B64" s="77"/>
      <c r="D64" s="78"/>
    </row>
    <row r="65" spans="1:12" x14ac:dyDescent="0.2">
      <c r="B65" s="77"/>
      <c r="D65" s="78"/>
    </row>
    <row r="66" spans="1:12" x14ac:dyDescent="0.2">
      <c r="B66" s="77"/>
      <c r="D66" s="78"/>
    </row>
    <row r="67" spans="1:12" x14ac:dyDescent="0.2">
      <c r="B67" s="77"/>
      <c r="D67" s="78"/>
    </row>
    <row r="70" spans="1:12" ht="12.75" x14ac:dyDescent="0.2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3"/>
      <c r="L70" s="143"/>
    </row>
    <row r="71" spans="1:12" ht="12.75" x14ac:dyDescent="0.2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3"/>
      <c r="L71" s="143"/>
    </row>
    <row r="72" spans="1:12" ht="25.5" customHeight="1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3"/>
      <c r="L72" s="143"/>
    </row>
    <row r="73" spans="1:12" ht="12.75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3"/>
      <c r="L73" s="143"/>
    </row>
    <row r="74" spans="1:12" ht="12.75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3"/>
      <c r="L74" s="143"/>
    </row>
    <row r="75" spans="1:12" ht="12.75" x14ac:dyDescent="0.2">
      <c r="A75" s="142"/>
      <c r="B75" s="142"/>
      <c r="C75" s="142"/>
      <c r="D75" s="142"/>
      <c r="E75" s="142"/>
      <c r="F75" s="142"/>
      <c r="G75" s="142"/>
      <c r="H75" s="142"/>
      <c r="I75" s="142"/>
      <c r="J75" s="142"/>
      <c r="K75" s="143"/>
      <c r="L75" s="143"/>
    </row>
    <row r="110" spans="1:12" ht="12.75" x14ac:dyDescent="0.2">
      <c r="A110" s="142" t="s">
        <v>0</v>
      </c>
      <c r="B110" s="141"/>
      <c r="C110" s="141"/>
      <c r="D110" s="141"/>
      <c r="E110" s="141"/>
      <c r="F110" s="141"/>
      <c r="G110" s="141"/>
      <c r="H110" s="141"/>
      <c r="I110" s="141"/>
      <c r="J110" s="141"/>
      <c r="K110" s="143"/>
      <c r="L110" s="143"/>
    </row>
    <row r="111" spans="1:12" ht="12.75" x14ac:dyDescent="0.2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3"/>
      <c r="L111" s="143"/>
    </row>
    <row r="112" spans="1:12" ht="12.75" x14ac:dyDescent="0.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3"/>
      <c r="L112" s="143"/>
    </row>
    <row r="113" spans="1:12" ht="12.75" x14ac:dyDescent="0.2">
      <c r="A113" s="142" t="s">
        <v>120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143"/>
      <c r="L113" s="143"/>
    </row>
  </sheetData>
  <mergeCells count="20">
    <mergeCell ref="A1:L1"/>
    <mergeCell ref="A2:L2"/>
    <mergeCell ref="A3:L3"/>
    <mergeCell ref="A4:L4"/>
    <mergeCell ref="A5:L5"/>
    <mergeCell ref="A110:L110"/>
    <mergeCell ref="A111:L111"/>
    <mergeCell ref="A112:L112"/>
    <mergeCell ref="A113:L113"/>
    <mergeCell ref="A6:L6"/>
    <mergeCell ref="A70:L70"/>
    <mergeCell ref="A49:L49"/>
    <mergeCell ref="A50:L50"/>
    <mergeCell ref="A51:L51"/>
    <mergeCell ref="A52:L52"/>
    <mergeCell ref="A71:L71"/>
    <mergeCell ref="A72:L72"/>
    <mergeCell ref="A73:L73"/>
    <mergeCell ref="A74:L74"/>
    <mergeCell ref="A75:L75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6" max="11" man="1"/>
    <brk id="103" max="11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408C-54FB-4601-9983-568F302AFABD}">
  <dimension ref="A3:N40"/>
  <sheetViews>
    <sheetView view="pageLayout" zoomScaleNormal="100" workbookViewId="0"/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7109375" style="89" customWidth="1"/>
    <col min="5" max="5" width="0.85546875" style="89" customWidth="1"/>
    <col min="6" max="6" width="10.1406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8" style="89"/>
    <col min="13" max="13" width="1.7109375" style="89" customWidth="1"/>
    <col min="14" max="16384" width="8" style="89"/>
  </cols>
  <sheetData>
    <row r="3" spans="1:14" x14ac:dyDescent="0.2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4.75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98" t="s">
        <v>135</v>
      </c>
      <c r="E8" s="31"/>
      <c r="F8" s="144" t="s">
        <v>136</v>
      </c>
      <c r="G8" s="145"/>
      <c r="H8" s="145"/>
      <c r="I8" s="145"/>
      <c r="J8" s="145"/>
    </row>
    <row r="9" spans="1:14" x14ac:dyDescent="0.2">
      <c r="B9" s="31" t="s">
        <v>58</v>
      </c>
      <c r="D9" s="93">
        <v>1</v>
      </c>
      <c r="F9" s="31" t="s">
        <v>59</v>
      </c>
      <c r="H9" s="100">
        <v>0.14050000000000001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162</v>
      </c>
      <c r="H15" s="5">
        <v>1</v>
      </c>
      <c r="J15" s="39">
        <f>1.02/30</f>
        <v>3.4000000000000002E-2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70</v>
      </c>
      <c r="H16" s="5">
        <v>0</v>
      </c>
      <c r="J16" s="39">
        <v>0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7">
        <v>46387</v>
      </c>
    </row>
    <row r="30" spans="1:10" x14ac:dyDescent="0.2">
      <c r="A30" s="33">
        <v>16</v>
      </c>
      <c r="B30" s="31" t="s">
        <v>72</v>
      </c>
      <c r="D30" s="98">
        <v>8745692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192</v>
      </c>
    </row>
    <row r="35" spans="2:2" x14ac:dyDescent="0.2">
      <c r="B35" s="41" t="s">
        <v>193</v>
      </c>
    </row>
    <row r="36" spans="2:2" x14ac:dyDescent="0.2">
      <c r="B36" s="41" t="s">
        <v>194</v>
      </c>
    </row>
    <row r="37" spans="2:2" x14ac:dyDescent="0.2">
      <c r="B37" s="41" t="s">
        <v>195</v>
      </c>
    </row>
    <row r="38" spans="2:2" x14ac:dyDescent="0.2">
      <c r="B38" s="41" t="s">
        <v>196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7">
    <mergeCell ref="F8:J8"/>
    <mergeCell ref="A3:J3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773F-648E-48E2-8D93-117E74E74613}">
  <sheetPr syncVertical="1" syncRef="A1" transitionEvaluation="1" transitionEntry="1"/>
  <dimension ref="A3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 t="s">
        <v>10</v>
      </c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22.5" customHeight="1" x14ac:dyDescent="0.2">
      <c r="A5" s="46" t="str">
        <f>'CAPGDS1000001253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'CAPGDS1000001184 Input'!F8</f>
        <v>2026 ERT Replacements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'CAPGDS1000001253 Input'!B15</f>
        <v>45641</v>
      </c>
      <c r="D17" s="52"/>
      <c r="E17" s="109">
        <f>'CAPGDS1000001184 Input'!D15*'CAPGDS1000001184 Input'!$D$9*'CAPGDS1000001184 Input'!$H$9</f>
        <v>0</v>
      </c>
      <c r="F17" s="110"/>
      <c r="G17" s="109">
        <f>'CAPGDS1000001184 Input'!D30*'CAPGDS1000001184 Input'!D9*'CAPGDS1000001184 Input'!H9</f>
        <v>1228769.726</v>
      </c>
      <c r="H17" s="110"/>
      <c r="I17" s="109">
        <f t="shared" ref="I17:I29" si="0">G17-E17</f>
        <v>1228769.726</v>
      </c>
    </row>
    <row r="18" spans="1:10" x14ac:dyDescent="0.2">
      <c r="A18" s="45">
        <f t="shared" ref="A18:A40" si="1">1+A17</f>
        <v>2</v>
      </c>
      <c r="C18" s="52">
        <f>'CAPGDS1000001253 Input'!B16</f>
        <v>45672</v>
      </c>
      <c r="D18" s="52"/>
      <c r="E18" s="80">
        <f>'CAPGDS1000001184 Input'!D16*'CAPGDS1000001184 Input'!$D$9*'CAPGDS1000001184 Input'!$H$9</f>
        <v>0</v>
      </c>
      <c r="F18" s="7"/>
      <c r="G18" s="80">
        <f>'CAPGDS1000001184 Input'!D30*'CAPGDS1000001184 Input'!D9*'CAPGDS1000001184 Input'!H9</f>
        <v>1228769.726</v>
      </c>
      <c r="H18" s="7"/>
      <c r="I18" s="80">
        <f t="shared" si="0"/>
        <v>1228769.726</v>
      </c>
    </row>
    <row r="19" spans="1:10" x14ac:dyDescent="0.2">
      <c r="A19" s="45">
        <f t="shared" si="1"/>
        <v>3</v>
      </c>
      <c r="C19" s="52">
        <f>'CAPGDS1000001253 Input'!B17</f>
        <v>45702</v>
      </c>
      <c r="D19" s="52"/>
      <c r="E19" s="7">
        <f>'CAPGDS1000001184 Input'!D17*'CAPGDS1000001184 Input'!$D$9*'CAPGDS1000001184 Input'!$H$9</f>
        <v>0</v>
      </c>
      <c r="F19" s="7"/>
      <c r="G19" s="7">
        <f t="shared" ref="G19:G29" si="2">$G$18</f>
        <v>1228769.726</v>
      </c>
      <c r="H19" s="7"/>
      <c r="I19" s="7">
        <f t="shared" si="0"/>
        <v>1228769.726</v>
      </c>
      <c r="J19" s="54"/>
    </row>
    <row r="20" spans="1:10" x14ac:dyDescent="0.2">
      <c r="A20" s="45">
        <f t="shared" si="1"/>
        <v>4</v>
      </c>
      <c r="C20" s="52">
        <f>'CAPGDS1000001253 Input'!B18</f>
        <v>45732</v>
      </c>
      <c r="D20" s="52"/>
      <c r="E20" s="7">
        <f>'CAPGDS1000001184 Input'!D18*'CAPGDS1000001184 Input'!$D$9*'CAPGDS1000001184 Input'!$H$9</f>
        <v>0</v>
      </c>
      <c r="F20" s="7"/>
      <c r="G20" s="7">
        <f t="shared" si="2"/>
        <v>1228769.726</v>
      </c>
      <c r="H20" s="7"/>
      <c r="I20" s="7">
        <f t="shared" si="0"/>
        <v>1228769.726</v>
      </c>
      <c r="J20" s="54"/>
    </row>
    <row r="21" spans="1:10" x14ac:dyDescent="0.2">
      <c r="A21" s="45">
        <f t="shared" si="1"/>
        <v>5</v>
      </c>
      <c r="C21" s="52">
        <f>'CAPGDS1000001253 Input'!B19</f>
        <v>45762</v>
      </c>
      <c r="D21" s="52"/>
      <c r="E21" s="7">
        <f>'CAPGDS1000001184 Input'!D19*'CAPGDS1000001184 Input'!$D$9*'CAPGDS1000001184 Input'!$H$9</f>
        <v>0</v>
      </c>
      <c r="F21" s="7"/>
      <c r="G21" s="7">
        <f t="shared" si="2"/>
        <v>1228769.726</v>
      </c>
      <c r="H21" s="7"/>
      <c r="I21" s="7">
        <f t="shared" si="0"/>
        <v>1228769.726</v>
      </c>
      <c r="J21" s="54"/>
    </row>
    <row r="22" spans="1:10" x14ac:dyDescent="0.2">
      <c r="A22" s="45">
        <f t="shared" si="1"/>
        <v>6</v>
      </c>
      <c r="C22" s="52">
        <f>'CAPGDS1000001253 Input'!B20</f>
        <v>45792</v>
      </c>
      <c r="D22" s="52"/>
      <c r="E22" s="7">
        <f>'CAPGDS1000001184 Input'!D20*'CAPGDS1000001184 Input'!$D$9*'CAPGDS1000001184 Input'!$H$9</f>
        <v>0</v>
      </c>
      <c r="F22" s="7"/>
      <c r="G22" s="7">
        <f t="shared" si="2"/>
        <v>1228769.726</v>
      </c>
      <c r="H22" s="7"/>
      <c r="I22" s="7">
        <f t="shared" si="0"/>
        <v>1228769.726</v>
      </c>
      <c r="J22" s="54"/>
    </row>
    <row r="23" spans="1:10" x14ac:dyDescent="0.2">
      <c r="A23" s="45">
        <f t="shared" si="1"/>
        <v>7</v>
      </c>
      <c r="C23" s="52">
        <f>'CAPGDS1000001253 Input'!B21</f>
        <v>45822</v>
      </c>
      <c r="D23" s="52"/>
      <c r="E23" s="7">
        <f>'CAPGDS1000001184 Input'!D21*'CAPGDS1000001184 Input'!$D$9*'CAPGDS1000001184 Input'!$H$9</f>
        <v>0</v>
      </c>
      <c r="F23" s="7"/>
      <c r="G23" s="7">
        <f t="shared" si="2"/>
        <v>1228769.726</v>
      </c>
      <c r="H23" s="7"/>
      <c r="I23" s="7">
        <f t="shared" si="0"/>
        <v>1228769.726</v>
      </c>
      <c r="J23" s="54"/>
    </row>
    <row r="24" spans="1:10" x14ac:dyDescent="0.2">
      <c r="A24" s="45">
        <f t="shared" si="1"/>
        <v>8</v>
      </c>
      <c r="C24" s="52">
        <f>'CAPGDS1000001253 Input'!B22</f>
        <v>45852</v>
      </c>
      <c r="D24" s="52"/>
      <c r="E24" s="7">
        <f>'CAPGDS1000001184 Input'!D22*'CAPGDS1000001184 Input'!$D$9*'CAPGDS1000001184 Input'!$H$9</f>
        <v>0</v>
      </c>
      <c r="F24" s="7"/>
      <c r="G24" s="7">
        <f t="shared" si="2"/>
        <v>1228769.726</v>
      </c>
      <c r="H24" s="7"/>
      <c r="I24" s="7">
        <f t="shared" si="0"/>
        <v>1228769.726</v>
      </c>
      <c r="J24" s="54"/>
    </row>
    <row r="25" spans="1:10" x14ac:dyDescent="0.2">
      <c r="A25" s="45">
        <f t="shared" si="1"/>
        <v>9</v>
      </c>
      <c r="C25" s="52">
        <f>'CAPGDS1000001253 Input'!B23</f>
        <v>45882</v>
      </c>
      <c r="D25" s="52"/>
      <c r="E25" s="7">
        <f>'CAPGDS1000001184 Input'!D23*'CAPGDS1000001184 Input'!$D$9*'CAPGDS1000001184 Input'!$H$9</f>
        <v>0</v>
      </c>
      <c r="F25" s="7"/>
      <c r="G25" s="7">
        <f t="shared" si="2"/>
        <v>1228769.726</v>
      </c>
      <c r="H25" s="7"/>
      <c r="I25" s="7">
        <f t="shared" si="0"/>
        <v>1228769.726</v>
      </c>
      <c r="J25" s="54"/>
    </row>
    <row r="26" spans="1:10" x14ac:dyDescent="0.2">
      <c r="A26" s="45">
        <f t="shared" si="1"/>
        <v>10</v>
      </c>
      <c r="C26" s="52">
        <f>'CAPGDS1000001253 Input'!B24</f>
        <v>45912</v>
      </c>
      <c r="D26" s="52"/>
      <c r="E26" s="7">
        <f>'CAPGDS1000001184 Input'!D24*'CAPGDS1000001184 Input'!$D$9*'CAPGDS1000001184 Input'!$H$9</f>
        <v>0</v>
      </c>
      <c r="F26" s="7"/>
      <c r="G26" s="7">
        <f t="shared" si="2"/>
        <v>1228769.726</v>
      </c>
      <c r="H26" s="7"/>
      <c r="I26" s="7">
        <f t="shared" si="0"/>
        <v>1228769.726</v>
      </c>
      <c r="J26" s="54"/>
    </row>
    <row r="27" spans="1:10" x14ac:dyDescent="0.2">
      <c r="A27" s="45">
        <f t="shared" si="1"/>
        <v>11</v>
      </c>
      <c r="C27" s="52">
        <f>'CAPGDS1000001253 Input'!B25</f>
        <v>45942</v>
      </c>
      <c r="D27" s="52"/>
      <c r="E27" s="7">
        <f>'CAPGDS1000001184 Input'!D25*'CAPGDS1000001184 Input'!$D$9*'CAPGDS1000001184 Input'!$H$9</f>
        <v>0</v>
      </c>
      <c r="F27" s="7"/>
      <c r="G27" s="7">
        <f t="shared" si="2"/>
        <v>1228769.726</v>
      </c>
      <c r="H27" s="7"/>
      <c r="I27" s="7">
        <f t="shared" si="0"/>
        <v>1228769.726</v>
      </c>
      <c r="J27" s="54"/>
    </row>
    <row r="28" spans="1:10" x14ac:dyDescent="0.2">
      <c r="A28" s="45">
        <f t="shared" si="1"/>
        <v>12</v>
      </c>
      <c r="C28" s="52">
        <f>'CAPGDS1000001253 Input'!B26</f>
        <v>45972</v>
      </c>
      <c r="D28" s="52"/>
      <c r="E28" s="7">
        <f>'CAPGDS1000001184 Input'!D26*'CAPGDS1000001184 Input'!$D$9*'CAPGDS1000001184 Input'!$H$9</f>
        <v>0</v>
      </c>
      <c r="F28" s="7"/>
      <c r="G28" s="7">
        <f t="shared" si="2"/>
        <v>1228769.726</v>
      </c>
      <c r="H28" s="7"/>
      <c r="I28" s="7">
        <f t="shared" si="0"/>
        <v>1228769.726</v>
      </c>
      <c r="J28" s="54"/>
    </row>
    <row r="29" spans="1:10" x14ac:dyDescent="0.2">
      <c r="A29" s="45">
        <f t="shared" si="1"/>
        <v>13</v>
      </c>
      <c r="C29" s="52">
        <f>'CAPGDS1000001253 Input'!B27</f>
        <v>46002</v>
      </c>
      <c r="D29" s="52"/>
      <c r="E29" s="115">
        <f>'CAPGDS1000001184 Input'!D27*'CAPGDS1000001184 Input'!$D$9*'CAPGDS1000001184 Input'!$H$9</f>
        <v>0</v>
      </c>
      <c r="F29" s="7"/>
      <c r="G29" s="115">
        <f t="shared" si="2"/>
        <v>1228769.726</v>
      </c>
      <c r="H29" s="7"/>
      <c r="I29" s="115">
        <f t="shared" si="0"/>
        <v>1228769.726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15974006.437999999</v>
      </c>
      <c r="H30" s="110"/>
      <c r="I30" s="110">
        <f>SUM(I17:I29)</f>
        <v>15974006.437999999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1228769.73</v>
      </c>
      <c r="H32" s="110"/>
      <c r="I32" s="112">
        <f>ROUND(+I30/13,2)</f>
        <v>1228769.73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1228769.73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49E53-CCCE-462E-A2F0-712EA1A48635}">
  <dimension ref="A3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1.71093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2.5" customHeight="1" x14ac:dyDescent="0.2">
      <c r="A5" s="139" t="str">
        <f>'CAPGDS1000001253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'CAPGDS1000001184 Input'!F8</f>
        <v>2026 ERT Replacements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'CAPGDS1000001253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"&amp;'CAPGDS1000001184 Input'!F15</f>
        <v>Acct 2.381.00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'CAPGDS1000001253 TotalWO'!C17</f>
        <v>45641</v>
      </c>
      <c r="D17" s="52"/>
      <c r="E17" s="109">
        <f>'CAPGDS1000001184 TotalWO'!E17*'CAPGDS1000001184 Input'!$H$15</f>
        <v>0</v>
      </c>
      <c r="F17" s="116"/>
      <c r="G17" s="109">
        <f>'CAPGDS1000001184 TotalWO'!G17*'CAPGDS1000001184 Input'!$H$15</f>
        <v>1228769.726</v>
      </c>
      <c r="H17" s="110"/>
      <c r="I17" s="109">
        <f t="shared" ref="I17:I29" si="0">G17-E17</f>
        <v>1228769.726</v>
      </c>
    </row>
    <row r="18" spans="1:12" x14ac:dyDescent="0.2">
      <c r="A18" s="45">
        <f t="shared" ref="A18:A40" si="1">1+A17</f>
        <v>2</v>
      </c>
      <c r="C18" s="52">
        <f>'CAPGDS1000001253 TotalWO'!C18</f>
        <v>45672</v>
      </c>
      <c r="D18" s="52"/>
      <c r="E18" s="80">
        <f>'CAPGDS1000001184 TotalWO'!E18*'CAPGDS1000001184 Input'!$H$15</f>
        <v>0</v>
      </c>
      <c r="F18" s="80"/>
      <c r="G18" s="80">
        <f>'CAPGDS1000001184 TotalWO'!G18*'CAPGDS1000001184 Input'!$H$15</f>
        <v>1228769.726</v>
      </c>
      <c r="H18" s="7"/>
      <c r="I18" s="80">
        <f t="shared" si="0"/>
        <v>1228769.726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'CAPGDS1000001184 TotalWO'!E19*'CAPGDS1000001184 Input'!$H$15</f>
        <v>0</v>
      </c>
      <c r="F19" s="80"/>
      <c r="G19" s="80">
        <f>'CAPGDS1000001184 TotalWO'!G19*'CAPGDS1000001184 Input'!$H$15</f>
        <v>1228769.726</v>
      </c>
      <c r="H19" s="7"/>
      <c r="I19" s="7">
        <f t="shared" si="0"/>
        <v>1228769.726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'CAPGDS1000001184 TotalWO'!E20*'CAPGDS1000001184 Input'!$H$15</f>
        <v>0</v>
      </c>
      <c r="F20" s="80"/>
      <c r="G20" s="80">
        <f>'CAPGDS1000001184 TotalWO'!G20*'CAPGDS1000001184 Input'!$H$15</f>
        <v>1228769.726</v>
      </c>
      <c r="H20" s="7"/>
      <c r="I20" s="7">
        <f t="shared" si="0"/>
        <v>1228769.726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'CAPGDS1000001184 TotalWO'!E21*'CAPGDS1000001184 Input'!$H$15</f>
        <v>0</v>
      </c>
      <c r="F21" s="80"/>
      <c r="G21" s="80">
        <f>'CAPGDS1000001184 TotalWO'!G21*'CAPGDS1000001184 Input'!$H$15</f>
        <v>1228769.726</v>
      </c>
      <c r="H21" s="7"/>
      <c r="I21" s="7">
        <f t="shared" si="0"/>
        <v>1228769.726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'CAPGDS1000001184 TotalWO'!E22*'CAPGDS1000001184 Input'!$H$15</f>
        <v>0</v>
      </c>
      <c r="F22" s="80"/>
      <c r="G22" s="80">
        <f>'CAPGDS1000001184 TotalWO'!G22*'CAPGDS1000001184 Input'!$H$15</f>
        <v>1228769.726</v>
      </c>
      <c r="H22" s="7"/>
      <c r="I22" s="7">
        <f t="shared" si="0"/>
        <v>1228769.726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'CAPGDS1000001184 TotalWO'!E23*'CAPGDS1000001184 Input'!$H$15</f>
        <v>0</v>
      </c>
      <c r="F23" s="80"/>
      <c r="G23" s="80">
        <f>'CAPGDS1000001184 TotalWO'!G23*'CAPGDS1000001184 Input'!$H$15</f>
        <v>1228769.726</v>
      </c>
      <c r="H23" s="7"/>
      <c r="I23" s="7">
        <f t="shared" si="0"/>
        <v>1228769.726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'CAPGDS1000001184 TotalWO'!E24*'CAPGDS1000001184 Input'!$H$15</f>
        <v>0</v>
      </c>
      <c r="F24" s="80"/>
      <c r="G24" s="80">
        <f>'CAPGDS1000001184 TotalWO'!G24*'CAPGDS1000001184 Input'!$H$15</f>
        <v>1228769.726</v>
      </c>
      <c r="H24" s="7"/>
      <c r="I24" s="7">
        <f t="shared" si="0"/>
        <v>1228769.726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'CAPGDS1000001184 TotalWO'!E25*'CAPGDS1000001184 Input'!$H$15</f>
        <v>0</v>
      </c>
      <c r="F25" s="80"/>
      <c r="G25" s="80">
        <f>'CAPGDS1000001184 TotalWO'!G25*'CAPGDS1000001184 Input'!$H$15</f>
        <v>1228769.726</v>
      </c>
      <c r="H25" s="7"/>
      <c r="I25" s="7">
        <f t="shared" si="0"/>
        <v>1228769.726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'CAPGDS1000001184 TotalWO'!E26*'CAPGDS1000001184 Input'!$H$15</f>
        <v>0</v>
      </c>
      <c r="F26" s="80"/>
      <c r="G26" s="80">
        <f>'CAPGDS1000001184 TotalWO'!G26*'CAPGDS1000001184 Input'!$H$15</f>
        <v>1228769.726</v>
      </c>
      <c r="H26" s="7"/>
      <c r="I26" s="7">
        <f t="shared" si="0"/>
        <v>1228769.726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'CAPGDS1000001184 TotalWO'!E27*'CAPGDS1000001184 Input'!$H$15</f>
        <v>0</v>
      </c>
      <c r="F27" s="80"/>
      <c r="G27" s="80">
        <f>'CAPGDS1000001184 TotalWO'!G27*'CAPGDS1000001184 Input'!$H$15</f>
        <v>1228769.726</v>
      </c>
      <c r="H27" s="7"/>
      <c r="I27" s="7">
        <f t="shared" si="0"/>
        <v>1228769.726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'CAPGDS1000001184 TotalWO'!E28*'CAPGDS1000001184 Input'!$H$15</f>
        <v>0</v>
      </c>
      <c r="F28" s="80"/>
      <c r="G28" s="80">
        <f>'CAPGDS1000001184 TotalWO'!G28*'CAPGDS1000001184 Input'!$H$15</f>
        <v>1228769.726</v>
      </c>
      <c r="H28" s="7"/>
      <c r="I28" s="7">
        <f t="shared" si="0"/>
        <v>1228769.726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'CAPGDS1000001184 TotalWO'!E29*'CAPGDS1000001184 Input'!$H$15</f>
        <v>0</v>
      </c>
      <c r="F29" s="80"/>
      <c r="G29" s="114">
        <f>'CAPGDS1000001184 TotalWO'!G29*'CAPGDS1000001184 Input'!$H$15</f>
        <v>1228769.726</v>
      </c>
      <c r="H29" s="7"/>
      <c r="I29" s="115">
        <f t="shared" si="0"/>
        <v>1228769.726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15974006.437999999</v>
      </c>
      <c r="H30" s="110"/>
      <c r="I30" s="110">
        <f>SUM(I17:I29)</f>
        <v>15974006.437999999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1228769.73</v>
      </c>
      <c r="H32" s="110"/>
      <c r="I32" s="112">
        <f>ROUND(+I30/13,2)</f>
        <v>1228769.73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1228769.73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112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2.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>2026 ERT Replacements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2.381.00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>ROUND(E17*$G$78,2)</f>
        <v>0</v>
      </c>
      <c r="F57" s="110"/>
      <c r="G57" s="109">
        <f>ROUND(+G18*$G$78,2)</f>
        <v>3213.71</v>
      </c>
      <c r="H57" s="110"/>
      <c r="I57" s="110">
        <f>G57-E57</f>
        <v>3213.71</v>
      </c>
      <c r="J57" s="110"/>
      <c r="K57" s="111"/>
      <c r="L57" s="110"/>
      <c r="M57" s="6">
        <f>+ROUND(M72/13,2)</f>
        <v>69.47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80">
        <f t="shared" ref="E58:E69" si="4">ROUND(E17*$G$78,2)</f>
        <v>0</v>
      </c>
      <c r="F58" s="80"/>
      <c r="G58" s="80">
        <f t="shared" ref="G58:G69" si="5">ROUND(+G17*$G$78,2)</f>
        <v>3213.71</v>
      </c>
      <c r="H58" s="7"/>
      <c r="I58" s="7">
        <f t="shared" ref="I58" si="6">G58-E58</f>
        <v>3213.71</v>
      </c>
      <c r="J58" s="7"/>
      <c r="K58" s="7"/>
      <c r="L58" s="7"/>
      <c r="M58" s="7">
        <f>+M57</f>
        <v>69.47</v>
      </c>
    </row>
    <row r="59" spans="1:13" x14ac:dyDescent="0.2">
      <c r="A59" s="45">
        <f t="shared" si="3"/>
        <v>3</v>
      </c>
      <c r="C59" s="52">
        <f t="shared" ref="C59:C69" si="7">C58+31</f>
        <v>45703</v>
      </c>
      <c r="D59" s="52"/>
      <c r="E59" s="80">
        <f t="shared" si="4"/>
        <v>0</v>
      </c>
      <c r="F59" s="80"/>
      <c r="G59" s="80">
        <f t="shared" si="5"/>
        <v>3213.71</v>
      </c>
      <c r="H59" s="7"/>
      <c r="I59" s="7">
        <f t="shared" ref="I59:I69" si="8">G59-E59</f>
        <v>3213.71</v>
      </c>
      <c r="J59" s="7"/>
      <c r="K59" s="7"/>
      <c r="L59" s="7"/>
      <c r="M59" s="7">
        <f>+M57</f>
        <v>69.47</v>
      </c>
    </row>
    <row r="60" spans="1:13" x14ac:dyDescent="0.2">
      <c r="A60" s="45">
        <f t="shared" si="3"/>
        <v>4</v>
      </c>
      <c r="C60" s="52">
        <f t="shared" si="7"/>
        <v>45734</v>
      </c>
      <c r="D60" s="52"/>
      <c r="E60" s="80">
        <f t="shared" si="4"/>
        <v>0</v>
      </c>
      <c r="F60" s="80"/>
      <c r="G60" s="80">
        <f t="shared" si="5"/>
        <v>3213.71</v>
      </c>
      <c r="H60" s="7"/>
      <c r="I60" s="7">
        <f t="shared" si="8"/>
        <v>3213.71</v>
      </c>
      <c r="J60" s="7"/>
      <c r="K60" s="7"/>
      <c r="L60" s="7"/>
      <c r="M60" s="7">
        <f t="shared" ref="M60:M69" si="9">+M59</f>
        <v>69.47</v>
      </c>
    </row>
    <row r="61" spans="1:13" x14ac:dyDescent="0.2">
      <c r="A61" s="45">
        <f t="shared" si="3"/>
        <v>5</v>
      </c>
      <c r="C61" s="52">
        <f t="shared" si="7"/>
        <v>45765</v>
      </c>
      <c r="D61" s="52"/>
      <c r="E61" s="80">
        <f t="shared" si="4"/>
        <v>0</v>
      </c>
      <c r="F61" s="80"/>
      <c r="G61" s="80">
        <f t="shared" si="5"/>
        <v>3213.71</v>
      </c>
      <c r="H61" s="7"/>
      <c r="I61" s="7">
        <f t="shared" si="8"/>
        <v>3213.71</v>
      </c>
      <c r="J61" s="7"/>
      <c r="K61" s="7"/>
      <c r="L61" s="7"/>
      <c r="M61" s="7">
        <f t="shared" si="9"/>
        <v>69.47</v>
      </c>
    </row>
    <row r="62" spans="1:13" x14ac:dyDescent="0.2">
      <c r="A62" s="45">
        <f t="shared" si="3"/>
        <v>6</v>
      </c>
      <c r="C62" s="52">
        <f t="shared" si="7"/>
        <v>45796</v>
      </c>
      <c r="D62" s="52"/>
      <c r="E62" s="80">
        <f t="shared" si="4"/>
        <v>0</v>
      </c>
      <c r="F62" s="80"/>
      <c r="G62" s="80">
        <f t="shared" si="5"/>
        <v>3213.71</v>
      </c>
      <c r="H62" s="7"/>
      <c r="I62" s="7">
        <f t="shared" si="8"/>
        <v>3213.71</v>
      </c>
      <c r="J62" s="7"/>
      <c r="K62" s="7"/>
      <c r="L62" s="7"/>
      <c r="M62" s="7">
        <f t="shared" si="9"/>
        <v>69.47</v>
      </c>
    </row>
    <row r="63" spans="1:13" x14ac:dyDescent="0.2">
      <c r="A63" s="45">
        <f t="shared" si="3"/>
        <v>7</v>
      </c>
      <c r="C63" s="52">
        <f t="shared" si="7"/>
        <v>45827</v>
      </c>
      <c r="D63" s="52"/>
      <c r="E63" s="80">
        <f t="shared" si="4"/>
        <v>0</v>
      </c>
      <c r="F63" s="80"/>
      <c r="G63" s="80">
        <f t="shared" si="5"/>
        <v>3213.71</v>
      </c>
      <c r="H63" s="7"/>
      <c r="I63" s="7">
        <f t="shared" si="8"/>
        <v>3213.71</v>
      </c>
      <c r="J63" s="7"/>
      <c r="K63" s="7"/>
      <c r="L63" s="7"/>
      <c r="M63" s="7">
        <f t="shared" si="9"/>
        <v>69.47</v>
      </c>
    </row>
    <row r="64" spans="1:13" x14ac:dyDescent="0.2">
      <c r="A64" s="45">
        <f t="shared" si="3"/>
        <v>8</v>
      </c>
      <c r="C64" s="52">
        <f t="shared" si="7"/>
        <v>45858</v>
      </c>
      <c r="D64" s="52"/>
      <c r="E64" s="80">
        <f t="shared" si="4"/>
        <v>0</v>
      </c>
      <c r="F64" s="80"/>
      <c r="G64" s="80">
        <f t="shared" si="5"/>
        <v>3213.71</v>
      </c>
      <c r="H64" s="7"/>
      <c r="I64" s="7">
        <f t="shared" si="8"/>
        <v>3213.71</v>
      </c>
      <c r="J64" s="7"/>
      <c r="K64" s="7"/>
      <c r="L64" s="7"/>
      <c r="M64" s="7">
        <f t="shared" si="9"/>
        <v>69.47</v>
      </c>
    </row>
    <row r="65" spans="1:13" x14ac:dyDescent="0.2">
      <c r="A65" s="45">
        <f t="shared" si="3"/>
        <v>9</v>
      </c>
      <c r="C65" s="52">
        <f t="shared" si="7"/>
        <v>45889</v>
      </c>
      <c r="D65" s="52"/>
      <c r="E65" s="80">
        <f t="shared" si="4"/>
        <v>0</v>
      </c>
      <c r="F65" s="80"/>
      <c r="G65" s="80">
        <f t="shared" si="5"/>
        <v>3213.71</v>
      </c>
      <c r="H65" s="7"/>
      <c r="I65" s="7">
        <f t="shared" si="8"/>
        <v>3213.71</v>
      </c>
      <c r="J65" s="7"/>
      <c r="K65" s="7"/>
      <c r="L65" s="7"/>
      <c r="M65" s="7">
        <f>+M64-0.01</f>
        <v>69.459999999999994</v>
      </c>
    </row>
    <row r="66" spans="1:13" x14ac:dyDescent="0.2">
      <c r="A66" s="45">
        <f t="shared" si="3"/>
        <v>10</v>
      </c>
      <c r="C66" s="52">
        <f t="shared" si="7"/>
        <v>45920</v>
      </c>
      <c r="D66" s="52"/>
      <c r="E66" s="80">
        <f t="shared" si="4"/>
        <v>0</v>
      </c>
      <c r="F66" s="80"/>
      <c r="G66" s="80">
        <f t="shared" si="5"/>
        <v>3213.71</v>
      </c>
      <c r="H66" s="7"/>
      <c r="I66" s="7">
        <f t="shared" si="8"/>
        <v>3213.71</v>
      </c>
      <c r="J66" s="7"/>
      <c r="K66" s="7"/>
      <c r="L66" s="7"/>
      <c r="M66" s="7">
        <f t="shared" si="9"/>
        <v>69.459999999999994</v>
      </c>
    </row>
    <row r="67" spans="1:13" x14ac:dyDescent="0.2">
      <c r="A67" s="45">
        <f t="shared" si="3"/>
        <v>11</v>
      </c>
      <c r="C67" s="52">
        <f t="shared" si="7"/>
        <v>45951</v>
      </c>
      <c r="D67" s="52"/>
      <c r="E67" s="80">
        <f t="shared" si="4"/>
        <v>0</v>
      </c>
      <c r="F67" s="80"/>
      <c r="G67" s="80">
        <f t="shared" si="5"/>
        <v>3213.71</v>
      </c>
      <c r="H67" s="7"/>
      <c r="I67" s="7">
        <f t="shared" si="8"/>
        <v>3213.71</v>
      </c>
      <c r="J67" s="7"/>
      <c r="K67" s="7"/>
      <c r="L67" s="7"/>
      <c r="M67" s="7">
        <f t="shared" si="9"/>
        <v>69.459999999999994</v>
      </c>
    </row>
    <row r="68" spans="1:13" x14ac:dyDescent="0.2">
      <c r="A68" s="45">
        <f t="shared" si="3"/>
        <v>12</v>
      </c>
      <c r="C68" s="52">
        <f t="shared" si="7"/>
        <v>45982</v>
      </c>
      <c r="D68" s="52"/>
      <c r="E68" s="80">
        <f t="shared" si="4"/>
        <v>0</v>
      </c>
      <c r="F68" s="80"/>
      <c r="G68" s="80">
        <f t="shared" si="5"/>
        <v>3213.71</v>
      </c>
      <c r="H68" s="7"/>
      <c r="I68" s="7">
        <f t="shared" si="8"/>
        <v>3213.71</v>
      </c>
      <c r="J68" s="7"/>
      <c r="K68" s="7"/>
      <c r="L68" s="7"/>
      <c r="M68" s="7">
        <f t="shared" si="9"/>
        <v>69.459999999999994</v>
      </c>
    </row>
    <row r="69" spans="1:13" x14ac:dyDescent="0.2">
      <c r="A69" s="45">
        <f t="shared" si="3"/>
        <v>13</v>
      </c>
      <c r="C69" s="52">
        <f t="shared" si="7"/>
        <v>46013</v>
      </c>
      <c r="D69" s="52"/>
      <c r="E69" s="114">
        <f t="shared" si="4"/>
        <v>0</v>
      </c>
      <c r="F69" s="80"/>
      <c r="G69" s="114">
        <f t="shared" si="5"/>
        <v>3213.71</v>
      </c>
      <c r="H69" s="7"/>
      <c r="I69" s="115">
        <f t="shared" si="8"/>
        <v>3213.71</v>
      </c>
      <c r="J69" s="7"/>
      <c r="K69" s="7"/>
      <c r="L69" s="7"/>
      <c r="M69" s="115">
        <f t="shared" si="9"/>
        <v>69.459999999999994</v>
      </c>
    </row>
    <row r="70" spans="1:13" x14ac:dyDescent="0.2">
      <c r="A70" s="45">
        <f t="shared" si="3"/>
        <v>14</v>
      </c>
      <c r="C70" s="58" t="s">
        <v>47</v>
      </c>
      <c r="D70" s="58"/>
      <c r="E70" s="110">
        <f>SUM(E57:E69)</f>
        <v>0</v>
      </c>
      <c r="F70" s="110"/>
      <c r="G70" s="110">
        <f>SUM(G57:G69)</f>
        <v>41778.229999999996</v>
      </c>
      <c r="H70" s="110"/>
      <c r="I70" s="110">
        <f>SUM(I57:I69)</f>
        <v>41778.229999999996</v>
      </c>
      <c r="J70" s="110"/>
      <c r="K70" s="110"/>
      <c r="L70" s="110"/>
      <c r="M70" s="110">
        <f>SUM(M57:M69)</f>
        <v>903.06000000000029</v>
      </c>
    </row>
    <row r="71" spans="1:13" x14ac:dyDescent="0.2">
      <c r="A71" s="45">
        <f t="shared" si="3"/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f t="shared" si="3"/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41778.229999999996</v>
      </c>
      <c r="J72" s="110"/>
      <c r="K72" s="112">
        <f>ROUND(G17*K78,2)</f>
        <v>46078.86</v>
      </c>
      <c r="L72" s="110"/>
      <c r="M72" s="112">
        <f>ROUND(+(K72-I72)*M78,2)</f>
        <v>903.13</v>
      </c>
    </row>
    <row r="73" spans="1:13" ht="12" thickTop="1" x14ac:dyDescent="0.2">
      <c r="A73" s="45">
        <f t="shared" si="3"/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f t="shared" si="3"/>
        <v>18</v>
      </c>
      <c r="I74" s="58" t="s">
        <v>159</v>
      </c>
      <c r="M74" s="51" t="s">
        <v>91</v>
      </c>
    </row>
    <row r="75" spans="1:13" x14ac:dyDescent="0.2">
      <c r="A75" s="45">
        <f t="shared" si="3"/>
        <v>19</v>
      </c>
      <c r="K75" s="51" t="s">
        <v>96</v>
      </c>
      <c r="M75" s="51" t="s">
        <v>97</v>
      </c>
    </row>
    <row r="76" spans="1:13" x14ac:dyDescent="0.2">
      <c r="A76" s="45">
        <f t="shared" si="3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3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3"/>
        <v>22</v>
      </c>
      <c r="C78" s="71" t="str">
        <f>E53</f>
        <v>Acct 2.381.00</v>
      </c>
      <c r="D78" s="71"/>
      <c r="E78" s="72">
        <f>'CAPGDS1000001184 Input'!J15</f>
        <v>3.4000000000000002E-2</v>
      </c>
      <c r="F78" s="72"/>
      <c r="G78" s="72">
        <f>E78/13</f>
        <v>2.6153846153846158E-3</v>
      </c>
      <c r="K78" s="81">
        <f>+'CAPGDS1000001253 Input'!L15</f>
        <v>3.7499999999999999E-2</v>
      </c>
      <c r="M78" s="82">
        <f>+'CAPGDS1000001253 Input'!N15</f>
        <v>0.21</v>
      </c>
    </row>
    <row r="79" spans="1:13" x14ac:dyDescent="0.2">
      <c r="A79" s="45">
        <f t="shared" si="3"/>
        <v>23</v>
      </c>
      <c r="H79" s="63"/>
      <c r="I79" s="54"/>
      <c r="K79" s="51" t="s">
        <v>105</v>
      </c>
    </row>
    <row r="80" spans="1:13" x14ac:dyDescent="0.2">
      <c r="A80" s="45">
        <f t="shared" si="3"/>
        <v>24</v>
      </c>
      <c r="H80" s="72"/>
      <c r="I80" s="54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72"/>
      <c r="I82" s="54"/>
    </row>
    <row r="83" spans="1:13" x14ac:dyDescent="0.2">
      <c r="H83" s="72"/>
      <c r="I83" s="54"/>
    </row>
    <row r="84" spans="1:13" x14ac:dyDescent="0.2">
      <c r="H84" s="72"/>
      <c r="I84" s="54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1.7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>2026 ERT Replacements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45" t="s">
        <v>79</v>
      </c>
      <c r="E95" s="48" t="str">
        <f>E13</f>
        <v>Acct 2.381.00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49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f>E56</f>
        <v>0</v>
      </c>
      <c r="F99" s="110"/>
      <c r="G99" s="109">
        <f>G57</f>
        <v>3213.71</v>
      </c>
      <c r="H99" s="110"/>
      <c r="I99" s="110">
        <f t="shared" ref="I99" si="10">G99-E99</f>
        <v>3213.71</v>
      </c>
      <c r="J99" s="110"/>
      <c r="K99" s="111"/>
      <c r="L99" s="110"/>
      <c r="M99" s="6">
        <f>+M57</f>
        <v>69.47</v>
      </c>
    </row>
    <row r="100" spans="1:13" x14ac:dyDescent="0.2">
      <c r="A100" s="45">
        <f t="shared" ref="A100:A128" si="11">1+A99</f>
        <v>2</v>
      </c>
      <c r="C100" s="52">
        <f>C18</f>
        <v>45672</v>
      </c>
      <c r="D100" s="52"/>
      <c r="E100" s="80">
        <f>E57</f>
        <v>0</v>
      </c>
      <c r="F100" s="7"/>
      <c r="G100" s="80">
        <f>G57</f>
        <v>3213.71</v>
      </c>
      <c r="H100" s="7"/>
      <c r="I100" s="80">
        <f t="shared" ref="I100:I111" si="12">G100-E100</f>
        <v>3213.71</v>
      </c>
      <c r="J100" s="7"/>
      <c r="K100" s="7"/>
      <c r="L100" s="7"/>
      <c r="M100" s="80">
        <f>+M57+M99</f>
        <v>138.94</v>
      </c>
    </row>
    <row r="101" spans="1:13" x14ac:dyDescent="0.2">
      <c r="A101" s="45">
        <f t="shared" si="11"/>
        <v>3</v>
      </c>
      <c r="C101" s="52">
        <f t="shared" ref="C101:C111" si="13">C100+31</f>
        <v>45703</v>
      </c>
      <c r="D101" s="52"/>
      <c r="E101" s="7">
        <f t="shared" ref="E101:E111" si="14">E100+E59</f>
        <v>0</v>
      </c>
      <c r="F101" s="7"/>
      <c r="G101" s="7">
        <f t="shared" ref="G101:G111" si="15">G100+G59</f>
        <v>6427.42</v>
      </c>
      <c r="H101" s="7"/>
      <c r="I101" s="7">
        <f t="shared" si="12"/>
        <v>6427.42</v>
      </c>
      <c r="J101" s="7"/>
      <c r="K101" s="7"/>
      <c r="L101" s="7"/>
      <c r="M101" s="7">
        <f t="shared" ref="M101:M111" si="16">+M100+M59</f>
        <v>208.41</v>
      </c>
    </row>
    <row r="102" spans="1:13" x14ac:dyDescent="0.2">
      <c r="A102" s="45">
        <f t="shared" si="11"/>
        <v>4</v>
      </c>
      <c r="C102" s="52">
        <f t="shared" si="13"/>
        <v>45734</v>
      </c>
      <c r="D102" s="52"/>
      <c r="E102" s="7">
        <f t="shared" si="14"/>
        <v>0</v>
      </c>
      <c r="F102" s="7"/>
      <c r="G102" s="7">
        <f t="shared" si="15"/>
        <v>9641.130000000001</v>
      </c>
      <c r="H102" s="7"/>
      <c r="I102" s="7">
        <f t="shared" si="12"/>
        <v>9641.130000000001</v>
      </c>
      <c r="J102" s="7"/>
      <c r="K102" s="7"/>
      <c r="L102" s="7"/>
      <c r="M102" s="7">
        <f t="shared" si="16"/>
        <v>277.88</v>
      </c>
    </row>
    <row r="103" spans="1:13" x14ac:dyDescent="0.2">
      <c r="A103" s="45">
        <f t="shared" si="11"/>
        <v>5</v>
      </c>
      <c r="C103" s="52">
        <f t="shared" si="13"/>
        <v>45765</v>
      </c>
      <c r="D103" s="52"/>
      <c r="E103" s="7">
        <f t="shared" si="14"/>
        <v>0</v>
      </c>
      <c r="F103" s="7"/>
      <c r="G103" s="7">
        <f t="shared" si="15"/>
        <v>12854.84</v>
      </c>
      <c r="H103" s="7"/>
      <c r="I103" s="7">
        <f t="shared" si="12"/>
        <v>12854.84</v>
      </c>
      <c r="J103" s="7"/>
      <c r="K103" s="7"/>
      <c r="L103" s="7"/>
      <c r="M103" s="7">
        <f t="shared" si="16"/>
        <v>347.35</v>
      </c>
    </row>
    <row r="104" spans="1:13" x14ac:dyDescent="0.2">
      <c r="A104" s="45">
        <f t="shared" si="11"/>
        <v>6</v>
      </c>
      <c r="C104" s="52">
        <f t="shared" si="13"/>
        <v>45796</v>
      </c>
      <c r="D104" s="52"/>
      <c r="E104" s="7">
        <f t="shared" si="14"/>
        <v>0</v>
      </c>
      <c r="F104" s="7"/>
      <c r="G104" s="7">
        <f t="shared" si="15"/>
        <v>16068.55</v>
      </c>
      <c r="H104" s="7"/>
      <c r="I104" s="7">
        <f t="shared" si="12"/>
        <v>16068.55</v>
      </c>
      <c r="J104" s="7"/>
      <c r="K104" s="7"/>
      <c r="L104" s="7"/>
      <c r="M104" s="7">
        <f t="shared" si="16"/>
        <v>416.82000000000005</v>
      </c>
    </row>
    <row r="105" spans="1:13" x14ac:dyDescent="0.2">
      <c r="A105" s="45">
        <f t="shared" si="11"/>
        <v>7</v>
      </c>
      <c r="C105" s="52">
        <f t="shared" si="13"/>
        <v>45827</v>
      </c>
      <c r="D105" s="52"/>
      <c r="E105" s="7">
        <f t="shared" si="14"/>
        <v>0</v>
      </c>
      <c r="F105" s="7"/>
      <c r="G105" s="7">
        <f t="shared" si="15"/>
        <v>19282.259999999998</v>
      </c>
      <c r="H105" s="7"/>
      <c r="I105" s="7">
        <f t="shared" si="12"/>
        <v>19282.259999999998</v>
      </c>
      <c r="J105" s="7"/>
      <c r="K105" s="7"/>
      <c r="L105" s="7"/>
      <c r="M105" s="7">
        <f t="shared" si="16"/>
        <v>486.29000000000008</v>
      </c>
    </row>
    <row r="106" spans="1:13" x14ac:dyDescent="0.2">
      <c r="A106" s="45">
        <f t="shared" si="11"/>
        <v>8</v>
      </c>
      <c r="C106" s="52">
        <f t="shared" si="13"/>
        <v>45858</v>
      </c>
      <c r="D106" s="52"/>
      <c r="E106" s="7">
        <f t="shared" si="14"/>
        <v>0</v>
      </c>
      <c r="F106" s="7"/>
      <c r="G106" s="7">
        <f t="shared" si="15"/>
        <v>22495.969999999998</v>
      </c>
      <c r="H106" s="7"/>
      <c r="I106" s="7">
        <f t="shared" si="12"/>
        <v>22495.969999999998</v>
      </c>
      <c r="J106" s="7"/>
      <c r="K106" s="7"/>
      <c r="L106" s="7"/>
      <c r="M106" s="7">
        <f t="shared" si="16"/>
        <v>555.7600000000001</v>
      </c>
    </row>
    <row r="107" spans="1:13" x14ac:dyDescent="0.2">
      <c r="A107" s="45">
        <f t="shared" si="11"/>
        <v>9</v>
      </c>
      <c r="C107" s="52">
        <f t="shared" si="13"/>
        <v>45889</v>
      </c>
      <c r="D107" s="52"/>
      <c r="E107" s="7">
        <f t="shared" si="14"/>
        <v>0</v>
      </c>
      <c r="F107" s="7"/>
      <c r="G107" s="7">
        <f t="shared" si="15"/>
        <v>25709.679999999997</v>
      </c>
      <c r="H107" s="7"/>
      <c r="I107" s="7">
        <f t="shared" si="12"/>
        <v>25709.679999999997</v>
      </c>
      <c r="J107" s="7"/>
      <c r="K107" s="7"/>
      <c r="L107" s="7"/>
      <c r="M107" s="7">
        <f t="shared" si="16"/>
        <v>625.22000000000014</v>
      </c>
    </row>
    <row r="108" spans="1:13" x14ac:dyDescent="0.2">
      <c r="A108" s="45">
        <f t="shared" si="11"/>
        <v>10</v>
      </c>
      <c r="C108" s="52">
        <f t="shared" si="13"/>
        <v>45920</v>
      </c>
      <c r="D108" s="52"/>
      <c r="E108" s="7">
        <f t="shared" si="14"/>
        <v>0</v>
      </c>
      <c r="F108" s="7"/>
      <c r="G108" s="7">
        <f t="shared" si="15"/>
        <v>28923.389999999996</v>
      </c>
      <c r="H108" s="7"/>
      <c r="I108" s="7">
        <f t="shared" si="12"/>
        <v>28923.389999999996</v>
      </c>
      <c r="J108" s="7"/>
      <c r="K108" s="7"/>
      <c r="L108" s="7"/>
      <c r="M108" s="7">
        <f t="shared" si="16"/>
        <v>694.68000000000018</v>
      </c>
    </row>
    <row r="109" spans="1:13" x14ac:dyDescent="0.2">
      <c r="A109" s="45">
        <f t="shared" si="11"/>
        <v>11</v>
      </c>
      <c r="C109" s="52">
        <f t="shared" si="13"/>
        <v>45951</v>
      </c>
      <c r="D109" s="52"/>
      <c r="E109" s="7">
        <f t="shared" si="14"/>
        <v>0</v>
      </c>
      <c r="F109" s="7"/>
      <c r="G109" s="7">
        <f t="shared" si="15"/>
        <v>32137.099999999995</v>
      </c>
      <c r="H109" s="7"/>
      <c r="I109" s="7">
        <f t="shared" si="12"/>
        <v>32137.099999999995</v>
      </c>
      <c r="J109" s="7"/>
      <c r="K109" s="7"/>
      <c r="L109" s="7"/>
      <c r="M109" s="7">
        <f t="shared" si="16"/>
        <v>764.14000000000021</v>
      </c>
    </row>
    <row r="110" spans="1:13" x14ac:dyDescent="0.2">
      <c r="A110" s="45">
        <f t="shared" si="11"/>
        <v>12</v>
      </c>
      <c r="C110" s="52">
        <f t="shared" si="13"/>
        <v>45982</v>
      </c>
      <c r="D110" s="52"/>
      <c r="E110" s="7">
        <f t="shared" si="14"/>
        <v>0</v>
      </c>
      <c r="F110" s="7"/>
      <c r="G110" s="7">
        <f t="shared" si="15"/>
        <v>35350.81</v>
      </c>
      <c r="H110" s="7"/>
      <c r="I110" s="7">
        <f t="shared" si="12"/>
        <v>35350.81</v>
      </c>
      <c r="J110" s="7"/>
      <c r="K110" s="7"/>
      <c r="L110" s="7"/>
      <c r="M110" s="7">
        <f t="shared" si="16"/>
        <v>833.60000000000025</v>
      </c>
    </row>
    <row r="111" spans="1:13" x14ac:dyDescent="0.2">
      <c r="A111" s="45">
        <f t="shared" si="11"/>
        <v>13</v>
      </c>
      <c r="C111" s="52">
        <f t="shared" si="13"/>
        <v>46013</v>
      </c>
      <c r="D111" s="52"/>
      <c r="E111" s="115">
        <f t="shared" si="14"/>
        <v>0</v>
      </c>
      <c r="F111" s="7"/>
      <c r="G111" s="115">
        <f t="shared" si="15"/>
        <v>38564.519999999997</v>
      </c>
      <c r="H111" s="7"/>
      <c r="I111" s="115">
        <f t="shared" si="12"/>
        <v>38564.519999999997</v>
      </c>
      <c r="J111" s="7"/>
      <c r="K111" s="7"/>
      <c r="L111" s="7"/>
      <c r="M111" s="115">
        <f t="shared" si="16"/>
        <v>903.06000000000029</v>
      </c>
    </row>
    <row r="112" spans="1:13" x14ac:dyDescent="0.2">
      <c r="A112" s="45">
        <f t="shared" si="11"/>
        <v>14</v>
      </c>
      <c r="C112" s="58" t="s">
        <v>47</v>
      </c>
      <c r="D112" s="58"/>
      <c r="E112" s="110">
        <f>SUM(E100:E111)</f>
        <v>0</v>
      </c>
      <c r="F112" s="110"/>
      <c r="G112" s="110">
        <f>SUM(G99:G111)</f>
        <v>253883.08999999997</v>
      </c>
      <c r="H112" s="110"/>
      <c r="I112" s="110">
        <f>SUM(I99:I111)</f>
        <v>253883.08999999997</v>
      </c>
      <c r="J112" s="110"/>
      <c r="K112" s="110"/>
      <c r="L112" s="110"/>
      <c r="M112" s="110">
        <f>SUM(M99:M111)</f>
        <v>6321.6200000000017</v>
      </c>
    </row>
    <row r="113" spans="1:13" x14ac:dyDescent="0.2">
      <c r="A113" s="45">
        <f t="shared" si="11"/>
        <v>15</v>
      </c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ht="12" thickBot="1" x14ac:dyDescent="0.25">
      <c r="A114" s="45">
        <f t="shared" si="11"/>
        <v>16</v>
      </c>
      <c r="C114" s="73" t="s">
        <v>139</v>
      </c>
      <c r="D114" s="73"/>
      <c r="E114" s="112">
        <f>ROUND(+E112/12,2)</f>
        <v>0</v>
      </c>
      <c r="F114" s="110"/>
      <c r="G114" s="112">
        <f>ROUND(+G112/13,2)</f>
        <v>19529.47</v>
      </c>
      <c r="H114" s="110"/>
      <c r="I114" s="112">
        <f>ROUND(+I112/13,2)</f>
        <v>19529.47</v>
      </c>
      <c r="J114" s="110"/>
      <c r="K114" s="110"/>
      <c r="L114" s="110"/>
      <c r="M114" s="112">
        <f>ROUND(+M112/13,2)</f>
        <v>486.28</v>
      </c>
    </row>
    <row r="115" spans="1:13" ht="12" thickTop="1" x14ac:dyDescent="0.2">
      <c r="A115" s="45">
        <f t="shared" si="11"/>
        <v>17</v>
      </c>
      <c r="E115" s="113" t="s">
        <v>10</v>
      </c>
      <c r="F115" s="113"/>
      <c r="G115" s="113" t="s">
        <v>10</v>
      </c>
      <c r="H115" s="113"/>
      <c r="I115" s="113" t="s">
        <v>10</v>
      </c>
      <c r="J115" s="110"/>
      <c r="K115" s="110"/>
      <c r="L115" s="110"/>
      <c r="M115" s="110"/>
    </row>
    <row r="116" spans="1:13" x14ac:dyDescent="0.2">
      <c r="A116" s="45">
        <f t="shared" si="11"/>
        <v>18</v>
      </c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 ht="12" thickBot="1" x14ac:dyDescent="0.25">
      <c r="A117" s="45">
        <f t="shared" si="11"/>
        <v>19</v>
      </c>
      <c r="C117" s="58" t="s">
        <v>87</v>
      </c>
      <c r="D117" s="58"/>
      <c r="E117" s="110"/>
      <c r="F117" s="110"/>
      <c r="G117" s="110"/>
      <c r="H117" s="110"/>
      <c r="I117" s="118">
        <f>I114</f>
        <v>19529.47</v>
      </c>
      <c r="J117" s="110"/>
      <c r="K117" s="110"/>
      <c r="L117" s="110"/>
      <c r="M117" s="118">
        <f>+M114</f>
        <v>486.28</v>
      </c>
    </row>
    <row r="118" spans="1:13" ht="12" thickTop="1" x14ac:dyDescent="0.2">
      <c r="A118" s="45">
        <f t="shared" si="11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1"/>
        <v>21</v>
      </c>
      <c r="I119" s="58" t="s">
        <v>161</v>
      </c>
      <c r="M119" s="58" t="s">
        <v>160</v>
      </c>
    </row>
    <row r="120" spans="1:13" x14ac:dyDescent="0.2">
      <c r="A120" s="45">
        <f t="shared" si="11"/>
        <v>22</v>
      </c>
    </row>
    <row r="121" spans="1:13" x14ac:dyDescent="0.2">
      <c r="A121" s="45">
        <f t="shared" si="11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1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1"/>
        <v>25</v>
      </c>
      <c r="C123" s="71" t="str">
        <f>C78</f>
        <v>Acct 2.381.00</v>
      </c>
      <c r="D123" s="71"/>
      <c r="E123" s="75">
        <f>E78</f>
        <v>3.4000000000000002E-2</v>
      </c>
      <c r="F123" s="75"/>
      <c r="G123" s="75">
        <f>G78</f>
        <v>2.6153846153846158E-3</v>
      </c>
    </row>
    <row r="124" spans="1:13" x14ac:dyDescent="0.2">
      <c r="A124" s="45">
        <f t="shared" si="11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1"/>
        <v>27</v>
      </c>
      <c r="H125" s="54"/>
      <c r="I125" s="54"/>
    </row>
    <row r="126" spans="1:13" x14ac:dyDescent="0.2">
      <c r="A126" s="45">
        <f t="shared" si="11"/>
        <v>28</v>
      </c>
    </row>
    <row r="127" spans="1:13" x14ac:dyDescent="0.2">
      <c r="A127" s="45">
        <f t="shared" si="11"/>
        <v>29</v>
      </c>
    </row>
    <row r="128" spans="1:13" x14ac:dyDescent="0.2">
      <c r="A128" s="45">
        <f t="shared" si="11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2" max="16383" man="1"/>
    <brk id="84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E50F-7D13-4341-8383-4AC84FB1EF8A}">
  <dimension ref="A1:L129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.42578125" style="76" customWidth="1"/>
    <col min="2" max="2" width="9.140625" style="76"/>
    <col min="3" max="3" width="0.85546875" style="76" customWidth="1"/>
    <col min="4" max="4" width="14.7109375" style="76" customWidth="1"/>
    <col min="5" max="5" width="5.85546875" style="76" customWidth="1"/>
    <col min="6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  <c r="L2" s="125"/>
    </row>
    <row r="3" spans="1:12" ht="12.75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25"/>
      <c r="L3" s="125"/>
    </row>
    <row r="4" spans="1:12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24.75" customHeight="1" x14ac:dyDescent="0.2">
      <c r="A5" s="142" t="str">
        <f>'CAPGDS1000001253 Input'!A5:J5</f>
        <v>Pro-Forma Adjustment - System Reliability</v>
      </c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3"/>
      <c r="L6" s="143"/>
    </row>
    <row r="7" spans="1:12" ht="12.75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3"/>
      <c r="L7" s="143"/>
    </row>
    <row r="8" spans="1:12" ht="12.75" x14ac:dyDescent="0.2">
      <c r="A8" s="142" t="str">
        <f>'CAPGDS1000001184 Input'!F8</f>
        <v>2026 ERT Replacements</v>
      </c>
      <c r="B8" s="142"/>
      <c r="C8" s="142"/>
      <c r="D8" s="142"/>
      <c r="E8" s="142"/>
      <c r="F8" s="142"/>
      <c r="G8" s="142"/>
      <c r="H8" s="142"/>
      <c r="I8" s="142"/>
      <c r="J8" s="142"/>
      <c r="K8" s="143"/>
      <c r="L8" s="143"/>
    </row>
    <row r="11" spans="1:12" x14ac:dyDescent="0.2">
      <c r="B11" s="77"/>
      <c r="D11" s="78"/>
    </row>
    <row r="12" spans="1:12" x14ac:dyDescent="0.2">
      <c r="B12" s="77"/>
      <c r="D12" s="78"/>
    </row>
    <row r="15" spans="1:12" x14ac:dyDescent="0.2">
      <c r="B15" s="77"/>
      <c r="D15" s="78"/>
    </row>
    <row r="16" spans="1:12" x14ac:dyDescent="0.2">
      <c r="B16" s="77"/>
      <c r="D16" s="78"/>
    </row>
    <row r="17" spans="2:4" x14ac:dyDescent="0.2">
      <c r="B17" s="77"/>
      <c r="D17" s="78"/>
    </row>
    <row r="18" spans="2:4" x14ac:dyDescent="0.2">
      <c r="B18" s="77"/>
      <c r="D18" s="78"/>
    </row>
    <row r="19" spans="2:4" x14ac:dyDescent="0.2">
      <c r="B19" s="77"/>
      <c r="D19" s="78"/>
    </row>
    <row r="20" spans="2:4" x14ac:dyDescent="0.2">
      <c r="B20" s="77"/>
      <c r="D20" s="78"/>
    </row>
    <row r="21" spans="2:4" x14ac:dyDescent="0.2">
      <c r="B21" s="77"/>
      <c r="D21" s="78"/>
    </row>
    <row r="22" spans="2:4" x14ac:dyDescent="0.2">
      <c r="B22" s="77"/>
      <c r="D22" s="78"/>
    </row>
    <row r="23" spans="2:4" x14ac:dyDescent="0.2">
      <c r="B23" s="77"/>
      <c r="D23" s="78"/>
    </row>
    <row r="24" spans="2:4" x14ac:dyDescent="0.2">
      <c r="B24" s="77"/>
      <c r="D24" s="78"/>
    </row>
    <row r="25" spans="2:4" x14ac:dyDescent="0.2">
      <c r="B25" s="77"/>
      <c r="D25" s="78"/>
    </row>
    <row r="26" spans="2:4" x14ac:dyDescent="0.2">
      <c r="B26" s="77"/>
      <c r="D26" s="78"/>
    </row>
    <row r="27" spans="2:4" x14ac:dyDescent="0.2">
      <c r="B27" s="77"/>
      <c r="D27" s="78"/>
    </row>
    <row r="28" spans="2:4" x14ac:dyDescent="0.2">
      <c r="B28" s="77"/>
      <c r="D28" s="78"/>
    </row>
    <row r="29" spans="2:4" x14ac:dyDescent="0.2">
      <c r="B29" s="77"/>
      <c r="D29" s="78"/>
    </row>
    <row r="30" spans="2:4" x14ac:dyDescent="0.2">
      <c r="B30" s="77"/>
      <c r="D30" s="78"/>
    </row>
    <row r="31" spans="2:4" x14ac:dyDescent="0.2">
      <c r="B31" s="77"/>
      <c r="D31" s="78"/>
    </row>
    <row r="32" spans="2:4" x14ac:dyDescent="0.2">
      <c r="B32" s="77"/>
      <c r="D32" s="78"/>
    </row>
    <row r="33" spans="2:4" x14ac:dyDescent="0.2">
      <c r="B33" s="77"/>
      <c r="D33" s="78"/>
    </row>
    <row r="34" spans="2:4" x14ac:dyDescent="0.2">
      <c r="B34" s="77"/>
      <c r="D34" s="78"/>
    </row>
    <row r="35" spans="2:4" x14ac:dyDescent="0.2">
      <c r="B35" s="77"/>
      <c r="D35" s="78"/>
    </row>
    <row r="36" spans="2:4" x14ac:dyDescent="0.2">
      <c r="B36" s="77"/>
      <c r="D36" s="78"/>
    </row>
    <row r="37" spans="2:4" x14ac:dyDescent="0.2">
      <c r="B37" s="77"/>
      <c r="D37" s="78"/>
    </row>
    <row r="38" spans="2:4" x14ac:dyDescent="0.2">
      <c r="B38" s="77"/>
      <c r="D38" s="78"/>
    </row>
    <row r="39" spans="2:4" x14ac:dyDescent="0.2">
      <c r="B39" s="77"/>
      <c r="D39" s="78"/>
    </row>
    <row r="40" spans="2:4" x14ac:dyDescent="0.2">
      <c r="B40" s="77"/>
      <c r="D40" s="78"/>
    </row>
    <row r="41" spans="2:4" x14ac:dyDescent="0.2">
      <c r="B41" s="77"/>
      <c r="D41" s="78"/>
    </row>
    <row r="42" spans="2:4" x14ac:dyDescent="0.2">
      <c r="B42" s="77"/>
      <c r="D42" s="78"/>
    </row>
    <row r="43" spans="2:4" x14ac:dyDescent="0.2">
      <c r="B43" s="77"/>
      <c r="D43" s="78"/>
    </row>
    <row r="44" spans="2:4" x14ac:dyDescent="0.2">
      <c r="B44" s="77"/>
      <c r="D44" s="78"/>
    </row>
    <row r="45" spans="2:4" x14ac:dyDescent="0.2">
      <c r="B45" s="77"/>
      <c r="D45" s="78"/>
    </row>
    <row r="46" spans="2:4" x14ac:dyDescent="0.2">
      <c r="B46" s="77"/>
      <c r="D46" s="78"/>
    </row>
    <row r="47" spans="2:4" x14ac:dyDescent="0.2">
      <c r="B47" s="104"/>
      <c r="D47" s="78"/>
    </row>
    <row r="48" spans="2:4" x14ac:dyDescent="0.2">
      <c r="B48" s="77"/>
      <c r="D48" s="78"/>
    </row>
    <row r="49" spans="1:12" x14ac:dyDescent="0.2">
      <c r="B49" s="77"/>
      <c r="D49" s="78"/>
    </row>
    <row r="50" spans="1:12" x14ac:dyDescent="0.2">
      <c r="B50" s="77"/>
      <c r="D50" s="78"/>
    </row>
    <row r="51" spans="1:12" x14ac:dyDescent="0.2">
      <c r="B51" s="77"/>
      <c r="D51" s="78"/>
    </row>
    <row r="52" spans="1:12" x14ac:dyDescent="0.2">
      <c r="B52" s="77"/>
      <c r="D52" s="78"/>
    </row>
    <row r="53" spans="1:12" x14ac:dyDescent="0.2">
      <c r="B53" s="77"/>
      <c r="D53" s="78"/>
    </row>
    <row r="54" spans="1:12" x14ac:dyDescent="0.2">
      <c r="B54" s="77"/>
      <c r="D54" s="78"/>
    </row>
    <row r="55" spans="1:12" x14ac:dyDescent="0.2">
      <c r="B55" s="77"/>
      <c r="D55" s="78"/>
    </row>
    <row r="56" spans="1:12" x14ac:dyDescent="0.2">
      <c r="B56" s="77"/>
      <c r="D56" s="78"/>
    </row>
    <row r="57" spans="1:12" x14ac:dyDescent="0.2">
      <c r="B57" s="77"/>
      <c r="D57" s="78"/>
    </row>
    <row r="58" spans="1:12" ht="12.75" x14ac:dyDescent="0.2">
      <c r="A58" s="142" t="s">
        <v>0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3"/>
      <c r="L58" s="143"/>
    </row>
    <row r="59" spans="1:12" ht="12.75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3"/>
      <c r="L59" s="143"/>
    </row>
    <row r="60" spans="1:12" ht="12.75" x14ac:dyDescent="0.2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3"/>
      <c r="L60" s="143"/>
    </row>
    <row r="61" spans="1:12" ht="12.75" x14ac:dyDescent="0.2">
      <c r="A61" s="142" t="s">
        <v>136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3"/>
      <c r="L61" s="143"/>
    </row>
    <row r="62" spans="1:12" x14ac:dyDescent="0.2">
      <c r="B62" s="77"/>
      <c r="D62" s="78"/>
    </row>
    <row r="63" spans="1:12" x14ac:dyDescent="0.2">
      <c r="B63" s="77"/>
      <c r="D63" s="78"/>
    </row>
    <row r="64" spans="1:12" x14ac:dyDescent="0.2">
      <c r="B64" s="77"/>
      <c r="D64" s="78"/>
    </row>
    <row r="65" spans="1:12" x14ac:dyDescent="0.2">
      <c r="B65" s="77"/>
      <c r="D65" s="78"/>
    </row>
    <row r="66" spans="1:12" x14ac:dyDescent="0.2">
      <c r="B66" s="77"/>
      <c r="D66" s="78"/>
    </row>
    <row r="67" spans="1:12" x14ac:dyDescent="0.2">
      <c r="B67" s="77"/>
      <c r="D67" s="78"/>
    </row>
    <row r="68" spans="1:12" x14ac:dyDescent="0.2">
      <c r="B68" s="77"/>
      <c r="D68" s="78"/>
    </row>
    <row r="69" spans="1:12" x14ac:dyDescent="0.2">
      <c r="B69" s="77"/>
      <c r="D69" s="78"/>
    </row>
    <row r="70" spans="1:12" x14ac:dyDescent="0.2">
      <c r="B70" s="77"/>
      <c r="D70" s="78"/>
    </row>
    <row r="71" spans="1:12" x14ac:dyDescent="0.2">
      <c r="B71" s="77"/>
      <c r="D71" s="78"/>
    </row>
    <row r="74" spans="1:12" ht="12.75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3"/>
      <c r="L74" s="143"/>
    </row>
    <row r="75" spans="1:12" ht="12.75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3"/>
      <c r="L75" s="143"/>
    </row>
    <row r="76" spans="1:12" ht="12.75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3"/>
      <c r="L76" s="143"/>
    </row>
    <row r="77" spans="1:12" ht="12.75" x14ac:dyDescent="0.2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3"/>
      <c r="L77" s="143"/>
    </row>
    <row r="78" spans="1:12" ht="12.75" x14ac:dyDescent="0.2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3"/>
      <c r="L78" s="143"/>
    </row>
    <row r="79" spans="1:12" ht="12.75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3"/>
      <c r="L79" s="143"/>
    </row>
    <row r="126" spans="1:12" ht="12.75" x14ac:dyDescent="0.2">
      <c r="A126" s="142" t="s">
        <v>0</v>
      </c>
      <c r="B126" s="141"/>
      <c r="C126" s="141"/>
      <c r="D126" s="141"/>
      <c r="E126" s="141"/>
      <c r="F126" s="141"/>
      <c r="G126" s="141"/>
      <c r="H126" s="141"/>
      <c r="I126" s="141"/>
      <c r="J126" s="141"/>
      <c r="K126" s="143"/>
      <c r="L126" s="143"/>
    </row>
    <row r="127" spans="1:12" ht="12.75" x14ac:dyDescent="0.2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3"/>
      <c r="L127" s="143"/>
    </row>
    <row r="128" spans="1:12" ht="12.75" x14ac:dyDescent="0.2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3"/>
      <c r="L128" s="143"/>
    </row>
    <row r="129" spans="1:12" ht="12.75" x14ac:dyDescent="0.2">
      <c r="A129" s="142" t="s">
        <v>136</v>
      </c>
      <c r="B129" s="142"/>
      <c r="C129" s="142"/>
      <c r="D129" s="142"/>
      <c r="E129" s="142"/>
      <c r="F129" s="142"/>
      <c r="G129" s="142"/>
      <c r="H129" s="142"/>
      <c r="I129" s="142"/>
      <c r="J129" s="142"/>
      <c r="K129" s="143"/>
      <c r="L129" s="143"/>
    </row>
  </sheetData>
  <mergeCells count="20">
    <mergeCell ref="A78:L78"/>
    <mergeCell ref="A58:L58"/>
    <mergeCell ref="A59:L59"/>
    <mergeCell ref="A60:L60"/>
    <mergeCell ref="A61:L61"/>
    <mergeCell ref="A8:L8"/>
    <mergeCell ref="A74:L74"/>
    <mergeCell ref="A75:L75"/>
    <mergeCell ref="A76:L76"/>
    <mergeCell ref="A77:L77"/>
    <mergeCell ref="A1:L1"/>
    <mergeCell ref="A4:L4"/>
    <mergeCell ref="A5:L5"/>
    <mergeCell ref="A6:L6"/>
    <mergeCell ref="A7:L7"/>
    <mergeCell ref="A126:L126"/>
    <mergeCell ref="A127:L127"/>
    <mergeCell ref="A128:L128"/>
    <mergeCell ref="A129:L129"/>
    <mergeCell ref="A79:L79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53" max="11" man="1"/>
    <brk id="121" max="11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6646-EE33-4178-9805-152497456A79}">
  <dimension ref="A3:N40"/>
  <sheetViews>
    <sheetView view="pageLayout" zoomScaleNormal="100" workbookViewId="0"/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7109375" style="89" customWidth="1"/>
    <col min="5" max="5" width="0.85546875" style="89" customWidth="1"/>
    <col min="6" max="6" width="10.1406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8" style="89"/>
    <col min="13" max="13" width="1.7109375" style="89" customWidth="1"/>
    <col min="14" max="16384" width="8" style="89"/>
  </cols>
  <sheetData>
    <row r="3" spans="1:14" x14ac:dyDescent="0.2">
      <c r="A3" s="134"/>
      <c r="B3" s="134"/>
      <c r="C3" s="134"/>
      <c r="D3" s="134"/>
      <c r="E3" s="134"/>
      <c r="F3" s="134"/>
      <c r="G3" s="134"/>
      <c r="H3" s="134"/>
      <c r="I3" s="134"/>
      <c r="J3" s="134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4.75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103" t="s">
        <v>140</v>
      </c>
      <c r="E8" s="31"/>
      <c r="F8" s="144" t="s">
        <v>121</v>
      </c>
      <c r="G8" s="145"/>
      <c r="H8" s="145"/>
      <c r="I8" s="145"/>
      <c r="J8" s="145"/>
    </row>
    <row r="9" spans="1:14" x14ac:dyDescent="0.2">
      <c r="B9" s="31" t="s">
        <v>58</v>
      </c>
      <c r="D9" s="93">
        <v>1</v>
      </c>
      <c r="F9" s="31" t="s">
        <v>59</v>
      </c>
      <c r="H9" s="93">
        <v>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69</v>
      </c>
      <c r="H15" s="5">
        <v>1</v>
      </c>
      <c r="J15" s="39">
        <f>1.5/68</f>
        <v>2.2058823529411766E-2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70</v>
      </c>
      <c r="H16" s="5">
        <v>0</v>
      </c>
      <c r="J16" s="39">
        <v>0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7">
        <v>46629</v>
      </c>
    </row>
    <row r="30" spans="1:10" x14ac:dyDescent="0.2">
      <c r="A30" s="33">
        <v>16</v>
      </c>
      <c r="B30" s="31" t="s">
        <v>72</v>
      </c>
      <c r="D30" s="98">
        <v>261635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197</v>
      </c>
    </row>
    <row r="35" spans="2:2" x14ac:dyDescent="0.2">
      <c r="B35" s="41" t="s">
        <v>198</v>
      </c>
    </row>
    <row r="36" spans="2:2" x14ac:dyDescent="0.2">
      <c r="B36" s="41" t="s">
        <v>199</v>
      </c>
    </row>
    <row r="37" spans="2:2" x14ac:dyDescent="0.2">
      <c r="B37" s="41" t="s">
        <v>200</v>
      </c>
    </row>
    <row r="38" spans="2:2" x14ac:dyDescent="0.2">
      <c r="B38" s="41" t="s">
        <v>201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7">
    <mergeCell ref="F8:J8"/>
    <mergeCell ref="A3:J3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FB0B-EA23-4C37-A67A-3176E23AD933}">
  <sheetPr syncVertical="1" syncRef="A1" transitionEvaluation="1" transitionEntry="1"/>
  <dimension ref="A3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 t="s">
        <v>10</v>
      </c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22.5" customHeight="1" x14ac:dyDescent="0.2">
      <c r="A5" s="46" t="str">
        <f>'CAPGDS1000001253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'CAPGDS1000001253 Input'!F8</f>
        <v>SFS - 85th ST I-29 Crossing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'CAPGDS1000001253 Input'!B15</f>
        <v>45641</v>
      </c>
      <c r="D17" s="52"/>
      <c r="E17" s="109">
        <f>'CAPGDS1000001253 Input'!D15*'CAPGDS1000001253 Input'!$D$9*'CAPGDS1000001253 Input'!$H$9</f>
        <v>0</v>
      </c>
      <c r="F17" s="110"/>
      <c r="G17" s="109">
        <f>'CAPGDS1000001253 Input'!D30*'CAPGDS1000001253 Input'!D9*'CAPGDS1000001253 Input'!H9</f>
        <v>261635</v>
      </c>
      <c r="H17" s="110"/>
      <c r="I17" s="109">
        <f t="shared" ref="I17:I29" si="0">G17-E17</f>
        <v>261635</v>
      </c>
    </row>
    <row r="18" spans="1:10" x14ac:dyDescent="0.2">
      <c r="A18" s="45">
        <f t="shared" ref="A18:A40" si="1">1+A17</f>
        <v>2</v>
      </c>
      <c r="C18" s="52">
        <f>'CAPGDS1000001253 Input'!B16</f>
        <v>45672</v>
      </c>
      <c r="D18" s="52"/>
      <c r="E18" s="80">
        <f>'CAPGDS1000001253 Input'!D16*'CAPGDS1000001253 Input'!$D$9*'CAPGDS1000001253 Input'!$H$9</f>
        <v>0</v>
      </c>
      <c r="F18" s="7"/>
      <c r="G18" s="80">
        <f>'CAPGDS1000001253 Input'!D30*'CAPGDS1000001253 Input'!D9*'CAPGDS1000001253 Input'!H9</f>
        <v>261635</v>
      </c>
      <c r="H18" s="7"/>
      <c r="I18" s="80">
        <f t="shared" si="0"/>
        <v>261635</v>
      </c>
    </row>
    <row r="19" spans="1:10" x14ac:dyDescent="0.2">
      <c r="A19" s="45">
        <f t="shared" si="1"/>
        <v>3</v>
      </c>
      <c r="C19" s="52">
        <f>'CAPGDS1000001253 Input'!B17</f>
        <v>45702</v>
      </c>
      <c r="D19" s="52"/>
      <c r="E19" s="80">
        <f>'CAPGDS1000001253 Input'!D17*'CAPGDS1000001253 Input'!$D$9*'CAPGDS1000001253 Input'!$H$9</f>
        <v>0</v>
      </c>
      <c r="F19" s="7"/>
      <c r="G19" s="7">
        <f t="shared" ref="G19:G29" si="2">$G$18</f>
        <v>261635</v>
      </c>
      <c r="H19" s="7"/>
      <c r="I19" s="7">
        <f t="shared" si="0"/>
        <v>261635</v>
      </c>
      <c r="J19" s="54"/>
    </row>
    <row r="20" spans="1:10" x14ac:dyDescent="0.2">
      <c r="A20" s="45">
        <f t="shared" si="1"/>
        <v>4</v>
      </c>
      <c r="C20" s="52">
        <f>'CAPGDS1000001253 Input'!B18</f>
        <v>45732</v>
      </c>
      <c r="D20" s="52"/>
      <c r="E20" s="80">
        <f>'CAPGDS1000001253 Input'!D18*'CAPGDS1000001253 Input'!$D$9*'CAPGDS1000001253 Input'!$H$9</f>
        <v>0</v>
      </c>
      <c r="F20" s="7"/>
      <c r="G20" s="7">
        <f t="shared" si="2"/>
        <v>261635</v>
      </c>
      <c r="H20" s="7"/>
      <c r="I20" s="7">
        <f t="shared" si="0"/>
        <v>261635</v>
      </c>
      <c r="J20" s="54"/>
    </row>
    <row r="21" spans="1:10" x14ac:dyDescent="0.2">
      <c r="A21" s="45">
        <f t="shared" si="1"/>
        <v>5</v>
      </c>
      <c r="C21" s="52">
        <f>'CAPGDS1000001253 Input'!B19</f>
        <v>45762</v>
      </c>
      <c r="D21" s="52"/>
      <c r="E21" s="80">
        <f>'CAPGDS1000001253 Input'!D19*'CAPGDS1000001253 Input'!$D$9*'CAPGDS1000001253 Input'!$H$9</f>
        <v>0</v>
      </c>
      <c r="F21" s="7"/>
      <c r="G21" s="7">
        <f t="shared" si="2"/>
        <v>261635</v>
      </c>
      <c r="H21" s="7"/>
      <c r="I21" s="7">
        <f t="shared" si="0"/>
        <v>261635</v>
      </c>
      <c r="J21" s="54"/>
    </row>
    <row r="22" spans="1:10" x14ac:dyDescent="0.2">
      <c r="A22" s="45">
        <f t="shared" si="1"/>
        <v>6</v>
      </c>
      <c r="C22" s="52">
        <f>'CAPGDS1000001253 Input'!B20</f>
        <v>45792</v>
      </c>
      <c r="D22" s="52"/>
      <c r="E22" s="80">
        <f>'CAPGDS1000001253 Input'!D20*'CAPGDS1000001253 Input'!$D$9*'CAPGDS1000001253 Input'!$H$9</f>
        <v>0</v>
      </c>
      <c r="F22" s="7"/>
      <c r="G22" s="7">
        <f t="shared" si="2"/>
        <v>261635</v>
      </c>
      <c r="H22" s="7"/>
      <c r="I22" s="7">
        <f t="shared" si="0"/>
        <v>261635</v>
      </c>
      <c r="J22" s="54"/>
    </row>
    <row r="23" spans="1:10" x14ac:dyDescent="0.2">
      <c r="A23" s="45">
        <f t="shared" si="1"/>
        <v>7</v>
      </c>
      <c r="C23" s="52">
        <f>'CAPGDS1000001253 Input'!B21</f>
        <v>45822</v>
      </c>
      <c r="D23" s="52"/>
      <c r="E23" s="80">
        <f>'CAPGDS1000001253 Input'!D21*'CAPGDS1000001253 Input'!$D$9*'CAPGDS1000001253 Input'!$H$9</f>
        <v>0</v>
      </c>
      <c r="F23" s="7"/>
      <c r="G23" s="7">
        <f t="shared" si="2"/>
        <v>261635</v>
      </c>
      <c r="H23" s="7"/>
      <c r="I23" s="7">
        <f t="shared" si="0"/>
        <v>261635</v>
      </c>
      <c r="J23" s="54"/>
    </row>
    <row r="24" spans="1:10" x14ac:dyDescent="0.2">
      <c r="A24" s="45">
        <f t="shared" si="1"/>
        <v>8</v>
      </c>
      <c r="C24" s="52">
        <f>'CAPGDS1000001253 Input'!B22</f>
        <v>45852</v>
      </c>
      <c r="D24" s="52"/>
      <c r="E24" s="80">
        <f>'CAPGDS1000001253 Input'!D22*'CAPGDS1000001253 Input'!$D$9*'CAPGDS1000001253 Input'!$H$9</f>
        <v>0</v>
      </c>
      <c r="F24" s="7"/>
      <c r="G24" s="7">
        <f t="shared" si="2"/>
        <v>261635</v>
      </c>
      <c r="H24" s="7"/>
      <c r="I24" s="7">
        <f t="shared" si="0"/>
        <v>261635</v>
      </c>
      <c r="J24" s="54"/>
    </row>
    <row r="25" spans="1:10" x14ac:dyDescent="0.2">
      <c r="A25" s="45">
        <f t="shared" si="1"/>
        <v>9</v>
      </c>
      <c r="C25" s="52">
        <f>'CAPGDS1000001253 Input'!B23</f>
        <v>45882</v>
      </c>
      <c r="D25" s="52"/>
      <c r="E25" s="80">
        <f>'CAPGDS1000001253 Input'!D23*'CAPGDS1000001253 Input'!$D$9*'CAPGDS1000001253 Input'!$H$9</f>
        <v>0</v>
      </c>
      <c r="F25" s="7"/>
      <c r="G25" s="7">
        <f t="shared" si="2"/>
        <v>261635</v>
      </c>
      <c r="H25" s="7"/>
      <c r="I25" s="7">
        <f t="shared" si="0"/>
        <v>261635</v>
      </c>
      <c r="J25" s="54"/>
    </row>
    <row r="26" spans="1:10" x14ac:dyDescent="0.2">
      <c r="A26" s="45">
        <f t="shared" si="1"/>
        <v>10</v>
      </c>
      <c r="C26" s="52">
        <f>'CAPGDS1000001253 Input'!B24</f>
        <v>45912</v>
      </c>
      <c r="D26" s="52"/>
      <c r="E26" s="80">
        <f>'CAPGDS1000001253 Input'!D24*'CAPGDS1000001253 Input'!$D$9*'CAPGDS1000001253 Input'!$H$9</f>
        <v>0</v>
      </c>
      <c r="F26" s="7"/>
      <c r="G26" s="7">
        <f t="shared" si="2"/>
        <v>261635</v>
      </c>
      <c r="H26" s="7"/>
      <c r="I26" s="7">
        <f t="shared" si="0"/>
        <v>261635</v>
      </c>
      <c r="J26" s="54"/>
    </row>
    <row r="27" spans="1:10" x14ac:dyDescent="0.2">
      <c r="A27" s="45">
        <f t="shared" si="1"/>
        <v>11</v>
      </c>
      <c r="C27" s="52">
        <f>'CAPGDS1000001253 Input'!B25</f>
        <v>45942</v>
      </c>
      <c r="D27" s="52"/>
      <c r="E27" s="80">
        <f>'CAPGDS1000001253 Input'!D25*'CAPGDS1000001253 Input'!$D$9*'CAPGDS1000001253 Input'!$H$9</f>
        <v>0</v>
      </c>
      <c r="F27" s="7"/>
      <c r="G27" s="7">
        <f t="shared" si="2"/>
        <v>261635</v>
      </c>
      <c r="H27" s="7"/>
      <c r="I27" s="7">
        <f t="shared" si="0"/>
        <v>261635</v>
      </c>
      <c r="J27" s="54"/>
    </row>
    <row r="28" spans="1:10" x14ac:dyDescent="0.2">
      <c r="A28" s="45">
        <f t="shared" si="1"/>
        <v>12</v>
      </c>
      <c r="C28" s="52">
        <f>'CAPGDS1000001253 Input'!B26</f>
        <v>45972</v>
      </c>
      <c r="D28" s="52"/>
      <c r="E28" s="80">
        <f>'CAPGDS1000001253 Input'!D26*'CAPGDS1000001253 Input'!$D$9*'CAPGDS1000001253 Input'!$H$9</f>
        <v>0</v>
      </c>
      <c r="F28" s="7"/>
      <c r="G28" s="7">
        <f t="shared" si="2"/>
        <v>261635</v>
      </c>
      <c r="H28" s="7"/>
      <c r="I28" s="7">
        <f t="shared" si="0"/>
        <v>261635</v>
      </c>
      <c r="J28" s="54"/>
    </row>
    <row r="29" spans="1:10" x14ac:dyDescent="0.2">
      <c r="A29" s="45">
        <f t="shared" si="1"/>
        <v>13</v>
      </c>
      <c r="C29" s="52">
        <f>'CAPGDS1000001253 Input'!B27</f>
        <v>46002</v>
      </c>
      <c r="D29" s="52"/>
      <c r="E29" s="114">
        <f>'CAPGDS1000001253 Input'!D27*'CAPGDS1000001253 Input'!$D$9*'CAPGDS1000001253 Input'!$H$9</f>
        <v>0</v>
      </c>
      <c r="F29" s="7"/>
      <c r="G29" s="115">
        <f t="shared" si="2"/>
        <v>261635</v>
      </c>
      <c r="H29" s="7"/>
      <c r="I29" s="115">
        <f t="shared" si="0"/>
        <v>261635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3401255</v>
      </c>
      <c r="H30" s="110"/>
      <c r="I30" s="110">
        <f>SUM(I17:I29)</f>
        <v>3401255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261635</v>
      </c>
      <c r="H32" s="110"/>
      <c r="I32" s="112">
        <f>ROUND(+I30/13,2)</f>
        <v>261635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261635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28515625" style="89" customWidth="1"/>
    <col min="5" max="5" width="0.85546875" style="89" customWidth="1"/>
    <col min="6" max="6" width="14.425781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8" style="89"/>
    <col min="13" max="13" width="1.7109375" style="89" customWidth="1"/>
    <col min="14" max="16384" width="8" style="89"/>
  </cols>
  <sheetData>
    <row r="1" spans="1:14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4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4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3.25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83" t="s">
        <v>130</v>
      </c>
      <c r="E8" s="31"/>
      <c r="F8" s="133" t="s">
        <v>131</v>
      </c>
      <c r="G8" s="133"/>
      <c r="H8" s="133"/>
      <c r="I8" s="133"/>
      <c r="J8" s="133"/>
    </row>
    <row r="9" spans="1:14" x14ac:dyDescent="0.2">
      <c r="B9" s="31" t="s">
        <v>58</v>
      </c>
      <c r="D9" s="93">
        <v>1</v>
      </c>
      <c r="F9" s="31" t="s">
        <v>59</v>
      </c>
      <c r="H9" s="93">
        <v>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69</v>
      </c>
      <c r="H15" s="5">
        <v>1</v>
      </c>
      <c r="J15" s="39">
        <f>1.5/68</f>
        <v>2.2058823529411766E-2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70</v>
      </c>
      <c r="H16" s="5">
        <v>0</v>
      </c>
      <c r="J16" s="39">
        <v>0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9">
        <v>46296</v>
      </c>
    </row>
    <row r="30" spans="1:10" x14ac:dyDescent="0.2">
      <c r="A30" s="33">
        <v>16</v>
      </c>
      <c r="B30" s="31" t="s">
        <v>72</v>
      </c>
      <c r="D30" s="98">
        <v>149570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75</v>
      </c>
    </row>
    <row r="35" spans="2:2" x14ac:dyDescent="0.2">
      <c r="B35" s="41" t="s">
        <v>169</v>
      </c>
    </row>
    <row r="36" spans="2:2" x14ac:dyDescent="0.2">
      <c r="B36" s="41" t="s">
        <v>174</v>
      </c>
    </row>
    <row r="37" spans="2:2" x14ac:dyDescent="0.2">
      <c r="B37" s="41" t="s">
        <v>170</v>
      </c>
    </row>
    <row r="38" spans="2:2" x14ac:dyDescent="0.2">
      <c r="B38" s="41" t="s">
        <v>171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7">
    <mergeCell ref="F8:J8"/>
    <mergeCell ref="A1:J1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2BA6-3CF5-4681-95EF-E9D27EDEA12F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1.71093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2.5" customHeight="1" x14ac:dyDescent="0.2">
      <c r="A5" s="139" t="str">
        <f>'CAPGDS1000001253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'CAPGDS1000001253 Input'!F8</f>
        <v>SFS - 85th ST I-29 Crossing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'CAPGDS1000001253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"&amp;'CAPGDS1000001253 Input'!F15</f>
        <v>Acct 2.376.00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'CAPGDS1000001253 TotalWO'!C17</f>
        <v>45641</v>
      </c>
      <c r="D17" s="52"/>
      <c r="E17" s="109">
        <f>'CAPGDS1000001253 TotalWO'!E17*'CAPGDS1000001253 Input'!$H$15</f>
        <v>0</v>
      </c>
      <c r="F17" s="116"/>
      <c r="G17" s="109">
        <f>'CAPGDS1000001253 TotalWO'!G17*'CAPGDS1000001253 Input'!$H$15</f>
        <v>261635</v>
      </c>
      <c r="H17" s="110"/>
      <c r="I17" s="109">
        <f t="shared" ref="I17:I29" si="0">G17-E17</f>
        <v>261635</v>
      </c>
    </row>
    <row r="18" spans="1:12" x14ac:dyDescent="0.2">
      <c r="A18" s="45">
        <f t="shared" ref="A18:A40" si="1">1+A17</f>
        <v>2</v>
      </c>
      <c r="C18" s="52">
        <f>'CAPGDS1000001253 TotalWO'!C18</f>
        <v>45672</v>
      </c>
      <c r="D18" s="52"/>
      <c r="E18" s="80">
        <f>'CAPGDS1000001253 TotalWO'!E18*'CAPGDS1000001253 Input'!$H$15</f>
        <v>0</v>
      </c>
      <c r="F18" s="80"/>
      <c r="G18" s="80">
        <f>'CAPGDS1000001253 TotalWO'!G18*'CAPGDS1000001253 Input'!$H$15</f>
        <v>261635</v>
      </c>
      <c r="H18" s="7"/>
      <c r="I18" s="80">
        <f t="shared" si="0"/>
        <v>261635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'CAPGDS1000001253 TotalWO'!E19*'CAPGDS1000001253 Input'!$H$15</f>
        <v>0</v>
      </c>
      <c r="F19" s="80"/>
      <c r="G19" s="80">
        <f>'CAPGDS1000001253 TotalWO'!G19*'CAPGDS1000001253 Input'!$H$15</f>
        <v>261635</v>
      </c>
      <c r="H19" s="7"/>
      <c r="I19" s="7">
        <f t="shared" si="0"/>
        <v>261635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'CAPGDS1000001253 TotalWO'!E20*'CAPGDS1000001253 Input'!$H$15</f>
        <v>0</v>
      </c>
      <c r="F20" s="80"/>
      <c r="G20" s="80">
        <f>'CAPGDS1000001253 TotalWO'!G20*'CAPGDS1000001253 Input'!$H$15</f>
        <v>261635</v>
      </c>
      <c r="H20" s="7"/>
      <c r="I20" s="7">
        <f t="shared" si="0"/>
        <v>261635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'CAPGDS1000001253 TotalWO'!E21*'CAPGDS1000001253 Input'!$H$15</f>
        <v>0</v>
      </c>
      <c r="F21" s="80"/>
      <c r="G21" s="80">
        <f>'CAPGDS1000001253 TotalWO'!G21*'CAPGDS1000001253 Input'!$H$15</f>
        <v>261635</v>
      </c>
      <c r="H21" s="7"/>
      <c r="I21" s="7">
        <f t="shared" si="0"/>
        <v>261635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'CAPGDS1000001253 TotalWO'!E22*'CAPGDS1000001253 Input'!$H$15</f>
        <v>0</v>
      </c>
      <c r="F22" s="80"/>
      <c r="G22" s="80">
        <f>'CAPGDS1000001253 TotalWO'!G22*'CAPGDS1000001253 Input'!$H$15</f>
        <v>261635</v>
      </c>
      <c r="H22" s="7"/>
      <c r="I22" s="7">
        <f t="shared" si="0"/>
        <v>261635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'CAPGDS1000001253 TotalWO'!E23*'CAPGDS1000001253 Input'!$H$15</f>
        <v>0</v>
      </c>
      <c r="F23" s="80"/>
      <c r="G23" s="80">
        <f>'CAPGDS1000001253 TotalWO'!G23*'CAPGDS1000001253 Input'!$H$15</f>
        <v>261635</v>
      </c>
      <c r="H23" s="7"/>
      <c r="I23" s="7">
        <f t="shared" si="0"/>
        <v>261635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'CAPGDS1000001253 TotalWO'!E24*'CAPGDS1000001253 Input'!$H$15</f>
        <v>0</v>
      </c>
      <c r="F24" s="80"/>
      <c r="G24" s="80">
        <f>'CAPGDS1000001253 TotalWO'!G24*'CAPGDS1000001253 Input'!$H$15</f>
        <v>261635</v>
      </c>
      <c r="H24" s="7"/>
      <c r="I24" s="7">
        <f t="shared" si="0"/>
        <v>261635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'CAPGDS1000001253 TotalWO'!E25*'CAPGDS1000001253 Input'!$H$15</f>
        <v>0</v>
      </c>
      <c r="F25" s="80"/>
      <c r="G25" s="80">
        <f>'CAPGDS1000001253 TotalWO'!G25*'CAPGDS1000001253 Input'!$H$15</f>
        <v>261635</v>
      </c>
      <c r="H25" s="7"/>
      <c r="I25" s="7">
        <f t="shared" si="0"/>
        <v>261635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'CAPGDS1000001253 TotalWO'!E26*'CAPGDS1000001253 Input'!$H$15</f>
        <v>0</v>
      </c>
      <c r="F26" s="80"/>
      <c r="G26" s="80">
        <f>'CAPGDS1000001253 TotalWO'!G26*'CAPGDS1000001253 Input'!$H$15</f>
        <v>261635</v>
      </c>
      <c r="H26" s="7"/>
      <c r="I26" s="7">
        <f t="shared" si="0"/>
        <v>261635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'CAPGDS1000001253 TotalWO'!E27*'CAPGDS1000001253 Input'!$H$15</f>
        <v>0</v>
      </c>
      <c r="F27" s="80"/>
      <c r="G27" s="80">
        <f>'CAPGDS1000001253 TotalWO'!G27*'CAPGDS1000001253 Input'!$H$15</f>
        <v>261635</v>
      </c>
      <c r="H27" s="7"/>
      <c r="I27" s="7">
        <f t="shared" si="0"/>
        <v>261635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'CAPGDS1000001253 TotalWO'!E28*'CAPGDS1000001253 Input'!$H$15</f>
        <v>0</v>
      </c>
      <c r="F28" s="80"/>
      <c r="G28" s="80">
        <f>'CAPGDS1000001253 TotalWO'!G28*'CAPGDS1000001253 Input'!$H$15</f>
        <v>261635</v>
      </c>
      <c r="H28" s="7"/>
      <c r="I28" s="7">
        <f t="shared" si="0"/>
        <v>261635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'CAPGDS1000001253 TotalWO'!E29*'CAPGDS1000001253 Input'!$H$15</f>
        <v>0</v>
      </c>
      <c r="F29" s="80"/>
      <c r="G29" s="114">
        <f>'CAPGDS1000001253 TotalWO'!G29*'CAPGDS1000001253 Input'!$H$15</f>
        <v>261635</v>
      </c>
      <c r="H29" s="7"/>
      <c r="I29" s="115">
        <f t="shared" si="0"/>
        <v>261635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3401255</v>
      </c>
      <c r="H30" s="110"/>
      <c r="I30" s="110">
        <f>SUM(I17:I29)</f>
        <v>3401255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261635</v>
      </c>
      <c r="H32" s="110"/>
      <c r="I32" s="112">
        <f>ROUND(+I30/13,2)</f>
        <v>261635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261635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113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2.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>SFS - 85th ST I-29 Crossing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2.376.00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>ROUND(E17*$G$78,2)</f>
        <v>0</v>
      </c>
      <c r="F57" s="110"/>
      <c r="G57" s="109">
        <f>ROUND(+G18*$G$78,2)</f>
        <v>443.95</v>
      </c>
      <c r="H57" s="110"/>
      <c r="I57" s="110">
        <f>G57-E57</f>
        <v>443.95</v>
      </c>
      <c r="J57" s="110"/>
      <c r="K57" s="111"/>
      <c r="L57" s="110"/>
      <c r="M57" s="6">
        <f>+ROUND(M72/13,2)</f>
        <v>65.260000000000005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80">
        <f t="shared" ref="E58:E69" si="4">ROUND(E17*$G$78,2)</f>
        <v>0</v>
      </c>
      <c r="F58" s="80"/>
      <c r="G58" s="80">
        <f t="shared" ref="G58:G69" si="5">ROUND(+G17*$G$78,2)</f>
        <v>443.95</v>
      </c>
      <c r="H58" s="7"/>
      <c r="I58" s="7">
        <f t="shared" ref="I58" si="6">G58-E58</f>
        <v>443.95</v>
      </c>
      <c r="J58" s="7"/>
      <c r="K58" s="7"/>
      <c r="L58" s="7"/>
      <c r="M58" s="7">
        <f>+M57</f>
        <v>65.260000000000005</v>
      </c>
    </row>
    <row r="59" spans="1:13" x14ac:dyDescent="0.2">
      <c r="A59" s="45">
        <f t="shared" si="3"/>
        <v>3</v>
      </c>
      <c r="C59" s="52">
        <f t="shared" ref="C59:C69" si="7">C58+31</f>
        <v>45703</v>
      </c>
      <c r="D59" s="52"/>
      <c r="E59" s="80">
        <f t="shared" si="4"/>
        <v>0</v>
      </c>
      <c r="F59" s="80"/>
      <c r="G59" s="80">
        <f t="shared" si="5"/>
        <v>443.95</v>
      </c>
      <c r="H59" s="7"/>
      <c r="I59" s="7">
        <f t="shared" ref="I59:I69" si="8">G59-E59</f>
        <v>443.95</v>
      </c>
      <c r="J59" s="7"/>
      <c r="K59" s="7"/>
      <c r="L59" s="7"/>
      <c r="M59" s="7">
        <f>+M57</f>
        <v>65.260000000000005</v>
      </c>
    </row>
    <row r="60" spans="1:13" x14ac:dyDescent="0.2">
      <c r="A60" s="45">
        <f t="shared" si="3"/>
        <v>4</v>
      </c>
      <c r="C60" s="52">
        <f t="shared" si="7"/>
        <v>45734</v>
      </c>
      <c r="D60" s="52"/>
      <c r="E60" s="80">
        <f t="shared" si="4"/>
        <v>0</v>
      </c>
      <c r="F60" s="80"/>
      <c r="G60" s="80">
        <f t="shared" si="5"/>
        <v>443.95</v>
      </c>
      <c r="H60" s="7"/>
      <c r="I60" s="7">
        <f t="shared" si="8"/>
        <v>443.95</v>
      </c>
      <c r="J60" s="7"/>
      <c r="K60" s="7"/>
      <c r="L60" s="7"/>
      <c r="M60" s="7">
        <f t="shared" ref="M60:M69" si="9">+M59</f>
        <v>65.260000000000005</v>
      </c>
    </row>
    <row r="61" spans="1:13" x14ac:dyDescent="0.2">
      <c r="A61" s="45">
        <f t="shared" si="3"/>
        <v>5</v>
      </c>
      <c r="C61" s="52">
        <f t="shared" si="7"/>
        <v>45765</v>
      </c>
      <c r="D61" s="52"/>
      <c r="E61" s="80">
        <f t="shared" si="4"/>
        <v>0</v>
      </c>
      <c r="F61" s="80"/>
      <c r="G61" s="80">
        <f t="shared" si="5"/>
        <v>443.95</v>
      </c>
      <c r="H61" s="7"/>
      <c r="I61" s="7">
        <f t="shared" si="8"/>
        <v>443.95</v>
      </c>
      <c r="J61" s="7"/>
      <c r="K61" s="7"/>
      <c r="L61" s="7"/>
      <c r="M61" s="7">
        <f t="shared" si="9"/>
        <v>65.260000000000005</v>
      </c>
    </row>
    <row r="62" spans="1:13" x14ac:dyDescent="0.2">
      <c r="A62" s="45">
        <f t="shared" si="3"/>
        <v>6</v>
      </c>
      <c r="C62" s="52">
        <f t="shared" si="7"/>
        <v>45796</v>
      </c>
      <c r="D62" s="52"/>
      <c r="E62" s="80">
        <f t="shared" si="4"/>
        <v>0</v>
      </c>
      <c r="F62" s="80"/>
      <c r="G62" s="80">
        <f t="shared" si="5"/>
        <v>443.95</v>
      </c>
      <c r="H62" s="7"/>
      <c r="I62" s="7">
        <f t="shared" si="8"/>
        <v>443.95</v>
      </c>
      <c r="J62" s="7"/>
      <c r="K62" s="7"/>
      <c r="L62" s="7"/>
      <c r="M62" s="7">
        <f t="shared" si="9"/>
        <v>65.260000000000005</v>
      </c>
    </row>
    <row r="63" spans="1:13" x14ac:dyDescent="0.2">
      <c r="A63" s="45">
        <f t="shared" si="3"/>
        <v>7</v>
      </c>
      <c r="C63" s="52">
        <f t="shared" si="7"/>
        <v>45827</v>
      </c>
      <c r="D63" s="52"/>
      <c r="E63" s="80">
        <f t="shared" si="4"/>
        <v>0</v>
      </c>
      <c r="F63" s="80"/>
      <c r="G63" s="80">
        <f t="shared" si="5"/>
        <v>443.95</v>
      </c>
      <c r="H63" s="7"/>
      <c r="I63" s="7">
        <f t="shared" si="8"/>
        <v>443.95</v>
      </c>
      <c r="J63" s="7"/>
      <c r="K63" s="7"/>
      <c r="L63" s="7"/>
      <c r="M63" s="7">
        <f t="shared" si="9"/>
        <v>65.260000000000005</v>
      </c>
    </row>
    <row r="64" spans="1:13" x14ac:dyDescent="0.2">
      <c r="A64" s="45">
        <f t="shared" si="3"/>
        <v>8</v>
      </c>
      <c r="C64" s="52">
        <f t="shared" si="7"/>
        <v>45858</v>
      </c>
      <c r="D64" s="52"/>
      <c r="E64" s="80">
        <f t="shared" si="4"/>
        <v>0</v>
      </c>
      <c r="F64" s="80"/>
      <c r="G64" s="80">
        <f t="shared" si="5"/>
        <v>443.95</v>
      </c>
      <c r="H64" s="7"/>
      <c r="I64" s="7">
        <f t="shared" si="8"/>
        <v>443.95</v>
      </c>
      <c r="J64" s="7"/>
      <c r="K64" s="7"/>
      <c r="L64" s="7"/>
      <c r="M64" s="7">
        <f t="shared" si="9"/>
        <v>65.260000000000005</v>
      </c>
    </row>
    <row r="65" spans="1:13" x14ac:dyDescent="0.2">
      <c r="A65" s="45">
        <f t="shared" si="3"/>
        <v>9</v>
      </c>
      <c r="C65" s="52">
        <f t="shared" si="7"/>
        <v>45889</v>
      </c>
      <c r="D65" s="52"/>
      <c r="E65" s="80">
        <f t="shared" si="4"/>
        <v>0</v>
      </c>
      <c r="F65" s="80"/>
      <c r="G65" s="80">
        <f t="shared" si="5"/>
        <v>443.95</v>
      </c>
      <c r="H65" s="7"/>
      <c r="I65" s="7">
        <f t="shared" si="8"/>
        <v>443.95</v>
      </c>
      <c r="J65" s="7"/>
      <c r="K65" s="7"/>
      <c r="L65" s="7"/>
      <c r="M65" s="7">
        <f>+M64-0.01</f>
        <v>65.25</v>
      </c>
    </row>
    <row r="66" spans="1:13" x14ac:dyDescent="0.2">
      <c r="A66" s="45">
        <f t="shared" si="3"/>
        <v>10</v>
      </c>
      <c r="C66" s="52">
        <f t="shared" si="7"/>
        <v>45920</v>
      </c>
      <c r="D66" s="52"/>
      <c r="E66" s="80">
        <f t="shared" si="4"/>
        <v>0</v>
      </c>
      <c r="F66" s="80"/>
      <c r="G66" s="80">
        <f t="shared" si="5"/>
        <v>443.95</v>
      </c>
      <c r="H66" s="7"/>
      <c r="I66" s="7">
        <f t="shared" si="8"/>
        <v>443.95</v>
      </c>
      <c r="J66" s="7"/>
      <c r="K66" s="7"/>
      <c r="L66" s="7"/>
      <c r="M66" s="7">
        <f t="shared" si="9"/>
        <v>65.25</v>
      </c>
    </row>
    <row r="67" spans="1:13" x14ac:dyDescent="0.2">
      <c r="A67" s="45">
        <f t="shared" si="3"/>
        <v>11</v>
      </c>
      <c r="C67" s="52">
        <f t="shared" si="7"/>
        <v>45951</v>
      </c>
      <c r="D67" s="52"/>
      <c r="E67" s="80">
        <f t="shared" si="4"/>
        <v>0</v>
      </c>
      <c r="F67" s="80"/>
      <c r="G67" s="80">
        <f t="shared" si="5"/>
        <v>443.95</v>
      </c>
      <c r="H67" s="7"/>
      <c r="I67" s="7">
        <f t="shared" si="8"/>
        <v>443.95</v>
      </c>
      <c r="J67" s="7"/>
      <c r="K67" s="7"/>
      <c r="L67" s="7"/>
      <c r="M67" s="7">
        <f t="shared" si="9"/>
        <v>65.25</v>
      </c>
    </row>
    <row r="68" spans="1:13" x14ac:dyDescent="0.2">
      <c r="A68" s="45">
        <f t="shared" si="3"/>
        <v>12</v>
      </c>
      <c r="C68" s="52">
        <f t="shared" si="7"/>
        <v>45982</v>
      </c>
      <c r="D68" s="52"/>
      <c r="E68" s="80">
        <f t="shared" si="4"/>
        <v>0</v>
      </c>
      <c r="F68" s="80"/>
      <c r="G68" s="80">
        <f t="shared" si="5"/>
        <v>443.95</v>
      </c>
      <c r="H68" s="7"/>
      <c r="I68" s="7">
        <f t="shared" si="8"/>
        <v>443.95</v>
      </c>
      <c r="J68" s="7"/>
      <c r="K68" s="7"/>
      <c r="L68" s="7"/>
      <c r="M68" s="7">
        <f t="shared" si="9"/>
        <v>65.25</v>
      </c>
    </row>
    <row r="69" spans="1:13" x14ac:dyDescent="0.2">
      <c r="A69" s="45">
        <f t="shared" si="3"/>
        <v>13</v>
      </c>
      <c r="C69" s="52">
        <f t="shared" si="7"/>
        <v>46013</v>
      </c>
      <c r="D69" s="52"/>
      <c r="E69" s="114">
        <f t="shared" si="4"/>
        <v>0</v>
      </c>
      <c r="F69" s="80"/>
      <c r="G69" s="114">
        <f t="shared" si="5"/>
        <v>443.95</v>
      </c>
      <c r="H69" s="7"/>
      <c r="I69" s="115">
        <f t="shared" si="8"/>
        <v>443.95</v>
      </c>
      <c r="J69" s="7"/>
      <c r="K69" s="7"/>
      <c r="L69" s="7"/>
      <c r="M69" s="115">
        <f t="shared" si="9"/>
        <v>65.25</v>
      </c>
    </row>
    <row r="70" spans="1:13" x14ac:dyDescent="0.2">
      <c r="A70" s="45">
        <f t="shared" si="3"/>
        <v>14</v>
      </c>
      <c r="C70" s="58" t="s">
        <v>47</v>
      </c>
      <c r="D70" s="58"/>
      <c r="E70" s="110">
        <f>SUM(E57:E69)</f>
        <v>0</v>
      </c>
      <c r="F70" s="110"/>
      <c r="G70" s="110">
        <f>SUM(G57:G69)</f>
        <v>5771.3499999999985</v>
      </c>
      <c r="H70" s="110"/>
      <c r="I70" s="110">
        <f>SUM(I57:I69)</f>
        <v>5771.3499999999985</v>
      </c>
      <c r="J70" s="110"/>
      <c r="K70" s="110"/>
      <c r="L70" s="110"/>
      <c r="M70" s="110">
        <f>SUM(M57:M69)</f>
        <v>848.33</v>
      </c>
    </row>
    <row r="71" spans="1:13" x14ac:dyDescent="0.2">
      <c r="A71" s="45">
        <f t="shared" si="3"/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f t="shared" si="3"/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5771.3499999999985</v>
      </c>
      <c r="J72" s="110"/>
      <c r="K72" s="112">
        <f>ROUND(G17*K78,2)</f>
        <v>9811.31</v>
      </c>
      <c r="L72" s="110"/>
      <c r="M72" s="112">
        <f>ROUND(+(K72-I72)*M78,2)</f>
        <v>848.39</v>
      </c>
    </row>
    <row r="73" spans="1:13" ht="12" thickTop="1" x14ac:dyDescent="0.2">
      <c r="A73" s="45">
        <f t="shared" si="3"/>
        <v>17</v>
      </c>
      <c r="E73" s="110"/>
      <c r="F73" s="110"/>
      <c r="G73" s="110"/>
      <c r="H73" s="110"/>
      <c r="I73" s="119" t="s">
        <v>88</v>
      </c>
      <c r="J73" s="110"/>
      <c r="K73" s="110"/>
      <c r="L73" s="110"/>
      <c r="M73" s="110"/>
    </row>
    <row r="74" spans="1:13" x14ac:dyDescent="0.2">
      <c r="A74" s="45">
        <f t="shared" si="3"/>
        <v>18</v>
      </c>
      <c r="I74" s="58" t="s">
        <v>163</v>
      </c>
      <c r="M74" s="51" t="s">
        <v>91</v>
      </c>
    </row>
    <row r="75" spans="1:13" x14ac:dyDescent="0.2">
      <c r="A75" s="45">
        <f t="shared" si="3"/>
        <v>19</v>
      </c>
      <c r="K75" s="51" t="s">
        <v>96</v>
      </c>
      <c r="M75" s="51" t="s">
        <v>97</v>
      </c>
    </row>
    <row r="76" spans="1:13" x14ac:dyDescent="0.2">
      <c r="A76" s="45">
        <f t="shared" si="3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3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3"/>
        <v>22</v>
      </c>
      <c r="C78" s="71" t="str">
        <f>E53</f>
        <v>Acct 2.376.00</v>
      </c>
      <c r="D78" s="71"/>
      <c r="E78" s="72">
        <f>'CAPGDS1000001253 Input'!J15</f>
        <v>2.2058823529411766E-2</v>
      </c>
      <c r="F78" s="72"/>
      <c r="G78" s="72">
        <f>E78/13</f>
        <v>1.6968325791855204E-3</v>
      </c>
      <c r="K78" s="81">
        <f>+'CAPGDS1000001253 Input'!L15</f>
        <v>3.7499999999999999E-2</v>
      </c>
      <c r="M78" s="82">
        <f>+'CAPGDS1000001253 Input'!N15</f>
        <v>0.21</v>
      </c>
    </row>
    <row r="79" spans="1:13" x14ac:dyDescent="0.2">
      <c r="A79" s="45">
        <f t="shared" si="3"/>
        <v>23</v>
      </c>
      <c r="H79" s="63"/>
      <c r="I79" s="54"/>
      <c r="K79" s="51" t="s">
        <v>105</v>
      </c>
    </row>
    <row r="80" spans="1:13" x14ac:dyDescent="0.2">
      <c r="A80" s="45">
        <f t="shared" si="3"/>
        <v>24</v>
      </c>
      <c r="H80" s="72"/>
      <c r="I80" s="54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72"/>
      <c r="I82" s="54"/>
    </row>
    <row r="83" spans="1:13" x14ac:dyDescent="0.2">
      <c r="H83" s="72"/>
      <c r="I83" s="54"/>
    </row>
    <row r="84" spans="1:13" x14ac:dyDescent="0.2">
      <c r="H84" s="72"/>
      <c r="I84" s="54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1.7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>SFS - 85th ST I-29 Crossing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45" t="s">
        <v>79</v>
      </c>
      <c r="E95" s="48" t="str">
        <f>E13</f>
        <v>Acct 2.376.00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49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f>E56</f>
        <v>0</v>
      </c>
      <c r="F99" s="6"/>
      <c r="G99" s="109">
        <f>G57</f>
        <v>443.95</v>
      </c>
      <c r="H99" s="6"/>
      <c r="I99" s="109">
        <f t="shared" ref="I99" si="10">G99-E99</f>
        <v>443.95</v>
      </c>
      <c r="J99" s="6"/>
      <c r="K99" s="6"/>
      <c r="L99" s="6"/>
      <c r="M99" s="109">
        <f>+M57</f>
        <v>65.260000000000005</v>
      </c>
    </row>
    <row r="100" spans="1:13" x14ac:dyDescent="0.2">
      <c r="A100" s="45">
        <f t="shared" ref="A100:A128" si="11">1+A99</f>
        <v>2</v>
      </c>
      <c r="C100" s="52">
        <f>C18</f>
        <v>45672</v>
      </c>
      <c r="D100" s="52"/>
      <c r="E100" s="80">
        <f>E57</f>
        <v>0</v>
      </c>
      <c r="F100" s="120"/>
      <c r="G100" s="80">
        <f>G58+G99</f>
        <v>887.9</v>
      </c>
      <c r="H100" s="120"/>
      <c r="I100" s="80">
        <f t="shared" ref="I100:I111" si="12">G100-E100</f>
        <v>887.9</v>
      </c>
      <c r="J100" s="120"/>
      <c r="K100" s="120"/>
      <c r="L100" s="120"/>
      <c r="M100" s="80">
        <f t="shared" ref="M100:M111" si="13">+M58+M99</f>
        <v>130.52000000000001</v>
      </c>
    </row>
    <row r="101" spans="1:13" x14ac:dyDescent="0.2">
      <c r="A101" s="45">
        <f t="shared" si="11"/>
        <v>3</v>
      </c>
      <c r="C101" s="52">
        <f t="shared" ref="C101:C111" si="14">C100+31</f>
        <v>45703</v>
      </c>
      <c r="D101" s="52"/>
      <c r="E101" s="120">
        <f t="shared" ref="E101:E111" si="15">E100+E59</f>
        <v>0</v>
      </c>
      <c r="F101" s="120"/>
      <c r="G101" s="120">
        <f t="shared" ref="G101:G111" si="16">G100+G59</f>
        <v>1331.85</v>
      </c>
      <c r="H101" s="120"/>
      <c r="I101" s="120">
        <f t="shared" si="12"/>
        <v>1331.85</v>
      </c>
      <c r="J101" s="120"/>
      <c r="K101" s="120"/>
      <c r="L101" s="120"/>
      <c r="M101" s="80">
        <f t="shared" si="13"/>
        <v>195.78000000000003</v>
      </c>
    </row>
    <row r="102" spans="1:13" x14ac:dyDescent="0.2">
      <c r="A102" s="45">
        <f t="shared" si="11"/>
        <v>4</v>
      </c>
      <c r="C102" s="52">
        <f t="shared" si="14"/>
        <v>45734</v>
      </c>
      <c r="D102" s="52"/>
      <c r="E102" s="120">
        <f t="shared" si="15"/>
        <v>0</v>
      </c>
      <c r="F102" s="120"/>
      <c r="G102" s="120">
        <f t="shared" si="16"/>
        <v>1775.8</v>
      </c>
      <c r="H102" s="120"/>
      <c r="I102" s="120">
        <f t="shared" si="12"/>
        <v>1775.8</v>
      </c>
      <c r="J102" s="120"/>
      <c r="K102" s="120"/>
      <c r="L102" s="120"/>
      <c r="M102" s="80">
        <f t="shared" si="13"/>
        <v>261.04000000000002</v>
      </c>
    </row>
    <row r="103" spans="1:13" x14ac:dyDescent="0.2">
      <c r="A103" s="45">
        <f t="shared" si="11"/>
        <v>5</v>
      </c>
      <c r="C103" s="52">
        <f t="shared" si="14"/>
        <v>45765</v>
      </c>
      <c r="D103" s="52"/>
      <c r="E103" s="120">
        <f t="shared" si="15"/>
        <v>0</v>
      </c>
      <c r="F103" s="120"/>
      <c r="G103" s="120">
        <f t="shared" si="16"/>
        <v>2219.75</v>
      </c>
      <c r="H103" s="120"/>
      <c r="I103" s="120">
        <f t="shared" si="12"/>
        <v>2219.75</v>
      </c>
      <c r="J103" s="120"/>
      <c r="K103" s="120"/>
      <c r="L103" s="120"/>
      <c r="M103" s="80">
        <f t="shared" si="13"/>
        <v>326.3</v>
      </c>
    </row>
    <row r="104" spans="1:13" x14ac:dyDescent="0.2">
      <c r="A104" s="45">
        <f t="shared" si="11"/>
        <v>6</v>
      </c>
      <c r="C104" s="52">
        <f t="shared" si="14"/>
        <v>45796</v>
      </c>
      <c r="D104" s="52"/>
      <c r="E104" s="120">
        <f t="shared" si="15"/>
        <v>0</v>
      </c>
      <c r="F104" s="120"/>
      <c r="G104" s="120">
        <f t="shared" si="16"/>
        <v>2663.7</v>
      </c>
      <c r="H104" s="120"/>
      <c r="I104" s="120">
        <f t="shared" si="12"/>
        <v>2663.7</v>
      </c>
      <c r="J104" s="120"/>
      <c r="K104" s="120"/>
      <c r="L104" s="120"/>
      <c r="M104" s="80">
        <f t="shared" si="13"/>
        <v>391.56</v>
      </c>
    </row>
    <row r="105" spans="1:13" x14ac:dyDescent="0.2">
      <c r="A105" s="45">
        <f t="shared" si="11"/>
        <v>7</v>
      </c>
      <c r="C105" s="52">
        <f t="shared" si="14"/>
        <v>45827</v>
      </c>
      <c r="D105" s="52"/>
      <c r="E105" s="120">
        <f t="shared" si="15"/>
        <v>0</v>
      </c>
      <c r="F105" s="120"/>
      <c r="G105" s="120">
        <f t="shared" si="16"/>
        <v>3107.6499999999996</v>
      </c>
      <c r="H105" s="120"/>
      <c r="I105" s="120">
        <f t="shared" si="12"/>
        <v>3107.6499999999996</v>
      </c>
      <c r="J105" s="120"/>
      <c r="K105" s="120"/>
      <c r="L105" s="120"/>
      <c r="M105" s="80">
        <f t="shared" si="13"/>
        <v>456.82</v>
      </c>
    </row>
    <row r="106" spans="1:13" x14ac:dyDescent="0.2">
      <c r="A106" s="45">
        <f t="shared" si="11"/>
        <v>8</v>
      </c>
      <c r="C106" s="52">
        <f t="shared" si="14"/>
        <v>45858</v>
      </c>
      <c r="D106" s="52"/>
      <c r="E106" s="120">
        <f t="shared" si="15"/>
        <v>0</v>
      </c>
      <c r="F106" s="120"/>
      <c r="G106" s="120">
        <f t="shared" si="16"/>
        <v>3551.5999999999995</v>
      </c>
      <c r="H106" s="120"/>
      <c r="I106" s="120">
        <f t="shared" si="12"/>
        <v>3551.5999999999995</v>
      </c>
      <c r="J106" s="120"/>
      <c r="K106" s="120"/>
      <c r="L106" s="120"/>
      <c r="M106" s="80">
        <f t="shared" si="13"/>
        <v>522.08000000000004</v>
      </c>
    </row>
    <row r="107" spans="1:13" x14ac:dyDescent="0.2">
      <c r="A107" s="45">
        <f t="shared" si="11"/>
        <v>9</v>
      </c>
      <c r="C107" s="52">
        <f t="shared" si="14"/>
        <v>45889</v>
      </c>
      <c r="D107" s="52"/>
      <c r="E107" s="120">
        <f t="shared" si="15"/>
        <v>0</v>
      </c>
      <c r="F107" s="120"/>
      <c r="G107" s="120">
        <f t="shared" si="16"/>
        <v>3995.5499999999993</v>
      </c>
      <c r="H107" s="120"/>
      <c r="I107" s="120">
        <f t="shared" si="12"/>
        <v>3995.5499999999993</v>
      </c>
      <c r="J107" s="120"/>
      <c r="K107" s="120"/>
      <c r="L107" s="120"/>
      <c r="M107" s="80">
        <f t="shared" si="13"/>
        <v>587.33000000000004</v>
      </c>
    </row>
    <row r="108" spans="1:13" x14ac:dyDescent="0.2">
      <c r="A108" s="45">
        <f t="shared" si="11"/>
        <v>10</v>
      </c>
      <c r="C108" s="52">
        <f t="shared" si="14"/>
        <v>45920</v>
      </c>
      <c r="D108" s="52"/>
      <c r="E108" s="120">
        <f t="shared" si="15"/>
        <v>0</v>
      </c>
      <c r="F108" s="120"/>
      <c r="G108" s="120">
        <f t="shared" si="16"/>
        <v>4439.4999999999991</v>
      </c>
      <c r="H108" s="120"/>
      <c r="I108" s="120">
        <f t="shared" si="12"/>
        <v>4439.4999999999991</v>
      </c>
      <c r="J108" s="120"/>
      <c r="K108" s="120"/>
      <c r="L108" s="120"/>
      <c r="M108" s="80">
        <f t="shared" si="13"/>
        <v>652.58000000000004</v>
      </c>
    </row>
    <row r="109" spans="1:13" x14ac:dyDescent="0.2">
      <c r="A109" s="45">
        <f t="shared" si="11"/>
        <v>11</v>
      </c>
      <c r="C109" s="52">
        <f t="shared" si="14"/>
        <v>45951</v>
      </c>
      <c r="D109" s="52"/>
      <c r="E109" s="120">
        <f t="shared" si="15"/>
        <v>0</v>
      </c>
      <c r="F109" s="120"/>
      <c r="G109" s="120">
        <f t="shared" si="16"/>
        <v>4883.4499999999989</v>
      </c>
      <c r="H109" s="120"/>
      <c r="I109" s="120">
        <f t="shared" si="12"/>
        <v>4883.4499999999989</v>
      </c>
      <c r="J109" s="120"/>
      <c r="K109" s="120"/>
      <c r="L109" s="120"/>
      <c r="M109" s="80">
        <f t="shared" si="13"/>
        <v>717.83</v>
      </c>
    </row>
    <row r="110" spans="1:13" x14ac:dyDescent="0.2">
      <c r="A110" s="45">
        <f t="shared" si="11"/>
        <v>12</v>
      </c>
      <c r="C110" s="52">
        <f t="shared" si="14"/>
        <v>45982</v>
      </c>
      <c r="D110" s="52"/>
      <c r="E110" s="120">
        <f t="shared" si="15"/>
        <v>0</v>
      </c>
      <c r="F110" s="120"/>
      <c r="G110" s="120">
        <f t="shared" si="16"/>
        <v>5327.3999999999987</v>
      </c>
      <c r="H110" s="120"/>
      <c r="I110" s="120">
        <f t="shared" si="12"/>
        <v>5327.3999999999987</v>
      </c>
      <c r="J110" s="120"/>
      <c r="K110" s="120"/>
      <c r="L110" s="120"/>
      <c r="M110" s="80">
        <f t="shared" si="13"/>
        <v>783.08</v>
      </c>
    </row>
    <row r="111" spans="1:13" x14ac:dyDescent="0.2">
      <c r="A111" s="45">
        <f t="shared" si="11"/>
        <v>13</v>
      </c>
      <c r="C111" s="52">
        <f t="shared" si="14"/>
        <v>46013</v>
      </c>
      <c r="D111" s="52"/>
      <c r="E111" s="121">
        <f t="shared" si="15"/>
        <v>0</v>
      </c>
      <c r="F111" s="120"/>
      <c r="G111" s="121">
        <f t="shared" si="16"/>
        <v>5771.3499999999985</v>
      </c>
      <c r="H111" s="120"/>
      <c r="I111" s="121">
        <f t="shared" si="12"/>
        <v>5771.3499999999985</v>
      </c>
      <c r="J111" s="120"/>
      <c r="K111" s="120"/>
      <c r="L111" s="120"/>
      <c r="M111" s="121">
        <f t="shared" si="13"/>
        <v>848.33</v>
      </c>
    </row>
    <row r="112" spans="1:13" x14ac:dyDescent="0.2">
      <c r="A112" s="45">
        <f t="shared" si="11"/>
        <v>14</v>
      </c>
      <c r="C112" s="58" t="s">
        <v>47</v>
      </c>
      <c r="D112" s="58"/>
      <c r="E112" s="120">
        <f>SUM(E99:E111)</f>
        <v>0</v>
      </c>
      <c r="F112" s="120"/>
      <c r="G112" s="120">
        <f>SUM(G99:G111)</f>
        <v>40399.449999999997</v>
      </c>
      <c r="H112" s="120"/>
      <c r="I112" s="120">
        <f>SUM(I99:I111)</f>
        <v>40399.449999999997</v>
      </c>
      <c r="J112" s="120"/>
      <c r="K112" s="120"/>
      <c r="L112" s="120"/>
      <c r="M112" s="120">
        <f>SUM(M99:M111)</f>
        <v>5938.51</v>
      </c>
    </row>
    <row r="113" spans="1:13" x14ac:dyDescent="0.2">
      <c r="A113" s="45">
        <f t="shared" si="11"/>
        <v>15</v>
      </c>
      <c r="E113" s="120"/>
      <c r="F113" s="120"/>
      <c r="G113" s="120"/>
      <c r="H113" s="120"/>
      <c r="I113" s="120"/>
      <c r="J113" s="120"/>
      <c r="K113" s="120"/>
      <c r="L113" s="120"/>
      <c r="M113" s="120"/>
    </row>
    <row r="114" spans="1:13" ht="12" thickBot="1" x14ac:dyDescent="0.25">
      <c r="A114" s="45">
        <f t="shared" si="11"/>
        <v>16</v>
      </c>
      <c r="C114" s="73" t="s">
        <v>139</v>
      </c>
      <c r="D114" s="73"/>
      <c r="E114" s="123">
        <f>ROUND(+E112/13,2)</f>
        <v>0</v>
      </c>
      <c r="F114" s="6"/>
      <c r="G114" s="123">
        <f>ROUND(+G112/13,2)</f>
        <v>3107.65</v>
      </c>
      <c r="H114" s="6"/>
      <c r="I114" s="123">
        <f>ROUND(+I112/13,2)</f>
        <v>3107.65</v>
      </c>
      <c r="J114" s="6"/>
      <c r="K114" s="6"/>
      <c r="L114" s="6"/>
      <c r="M114" s="123">
        <f>ROUND(+M112/13,2)</f>
        <v>456.81</v>
      </c>
    </row>
    <row r="115" spans="1:13" ht="12" thickTop="1" x14ac:dyDescent="0.2">
      <c r="A115" s="45">
        <f t="shared" si="11"/>
        <v>17</v>
      </c>
      <c r="E115" s="122" t="s">
        <v>10</v>
      </c>
      <c r="F115" s="122"/>
      <c r="G115" s="122" t="s">
        <v>10</v>
      </c>
      <c r="H115" s="122"/>
      <c r="I115" s="122" t="s">
        <v>10</v>
      </c>
      <c r="J115" s="120"/>
      <c r="K115" s="120"/>
      <c r="L115" s="120"/>
      <c r="M115" s="120"/>
    </row>
    <row r="116" spans="1:13" x14ac:dyDescent="0.2">
      <c r="A116" s="45">
        <f t="shared" si="11"/>
        <v>18</v>
      </c>
      <c r="E116" s="120"/>
      <c r="F116" s="120"/>
      <c r="G116" s="120"/>
      <c r="H116" s="120"/>
      <c r="I116" s="120"/>
      <c r="J116" s="120"/>
      <c r="K116" s="120"/>
      <c r="L116" s="120"/>
      <c r="M116" s="120"/>
    </row>
    <row r="117" spans="1:13" ht="12" thickBot="1" x14ac:dyDescent="0.25">
      <c r="A117" s="45">
        <f t="shared" si="11"/>
        <v>19</v>
      </c>
      <c r="C117" s="58" t="s">
        <v>87</v>
      </c>
      <c r="D117" s="58"/>
      <c r="E117" s="120"/>
      <c r="F117" s="120"/>
      <c r="G117" s="120"/>
      <c r="H117" s="120"/>
      <c r="I117" s="124">
        <f>I114</f>
        <v>3107.65</v>
      </c>
      <c r="J117" s="6"/>
      <c r="K117" s="6"/>
      <c r="L117" s="6"/>
      <c r="M117" s="124">
        <f>+M114</f>
        <v>456.81</v>
      </c>
    </row>
    <row r="118" spans="1:13" ht="12" thickTop="1" x14ac:dyDescent="0.2">
      <c r="A118" s="45">
        <f t="shared" si="11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1"/>
        <v>21</v>
      </c>
      <c r="I119" s="58" t="s">
        <v>164</v>
      </c>
      <c r="M119" s="58" t="s">
        <v>165</v>
      </c>
    </row>
    <row r="120" spans="1:13" x14ac:dyDescent="0.2">
      <c r="A120" s="45">
        <f t="shared" si="11"/>
        <v>22</v>
      </c>
    </row>
    <row r="121" spans="1:13" x14ac:dyDescent="0.2">
      <c r="A121" s="45">
        <f t="shared" si="11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1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1"/>
        <v>25</v>
      </c>
      <c r="C123" s="71" t="str">
        <f>C78</f>
        <v>Acct 2.376.00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11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1"/>
        <v>27</v>
      </c>
      <c r="H125" s="54"/>
      <c r="I125" s="54"/>
    </row>
    <row r="126" spans="1:13" x14ac:dyDescent="0.2">
      <c r="A126" s="45">
        <f t="shared" si="11"/>
        <v>28</v>
      </c>
    </row>
    <row r="127" spans="1:13" x14ac:dyDescent="0.2">
      <c r="A127" s="45">
        <f t="shared" si="11"/>
        <v>29</v>
      </c>
    </row>
    <row r="128" spans="1:13" x14ac:dyDescent="0.2">
      <c r="A128" s="45">
        <f t="shared" si="11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2" man="1"/>
    <brk id="82" max="1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796CA-FAB9-41E6-AC3D-1F495BEE9349}">
  <dimension ref="A1:L119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.42578125" style="76" customWidth="1"/>
    <col min="2" max="2" width="9.140625" style="76"/>
    <col min="3" max="3" width="0.85546875" style="76" customWidth="1"/>
    <col min="4" max="4" width="14.7109375" style="76" customWidth="1"/>
    <col min="5" max="5" width="5.85546875" style="76" customWidth="1"/>
    <col min="6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  <c r="L2" s="125"/>
    </row>
    <row r="3" spans="1:12" ht="12.75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25"/>
      <c r="L3" s="125"/>
    </row>
    <row r="4" spans="1:12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24.75" customHeight="1" x14ac:dyDescent="0.2">
      <c r="A5" s="142" t="str">
        <f>'CAPGDS1000001253 Input'!A5:J5</f>
        <v>Pro-Forma Adjustment - System Reliability</v>
      </c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3"/>
      <c r="L6" s="143"/>
    </row>
    <row r="7" spans="1:12" ht="12.75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3"/>
      <c r="L7" s="143"/>
    </row>
    <row r="8" spans="1:12" ht="12.75" x14ac:dyDescent="0.2">
      <c r="A8" s="142" t="str">
        <f>'CAPGDS1000001253 Input'!F8</f>
        <v>SFS - 85th ST I-29 Crossing</v>
      </c>
      <c r="B8" s="142"/>
      <c r="C8" s="142"/>
      <c r="D8" s="142"/>
      <c r="E8" s="142"/>
      <c r="F8" s="142"/>
      <c r="G8" s="142"/>
      <c r="H8" s="142"/>
      <c r="I8" s="142"/>
      <c r="J8" s="142"/>
      <c r="K8" s="143"/>
      <c r="L8" s="143"/>
    </row>
    <row r="11" spans="1:12" x14ac:dyDescent="0.2">
      <c r="B11" s="77"/>
      <c r="D11" s="78"/>
    </row>
    <row r="12" spans="1:12" x14ac:dyDescent="0.2">
      <c r="B12" s="77"/>
      <c r="D12" s="78"/>
    </row>
    <row r="15" spans="1:12" x14ac:dyDescent="0.2">
      <c r="B15" s="77"/>
      <c r="D15" s="78"/>
    </row>
    <row r="16" spans="1:12" x14ac:dyDescent="0.2">
      <c r="B16" s="77"/>
      <c r="D16" s="78"/>
    </row>
    <row r="17" spans="2:4" x14ac:dyDescent="0.2">
      <c r="B17" s="77"/>
      <c r="D17" s="78"/>
    </row>
    <row r="18" spans="2:4" x14ac:dyDescent="0.2">
      <c r="B18" s="77"/>
      <c r="D18" s="78"/>
    </row>
    <row r="19" spans="2:4" x14ac:dyDescent="0.2">
      <c r="B19" s="77"/>
      <c r="D19" s="78"/>
    </row>
    <row r="20" spans="2:4" x14ac:dyDescent="0.2">
      <c r="B20" s="77"/>
      <c r="D20" s="78"/>
    </row>
    <row r="21" spans="2:4" x14ac:dyDescent="0.2">
      <c r="B21" s="77"/>
      <c r="D21" s="78"/>
    </row>
    <row r="22" spans="2:4" x14ac:dyDescent="0.2">
      <c r="B22" s="77"/>
      <c r="D22" s="78"/>
    </row>
    <row r="23" spans="2:4" x14ac:dyDescent="0.2">
      <c r="B23" s="77"/>
      <c r="D23" s="78"/>
    </row>
    <row r="24" spans="2:4" x14ac:dyDescent="0.2">
      <c r="B24" s="77"/>
      <c r="D24" s="78"/>
    </row>
    <row r="25" spans="2:4" x14ac:dyDescent="0.2">
      <c r="B25" s="77"/>
      <c r="D25" s="78"/>
    </row>
    <row r="26" spans="2:4" x14ac:dyDescent="0.2">
      <c r="B26" s="77"/>
      <c r="D26" s="78"/>
    </row>
    <row r="27" spans="2:4" x14ac:dyDescent="0.2">
      <c r="B27" s="77"/>
      <c r="D27" s="78"/>
    </row>
    <row r="28" spans="2:4" x14ac:dyDescent="0.2">
      <c r="B28" s="77"/>
      <c r="D28" s="78"/>
    </row>
    <row r="29" spans="2:4" x14ac:dyDescent="0.2">
      <c r="B29" s="77"/>
      <c r="D29" s="78"/>
    </row>
    <row r="30" spans="2:4" x14ac:dyDescent="0.2">
      <c r="B30" s="77"/>
      <c r="D30" s="78"/>
    </row>
    <row r="31" spans="2:4" x14ac:dyDescent="0.2">
      <c r="B31" s="77"/>
      <c r="D31" s="78"/>
    </row>
    <row r="32" spans="2:4" x14ac:dyDescent="0.2">
      <c r="B32" s="77"/>
      <c r="D32" s="78"/>
    </row>
    <row r="33" spans="2:4" x14ac:dyDescent="0.2">
      <c r="B33" s="77"/>
      <c r="D33" s="78"/>
    </row>
    <row r="34" spans="2:4" x14ac:dyDescent="0.2">
      <c r="B34" s="77"/>
      <c r="D34" s="78"/>
    </row>
    <row r="35" spans="2:4" x14ac:dyDescent="0.2">
      <c r="B35" s="77"/>
      <c r="D35" s="78"/>
    </row>
    <row r="36" spans="2:4" x14ac:dyDescent="0.2">
      <c r="B36" s="77"/>
      <c r="D36" s="78"/>
    </row>
    <row r="37" spans="2:4" x14ac:dyDescent="0.2">
      <c r="B37" s="77"/>
      <c r="D37" s="78"/>
    </row>
    <row r="38" spans="2:4" x14ac:dyDescent="0.2">
      <c r="B38" s="77"/>
      <c r="D38" s="78"/>
    </row>
    <row r="39" spans="2:4" x14ac:dyDescent="0.2">
      <c r="B39" s="77"/>
      <c r="D39" s="78"/>
    </row>
    <row r="40" spans="2:4" x14ac:dyDescent="0.2">
      <c r="B40" s="77"/>
      <c r="D40" s="78"/>
    </row>
    <row r="41" spans="2:4" x14ac:dyDescent="0.2">
      <c r="B41" s="77"/>
      <c r="D41" s="78"/>
    </row>
    <row r="42" spans="2:4" x14ac:dyDescent="0.2">
      <c r="B42" s="77"/>
      <c r="D42" s="78"/>
    </row>
    <row r="43" spans="2:4" x14ac:dyDescent="0.2">
      <c r="B43" s="77"/>
      <c r="D43" s="78"/>
    </row>
    <row r="44" spans="2:4" x14ac:dyDescent="0.2">
      <c r="B44" s="77"/>
      <c r="D44" s="78"/>
    </row>
    <row r="45" spans="2:4" x14ac:dyDescent="0.2">
      <c r="B45" s="77"/>
      <c r="D45" s="78"/>
    </row>
    <row r="46" spans="2:4" x14ac:dyDescent="0.2">
      <c r="B46" s="77"/>
      <c r="D46" s="78"/>
    </row>
    <row r="47" spans="2:4" x14ac:dyDescent="0.2">
      <c r="B47" s="77"/>
      <c r="D47" s="78"/>
    </row>
    <row r="48" spans="2:4" x14ac:dyDescent="0.2">
      <c r="B48" s="77"/>
      <c r="D48" s="78"/>
    </row>
    <row r="49" spans="1:12" x14ac:dyDescent="0.2">
      <c r="B49" s="77"/>
      <c r="D49" s="78"/>
    </row>
    <row r="50" spans="1:12" x14ac:dyDescent="0.2">
      <c r="B50" s="77"/>
      <c r="D50" s="78"/>
    </row>
    <row r="51" spans="1:12" x14ac:dyDescent="0.2">
      <c r="B51" s="77"/>
      <c r="D51" s="78"/>
    </row>
    <row r="52" spans="1:12" x14ac:dyDescent="0.2">
      <c r="B52" s="77"/>
      <c r="D52" s="78"/>
    </row>
    <row r="53" spans="1:12" x14ac:dyDescent="0.2">
      <c r="B53" s="77"/>
      <c r="D53" s="78"/>
    </row>
    <row r="54" spans="1:12" x14ac:dyDescent="0.2">
      <c r="B54" s="77"/>
      <c r="D54" s="78"/>
    </row>
    <row r="55" spans="1:12" x14ac:dyDescent="0.2">
      <c r="B55" s="77"/>
      <c r="D55" s="78"/>
    </row>
    <row r="56" spans="1:12" x14ac:dyDescent="0.2">
      <c r="B56" s="77"/>
      <c r="D56" s="78"/>
    </row>
    <row r="57" spans="1:12" ht="12.75" x14ac:dyDescent="0.2">
      <c r="A57" s="142" t="s">
        <v>0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3"/>
      <c r="L57" s="143"/>
    </row>
    <row r="58" spans="1:12" ht="12.75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3"/>
      <c r="L58" s="143"/>
    </row>
    <row r="59" spans="1:12" ht="12.75" x14ac:dyDescent="0.2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3"/>
      <c r="L59" s="143"/>
    </row>
    <row r="60" spans="1:12" ht="12.75" x14ac:dyDescent="0.2">
      <c r="A60" s="142" t="s">
        <v>121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3"/>
      <c r="L60" s="143"/>
    </row>
    <row r="61" spans="1:12" x14ac:dyDescent="0.2">
      <c r="B61" s="77"/>
      <c r="D61" s="78"/>
    </row>
    <row r="62" spans="1:12" x14ac:dyDescent="0.2">
      <c r="B62" s="77"/>
      <c r="D62" s="78"/>
    </row>
    <row r="63" spans="1:12" x14ac:dyDescent="0.2">
      <c r="B63" s="77"/>
      <c r="D63" s="78"/>
    </row>
    <row r="64" spans="1:12" x14ac:dyDescent="0.2">
      <c r="B64" s="77"/>
      <c r="D64" s="78"/>
    </row>
    <row r="65" spans="1:12" x14ac:dyDescent="0.2">
      <c r="B65" s="77"/>
      <c r="D65" s="78"/>
    </row>
    <row r="66" spans="1:12" x14ac:dyDescent="0.2">
      <c r="B66" s="77"/>
      <c r="D66" s="78"/>
    </row>
    <row r="67" spans="1:12" x14ac:dyDescent="0.2">
      <c r="B67" s="77"/>
      <c r="D67" s="78"/>
    </row>
    <row r="68" spans="1:12" x14ac:dyDescent="0.2">
      <c r="B68" s="77"/>
      <c r="D68" s="78"/>
    </row>
    <row r="69" spans="1:12" x14ac:dyDescent="0.2">
      <c r="B69" s="77"/>
      <c r="D69" s="78"/>
    </row>
    <row r="70" spans="1:12" x14ac:dyDescent="0.2">
      <c r="B70" s="77"/>
      <c r="D70" s="78"/>
    </row>
    <row r="71" spans="1:12" x14ac:dyDescent="0.2">
      <c r="B71" s="77"/>
      <c r="D71" s="78"/>
    </row>
    <row r="74" spans="1:12" ht="12.75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3"/>
      <c r="L74" s="143"/>
    </row>
    <row r="75" spans="1:12" ht="12.75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3"/>
      <c r="L75" s="143"/>
    </row>
    <row r="76" spans="1:12" ht="12.75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3"/>
      <c r="L76" s="143"/>
    </row>
    <row r="77" spans="1:12" ht="12.75" x14ac:dyDescent="0.2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3"/>
      <c r="L77" s="143"/>
    </row>
    <row r="78" spans="1:12" ht="12.75" x14ac:dyDescent="0.2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3"/>
      <c r="L78" s="143"/>
    </row>
    <row r="79" spans="1:12" ht="12.75" x14ac:dyDescent="0.2">
      <c r="A79" s="142"/>
      <c r="B79" s="142"/>
      <c r="C79" s="142"/>
      <c r="D79" s="142"/>
      <c r="E79" s="142"/>
      <c r="F79" s="142"/>
      <c r="G79" s="142"/>
      <c r="H79" s="142"/>
      <c r="I79" s="142"/>
      <c r="J79" s="142"/>
      <c r="K79" s="143"/>
      <c r="L79" s="143"/>
    </row>
    <row r="116" spans="1:12" ht="12.75" x14ac:dyDescent="0.2">
      <c r="A116" s="142" t="s">
        <v>0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3"/>
      <c r="L116" s="143"/>
    </row>
    <row r="117" spans="1:12" ht="12.75" x14ac:dyDescent="0.2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3"/>
      <c r="L117" s="143"/>
    </row>
    <row r="118" spans="1:12" ht="12.75" x14ac:dyDescent="0.2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3"/>
      <c r="L118" s="143"/>
    </row>
    <row r="119" spans="1:12" ht="12.75" x14ac:dyDescent="0.2">
      <c r="A119" s="142" t="s">
        <v>121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3"/>
      <c r="L119" s="143"/>
    </row>
  </sheetData>
  <mergeCells count="20">
    <mergeCell ref="A1:L1"/>
    <mergeCell ref="A4:L4"/>
    <mergeCell ref="A5:L5"/>
    <mergeCell ref="A6:L6"/>
    <mergeCell ref="A7:L7"/>
    <mergeCell ref="A116:L116"/>
    <mergeCell ref="A117:L117"/>
    <mergeCell ref="A118:L118"/>
    <mergeCell ref="A119:L119"/>
    <mergeCell ref="A8:L8"/>
    <mergeCell ref="A74:L74"/>
    <mergeCell ref="A57:L57"/>
    <mergeCell ref="A58:L58"/>
    <mergeCell ref="A59:L59"/>
    <mergeCell ref="A60:L60"/>
    <mergeCell ref="A75:L75"/>
    <mergeCell ref="A76:L76"/>
    <mergeCell ref="A77:L77"/>
    <mergeCell ref="A78:L78"/>
    <mergeCell ref="A79:L79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52" max="11" man="1"/>
    <brk id="111" max="11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944D-B566-44A3-853E-2C1F4AE98AAF}">
  <dimension ref="A1:N40"/>
  <sheetViews>
    <sheetView view="pageLayout" zoomScaleNormal="100" workbookViewId="0">
      <selection activeCell="L19" sqref="L19"/>
    </sheetView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7109375" style="89" customWidth="1"/>
    <col min="5" max="5" width="0.85546875" style="89" customWidth="1"/>
    <col min="6" max="6" width="10.1406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9" style="89" customWidth="1"/>
    <col min="13" max="13" width="1.7109375" style="89" customWidth="1"/>
    <col min="14" max="16384" width="8" style="89"/>
  </cols>
  <sheetData>
    <row r="1" spans="1:14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4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4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4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83" t="s">
        <v>137</v>
      </c>
      <c r="E8" s="31"/>
      <c r="F8" s="31" t="s">
        <v>138</v>
      </c>
      <c r="G8" s="31"/>
      <c r="H8" s="31"/>
      <c r="I8" s="31"/>
      <c r="J8" s="31"/>
      <c r="K8" s="31"/>
    </row>
    <row r="9" spans="1:14" x14ac:dyDescent="0.2">
      <c r="B9" s="31" t="s">
        <v>58</v>
      </c>
      <c r="D9" s="93">
        <v>1</v>
      </c>
      <c r="F9" s="31" t="s">
        <v>59</v>
      </c>
      <c r="H9" s="93">
        <v>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69</v>
      </c>
      <c r="H15" s="5">
        <v>0.99</v>
      </c>
      <c r="J15" s="39">
        <f>1.5/68</f>
        <v>2.2058823529411766E-2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122</v>
      </c>
      <c r="H16" s="5">
        <v>0.01</v>
      </c>
      <c r="J16" s="101">
        <f>1.45/52</f>
        <v>2.7884615384615383E-2</v>
      </c>
      <c r="L16" s="101">
        <v>3.7499999999999999E-2</v>
      </c>
      <c r="N16" s="102">
        <v>0.21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7">
        <v>46721</v>
      </c>
    </row>
    <row r="30" spans="1:10" x14ac:dyDescent="0.2">
      <c r="A30" s="33">
        <v>16</v>
      </c>
      <c r="B30" s="31" t="s">
        <v>72</v>
      </c>
      <c r="D30" s="98">
        <v>2142769.6749999998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202</v>
      </c>
    </row>
    <row r="35" spans="2:2" x14ac:dyDescent="0.2">
      <c r="B35" s="41" t="s">
        <v>203</v>
      </c>
    </row>
    <row r="36" spans="2:2" x14ac:dyDescent="0.2">
      <c r="B36" s="41" t="s">
        <v>204</v>
      </c>
    </row>
    <row r="37" spans="2:2" x14ac:dyDescent="0.2">
      <c r="B37" s="41" t="s">
        <v>205</v>
      </c>
    </row>
    <row r="38" spans="2:2" x14ac:dyDescent="0.2">
      <c r="B38" s="41" t="s">
        <v>206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6">
    <mergeCell ref="A1:J1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BF1C-2D65-4B63-A07A-1918FBED2863}">
  <sheetPr syncVertical="1" syncRef="A1" transitionEvaluation="1" transitionEntry="1"/>
  <dimension ref="A1:J435"/>
  <sheetViews>
    <sheetView view="pageLayout" zoomScaleNormal="100" workbookViewId="0">
      <selection activeCell="L19" sqref="L19"/>
    </sheetView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10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23.25" customHeight="1" x14ac:dyDescent="0.2">
      <c r="A5" s="46" t="str">
        <f>'CAPGDS1000001244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'CAPGDS1000001244 Input'!F8</f>
        <v xml:space="preserve">SFS - 69th St &amp; S Veterans Pkwy - 8"STL Main 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'CAPGDS1000001244 Input'!B15</f>
        <v>45641</v>
      </c>
      <c r="D17" s="52"/>
      <c r="E17" s="109">
        <f>'CAPGDS1000001244 Input'!D15*'CAPGDS1000001244 Input'!$D$9*'CAPGDS1000001244 Input'!$H$9</f>
        <v>0</v>
      </c>
      <c r="F17" s="110"/>
      <c r="G17" s="111">
        <f>'CAPGDS1000001244 Input'!D30*'CAPGDS1000001244 Input'!D9*'CAPGDS1000001244 Input'!H9</f>
        <v>2142769.6749999998</v>
      </c>
      <c r="H17" s="110"/>
      <c r="I17" s="109">
        <f t="shared" ref="I17:I29" si="0">G17-E17</f>
        <v>2142769.6749999998</v>
      </c>
    </row>
    <row r="18" spans="1:10" x14ac:dyDescent="0.2">
      <c r="A18" s="45">
        <f t="shared" ref="A18:A40" si="1">1+A17</f>
        <v>2</v>
      </c>
      <c r="C18" s="52">
        <f>'CAPGDS1000001244 Input'!B16</f>
        <v>45672</v>
      </c>
      <c r="D18" s="52"/>
      <c r="E18" s="80">
        <f>'CAPGDS1000001244 Input'!D16*'CAPGDS1000001244 Input'!$D$9*'CAPGDS1000001244 Input'!$H$9</f>
        <v>0</v>
      </c>
      <c r="F18" s="7"/>
      <c r="G18" s="80">
        <f>'CAPGDS1000001244 Input'!D30*'CAPGDS1000001244 Input'!D9*'CAPGDS1000001244 Input'!H9</f>
        <v>2142769.6749999998</v>
      </c>
      <c r="H18" s="7"/>
      <c r="I18" s="80">
        <f t="shared" si="0"/>
        <v>2142769.6749999998</v>
      </c>
    </row>
    <row r="19" spans="1:10" x14ac:dyDescent="0.2">
      <c r="A19" s="45">
        <f t="shared" si="1"/>
        <v>3</v>
      </c>
      <c r="C19" s="52">
        <f>'CAPGDS1000001244 Input'!B17</f>
        <v>45702</v>
      </c>
      <c r="D19" s="52"/>
      <c r="E19" s="80">
        <f>'CAPGDS1000001244 Input'!D17*'CAPGDS1000001244 Input'!$D$9*'CAPGDS1000001244 Input'!$H$9</f>
        <v>0</v>
      </c>
      <c r="F19" s="7"/>
      <c r="G19" s="7">
        <f t="shared" ref="G19:G29" si="2">$G$18</f>
        <v>2142769.6749999998</v>
      </c>
      <c r="H19" s="7"/>
      <c r="I19" s="7">
        <f t="shared" si="0"/>
        <v>2142769.6749999998</v>
      </c>
      <c r="J19" s="54"/>
    </row>
    <row r="20" spans="1:10" x14ac:dyDescent="0.2">
      <c r="A20" s="45">
        <f t="shared" si="1"/>
        <v>4</v>
      </c>
      <c r="C20" s="52">
        <f>'CAPGDS1000001244 Input'!B18</f>
        <v>45732</v>
      </c>
      <c r="D20" s="52"/>
      <c r="E20" s="80">
        <f>'CAPGDS1000001244 Input'!D18*'CAPGDS1000001244 Input'!$D$9*'CAPGDS1000001244 Input'!$H$9</f>
        <v>0</v>
      </c>
      <c r="F20" s="7"/>
      <c r="G20" s="7">
        <f t="shared" si="2"/>
        <v>2142769.6749999998</v>
      </c>
      <c r="H20" s="7"/>
      <c r="I20" s="7">
        <f t="shared" si="0"/>
        <v>2142769.6749999998</v>
      </c>
      <c r="J20" s="54"/>
    </row>
    <row r="21" spans="1:10" x14ac:dyDescent="0.2">
      <c r="A21" s="45">
        <f t="shared" si="1"/>
        <v>5</v>
      </c>
      <c r="C21" s="52">
        <f>'CAPGDS1000001244 Input'!B19</f>
        <v>45762</v>
      </c>
      <c r="D21" s="52"/>
      <c r="E21" s="80">
        <f>'CAPGDS1000001244 Input'!D19*'CAPGDS1000001244 Input'!$D$9*'CAPGDS1000001244 Input'!$H$9</f>
        <v>0</v>
      </c>
      <c r="F21" s="7"/>
      <c r="G21" s="7">
        <f t="shared" si="2"/>
        <v>2142769.6749999998</v>
      </c>
      <c r="H21" s="7"/>
      <c r="I21" s="7">
        <f t="shared" si="0"/>
        <v>2142769.6749999998</v>
      </c>
      <c r="J21" s="54"/>
    </row>
    <row r="22" spans="1:10" x14ac:dyDescent="0.2">
      <c r="A22" s="45">
        <f t="shared" si="1"/>
        <v>6</v>
      </c>
      <c r="C22" s="52">
        <f>'CAPGDS1000001244 Input'!B20</f>
        <v>45792</v>
      </c>
      <c r="D22" s="52"/>
      <c r="E22" s="80">
        <f>'CAPGDS1000001244 Input'!D20*'CAPGDS1000001244 Input'!$D$9*'CAPGDS1000001244 Input'!$H$9</f>
        <v>0</v>
      </c>
      <c r="F22" s="7"/>
      <c r="G22" s="7">
        <f t="shared" si="2"/>
        <v>2142769.6749999998</v>
      </c>
      <c r="H22" s="7"/>
      <c r="I22" s="7">
        <f t="shared" si="0"/>
        <v>2142769.6749999998</v>
      </c>
      <c r="J22" s="54"/>
    </row>
    <row r="23" spans="1:10" x14ac:dyDescent="0.2">
      <c r="A23" s="45">
        <f t="shared" si="1"/>
        <v>7</v>
      </c>
      <c r="C23" s="52">
        <f>'CAPGDS1000001244 Input'!B21</f>
        <v>45822</v>
      </c>
      <c r="D23" s="52"/>
      <c r="E23" s="80">
        <f>'CAPGDS1000001244 Input'!D21*'CAPGDS1000001244 Input'!$D$9*'CAPGDS1000001244 Input'!$H$9</f>
        <v>0</v>
      </c>
      <c r="F23" s="7"/>
      <c r="G23" s="7">
        <f t="shared" si="2"/>
        <v>2142769.6749999998</v>
      </c>
      <c r="H23" s="7"/>
      <c r="I23" s="7">
        <f t="shared" si="0"/>
        <v>2142769.6749999998</v>
      </c>
      <c r="J23" s="54"/>
    </row>
    <row r="24" spans="1:10" x14ac:dyDescent="0.2">
      <c r="A24" s="45">
        <f t="shared" si="1"/>
        <v>8</v>
      </c>
      <c r="C24" s="52">
        <f>'CAPGDS1000001244 Input'!B22</f>
        <v>45852</v>
      </c>
      <c r="D24" s="52"/>
      <c r="E24" s="80">
        <f>'CAPGDS1000001244 Input'!D22*'CAPGDS1000001244 Input'!$D$9*'CAPGDS1000001244 Input'!$H$9</f>
        <v>0</v>
      </c>
      <c r="F24" s="7"/>
      <c r="G24" s="7">
        <f t="shared" si="2"/>
        <v>2142769.6749999998</v>
      </c>
      <c r="H24" s="7"/>
      <c r="I24" s="7">
        <f t="shared" si="0"/>
        <v>2142769.6749999998</v>
      </c>
      <c r="J24" s="54"/>
    </row>
    <row r="25" spans="1:10" x14ac:dyDescent="0.2">
      <c r="A25" s="45">
        <f t="shared" si="1"/>
        <v>9</v>
      </c>
      <c r="C25" s="52">
        <f>'CAPGDS1000001244 Input'!B23</f>
        <v>45882</v>
      </c>
      <c r="D25" s="52"/>
      <c r="E25" s="80">
        <f>'CAPGDS1000001244 Input'!D23*'CAPGDS1000001244 Input'!$D$9*'CAPGDS1000001244 Input'!$H$9</f>
        <v>0</v>
      </c>
      <c r="F25" s="7"/>
      <c r="G25" s="7">
        <f t="shared" si="2"/>
        <v>2142769.6749999998</v>
      </c>
      <c r="H25" s="7"/>
      <c r="I25" s="7">
        <f t="shared" si="0"/>
        <v>2142769.6749999998</v>
      </c>
      <c r="J25" s="54"/>
    </row>
    <row r="26" spans="1:10" x14ac:dyDescent="0.2">
      <c r="A26" s="45">
        <f t="shared" si="1"/>
        <v>10</v>
      </c>
      <c r="C26" s="52">
        <f>'CAPGDS1000001244 Input'!B24</f>
        <v>45912</v>
      </c>
      <c r="D26" s="52"/>
      <c r="E26" s="80">
        <f>'CAPGDS1000001244 Input'!D24*'CAPGDS1000001244 Input'!$D$9*'CAPGDS1000001244 Input'!$H$9</f>
        <v>0</v>
      </c>
      <c r="F26" s="7"/>
      <c r="G26" s="7">
        <f t="shared" si="2"/>
        <v>2142769.6749999998</v>
      </c>
      <c r="H26" s="7"/>
      <c r="I26" s="7">
        <f t="shared" si="0"/>
        <v>2142769.6749999998</v>
      </c>
      <c r="J26" s="54"/>
    </row>
    <row r="27" spans="1:10" x14ac:dyDescent="0.2">
      <c r="A27" s="45">
        <f t="shared" si="1"/>
        <v>11</v>
      </c>
      <c r="C27" s="52">
        <f>'CAPGDS1000001244 Input'!B25</f>
        <v>45942</v>
      </c>
      <c r="D27" s="52"/>
      <c r="E27" s="80">
        <f>'CAPGDS1000001244 Input'!D25*'CAPGDS1000001244 Input'!$D$9*'CAPGDS1000001244 Input'!$H$9</f>
        <v>0</v>
      </c>
      <c r="F27" s="7"/>
      <c r="G27" s="7">
        <f t="shared" si="2"/>
        <v>2142769.6749999998</v>
      </c>
      <c r="H27" s="7"/>
      <c r="I27" s="7">
        <f t="shared" si="0"/>
        <v>2142769.6749999998</v>
      </c>
      <c r="J27" s="54"/>
    </row>
    <row r="28" spans="1:10" x14ac:dyDescent="0.2">
      <c r="A28" s="45">
        <f t="shared" si="1"/>
        <v>12</v>
      </c>
      <c r="C28" s="52">
        <f>'CAPGDS1000001244 Input'!B26</f>
        <v>45972</v>
      </c>
      <c r="D28" s="52"/>
      <c r="E28" s="80">
        <f>'CAPGDS1000001244 Input'!D26*'CAPGDS1000001244 Input'!$D$9*'CAPGDS1000001244 Input'!$H$9</f>
        <v>0</v>
      </c>
      <c r="F28" s="7"/>
      <c r="G28" s="7">
        <f t="shared" si="2"/>
        <v>2142769.6749999998</v>
      </c>
      <c r="H28" s="7"/>
      <c r="I28" s="7">
        <f t="shared" si="0"/>
        <v>2142769.6749999998</v>
      </c>
      <c r="J28" s="54"/>
    </row>
    <row r="29" spans="1:10" x14ac:dyDescent="0.2">
      <c r="A29" s="45">
        <f t="shared" si="1"/>
        <v>13</v>
      </c>
      <c r="C29" s="52">
        <f>'CAPGDS1000001244 Input'!B27</f>
        <v>46002</v>
      </c>
      <c r="D29" s="52"/>
      <c r="E29" s="114">
        <f>'CAPGDS1000001244 Input'!D27*'CAPGDS1000001244 Input'!$D$9*'CAPGDS1000001244 Input'!$H$9</f>
        <v>0</v>
      </c>
      <c r="F29" s="7"/>
      <c r="G29" s="115">
        <f t="shared" si="2"/>
        <v>2142769.6749999998</v>
      </c>
      <c r="H29" s="7"/>
      <c r="I29" s="115">
        <f t="shared" si="0"/>
        <v>2142769.6749999998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SUM(E17:E29)</f>
        <v>0</v>
      </c>
      <c r="F30" s="110"/>
      <c r="G30" s="110">
        <f>SUM(G17:G29)</f>
        <v>27856005.775000006</v>
      </c>
      <c r="H30" s="110"/>
      <c r="I30" s="110">
        <f>SUM(I17:I29)</f>
        <v>27856005.775000006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ROUND(+E30/13,2)</f>
        <v>0</v>
      </c>
      <c r="F32" s="110"/>
      <c r="G32" s="112">
        <f>ROUND(+G30/13,2)</f>
        <v>2142769.6800000002</v>
      </c>
      <c r="H32" s="110"/>
      <c r="I32" s="112">
        <f>ROUND(+I30/13,2)</f>
        <v>2142769.6800000002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2142769.6800000002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3FC1-A8C7-4F91-9D52-19E3CEC1FCB4}">
  <dimension ref="A1:M128"/>
  <sheetViews>
    <sheetView view="pageLayout" zoomScaleNormal="100" workbookViewId="0">
      <selection activeCell="L19" sqref="L19"/>
    </sheetView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1.71093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2.5" customHeight="1" x14ac:dyDescent="0.2">
      <c r="A5" s="139" t="str">
        <f>'CAPGDS1000001244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'CAPGDS1000001244 Input'!F8</f>
        <v xml:space="preserve">SFS - 69th St &amp; S Veterans Pkwy - 8"STL Main 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'CAPGDS1000001244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"&amp;'CAPGDS1000001244 Input'!F15</f>
        <v>Acct 2.376.00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'CAPGDS1000001244 TotalWO'!C17</f>
        <v>45641</v>
      </c>
      <c r="D17" s="52"/>
      <c r="E17" s="109">
        <f>'CAPGDS1000001244 TotalWO'!E17*'CAPGDS1000001244 Input'!$H$15</f>
        <v>0</v>
      </c>
      <c r="F17" s="116"/>
      <c r="G17" s="111">
        <f>'CAPGDS1000001244 TotalWO'!G18*'CAPGDS1000001244 Input'!$H$15</f>
        <v>2121341.9782499997</v>
      </c>
      <c r="H17" s="110"/>
      <c r="I17" s="111">
        <f t="shared" ref="I17:I29" si="0">G17-E17</f>
        <v>2121341.9782499997</v>
      </c>
    </row>
    <row r="18" spans="1:12" x14ac:dyDescent="0.2">
      <c r="A18" s="45">
        <f t="shared" ref="A18:A40" si="1">1+A17</f>
        <v>2</v>
      </c>
      <c r="C18" s="52">
        <f>'CAPGDS1000001244 TotalWO'!C18</f>
        <v>45672</v>
      </c>
      <c r="D18" s="52"/>
      <c r="E18" s="80">
        <f>'CAPGDS1000001244 TotalWO'!E18*'CAPGDS1000001244 Input'!$H$15</f>
        <v>0</v>
      </c>
      <c r="F18" s="80"/>
      <c r="G18" s="80">
        <f>'CAPGDS1000001244 TotalWO'!G18*'CAPGDS1000001244 Input'!$H$15</f>
        <v>2121341.9782499997</v>
      </c>
      <c r="H18" s="7"/>
      <c r="I18" s="80">
        <f t="shared" si="0"/>
        <v>2121341.9782499997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'CAPGDS1000001244 TotalWO'!E19*'CAPGDS1000001244 Input'!$H$15</f>
        <v>0</v>
      </c>
      <c r="F19" s="80"/>
      <c r="G19" s="80">
        <f>'CAPGDS1000001244 TotalWO'!G19*'CAPGDS1000001244 Input'!$H$15</f>
        <v>2121341.9782499997</v>
      </c>
      <c r="H19" s="7"/>
      <c r="I19" s="7">
        <f t="shared" si="0"/>
        <v>2121341.9782499997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'CAPGDS1000001244 TotalWO'!E20*'CAPGDS1000001244 Input'!$H$15</f>
        <v>0</v>
      </c>
      <c r="F20" s="80"/>
      <c r="G20" s="80">
        <f>'CAPGDS1000001244 TotalWO'!G20*'CAPGDS1000001244 Input'!$H$15</f>
        <v>2121341.9782499997</v>
      </c>
      <c r="H20" s="7"/>
      <c r="I20" s="7">
        <f t="shared" si="0"/>
        <v>2121341.9782499997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'CAPGDS1000001244 TotalWO'!E21*'CAPGDS1000001244 Input'!$H$15</f>
        <v>0</v>
      </c>
      <c r="F21" s="80"/>
      <c r="G21" s="80">
        <f>'CAPGDS1000001244 TotalWO'!G21*'CAPGDS1000001244 Input'!$H$15</f>
        <v>2121341.9782499997</v>
      </c>
      <c r="H21" s="7"/>
      <c r="I21" s="7">
        <f t="shared" si="0"/>
        <v>2121341.9782499997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'CAPGDS1000001244 TotalWO'!E22*'CAPGDS1000001244 Input'!$H$15</f>
        <v>0</v>
      </c>
      <c r="F22" s="80"/>
      <c r="G22" s="80">
        <f>'CAPGDS1000001244 TotalWO'!G22*'CAPGDS1000001244 Input'!$H$15</f>
        <v>2121341.9782499997</v>
      </c>
      <c r="H22" s="7"/>
      <c r="I22" s="7">
        <f t="shared" si="0"/>
        <v>2121341.9782499997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'CAPGDS1000001244 TotalWO'!E23*'CAPGDS1000001244 Input'!$H$15</f>
        <v>0</v>
      </c>
      <c r="F23" s="80"/>
      <c r="G23" s="80">
        <f>'CAPGDS1000001244 TotalWO'!G23*'CAPGDS1000001244 Input'!$H$15</f>
        <v>2121341.9782499997</v>
      </c>
      <c r="H23" s="7"/>
      <c r="I23" s="7">
        <f t="shared" si="0"/>
        <v>2121341.9782499997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'CAPGDS1000001244 TotalWO'!E24*'CAPGDS1000001244 Input'!$H$15</f>
        <v>0</v>
      </c>
      <c r="F24" s="80"/>
      <c r="G24" s="80">
        <f>'CAPGDS1000001244 TotalWO'!G24*'CAPGDS1000001244 Input'!$H$15</f>
        <v>2121341.9782499997</v>
      </c>
      <c r="H24" s="7"/>
      <c r="I24" s="7">
        <f t="shared" si="0"/>
        <v>2121341.9782499997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'CAPGDS1000001244 TotalWO'!E25*'CAPGDS1000001244 Input'!$H$15</f>
        <v>0</v>
      </c>
      <c r="F25" s="80"/>
      <c r="G25" s="80">
        <f>'CAPGDS1000001244 TotalWO'!G25*'CAPGDS1000001244 Input'!$H$15</f>
        <v>2121341.9782499997</v>
      </c>
      <c r="H25" s="7"/>
      <c r="I25" s="7">
        <f t="shared" si="0"/>
        <v>2121341.9782499997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'CAPGDS1000001244 TotalWO'!E26*'CAPGDS1000001244 Input'!$H$15</f>
        <v>0</v>
      </c>
      <c r="F26" s="80"/>
      <c r="G26" s="80">
        <f>'CAPGDS1000001244 TotalWO'!G26*'CAPGDS1000001244 Input'!$H$15</f>
        <v>2121341.9782499997</v>
      </c>
      <c r="H26" s="7"/>
      <c r="I26" s="7">
        <f t="shared" si="0"/>
        <v>2121341.9782499997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'CAPGDS1000001244 TotalWO'!E27*'CAPGDS1000001244 Input'!$H$15</f>
        <v>0</v>
      </c>
      <c r="F27" s="80"/>
      <c r="G27" s="80">
        <f>'CAPGDS1000001244 TotalWO'!G27*'CAPGDS1000001244 Input'!$H$15</f>
        <v>2121341.9782499997</v>
      </c>
      <c r="H27" s="7"/>
      <c r="I27" s="7">
        <f t="shared" si="0"/>
        <v>2121341.9782499997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'CAPGDS1000001244 TotalWO'!E28*'CAPGDS1000001244 Input'!$H$15</f>
        <v>0</v>
      </c>
      <c r="F28" s="80"/>
      <c r="G28" s="80">
        <f>'CAPGDS1000001244 TotalWO'!G28*'CAPGDS1000001244 Input'!$H$15</f>
        <v>2121341.9782499997</v>
      </c>
      <c r="H28" s="7"/>
      <c r="I28" s="7">
        <f t="shared" si="0"/>
        <v>2121341.9782499997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'CAPGDS1000001244 TotalWO'!E29*'CAPGDS1000001244 Input'!$H$15</f>
        <v>0</v>
      </c>
      <c r="F29" s="80"/>
      <c r="G29" s="114">
        <f>'CAPGDS1000001244 TotalWO'!G29*'CAPGDS1000001244 Input'!$H$15</f>
        <v>2121341.9782499997</v>
      </c>
      <c r="H29" s="7"/>
      <c r="I29" s="115">
        <f t="shared" si="0"/>
        <v>2121341.9782499997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27577445.717250004</v>
      </c>
      <c r="H30" s="110"/>
      <c r="I30" s="110">
        <f>SUM(I17:I29)</f>
        <v>27577445.717250004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2121341.98</v>
      </c>
      <c r="H32" s="110"/>
      <c r="I32" s="112">
        <f>ROUND(+I30/13,2)</f>
        <v>2121341.98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2121341.98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114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1.7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 xml:space="preserve">SFS - 69th St &amp; S Veterans Pkwy - 8"STL Main 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2.376.00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>ROUND(E17*$G$78,2)</f>
        <v>0</v>
      </c>
      <c r="F57" s="110"/>
      <c r="G57" s="109">
        <f>ROUND(+G17*$G$78,2)</f>
        <v>3599.56</v>
      </c>
      <c r="H57" s="110"/>
      <c r="I57" s="110">
        <f>G57-E57</f>
        <v>3599.56</v>
      </c>
      <c r="J57" s="110"/>
      <c r="K57" s="111"/>
      <c r="L57" s="110"/>
      <c r="M57" s="6">
        <f>+ROUND(M72/13,2)</f>
        <v>529.14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80">
        <f t="shared" ref="E58:E69" si="4">ROUND(E17*$G$78,2)</f>
        <v>0</v>
      </c>
      <c r="F58" s="80"/>
      <c r="G58" s="80">
        <f t="shared" ref="G58:G69" si="5">ROUND(+G17*$G$78,2)</f>
        <v>3599.56</v>
      </c>
      <c r="H58" s="7"/>
      <c r="I58" s="7">
        <f t="shared" ref="I58" si="6">G58-E58</f>
        <v>3599.56</v>
      </c>
      <c r="J58" s="7"/>
      <c r="K58" s="7"/>
      <c r="L58" s="7"/>
      <c r="M58" s="7">
        <f>+M57</f>
        <v>529.14</v>
      </c>
    </row>
    <row r="59" spans="1:13" x14ac:dyDescent="0.2">
      <c r="A59" s="45">
        <f t="shared" si="3"/>
        <v>3</v>
      </c>
      <c r="C59" s="52">
        <f t="shared" ref="C59:C69" si="7">C58+31</f>
        <v>45703</v>
      </c>
      <c r="D59" s="52"/>
      <c r="E59" s="80">
        <f t="shared" si="4"/>
        <v>0</v>
      </c>
      <c r="F59" s="80"/>
      <c r="G59" s="80">
        <f t="shared" si="5"/>
        <v>3599.56</v>
      </c>
      <c r="H59" s="7"/>
      <c r="I59" s="7">
        <f t="shared" ref="I59:I69" si="8">G59-E59</f>
        <v>3599.56</v>
      </c>
      <c r="J59" s="7"/>
      <c r="K59" s="7"/>
      <c r="L59" s="7"/>
      <c r="M59" s="7">
        <f>+M57</f>
        <v>529.14</v>
      </c>
    </row>
    <row r="60" spans="1:13" x14ac:dyDescent="0.2">
      <c r="A60" s="45">
        <f t="shared" si="3"/>
        <v>4</v>
      </c>
      <c r="C60" s="52">
        <f t="shared" si="7"/>
        <v>45734</v>
      </c>
      <c r="D60" s="52"/>
      <c r="E60" s="80">
        <f t="shared" si="4"/>
        <v>0</v>
      </c>
      <c r="F60" s="80"/>
      <c r="G60" s="80">
        <f t="shared" si="5"/>
        <v>3599.56</v>
      </c>
      <c r="H60" s="7"/>
      <c r="I60" s="7">
        <f t="shared" si="8"/>
        <v>3599.56</v>
      </c>
      <c r="J60" s="7"/>
      <c r="K60" s="7"/>
      <c r="L60" s="7"/>
      <c r="M60" s="7">
        <f t="shared" ref="M60:M69" si="9">+M59</f>
        <v>529.14</v>
      </c>
    </row>
    <row r="61" spans="1:13" x14ac:dyDescent="0.2">
      <c r="A61" s="45">
        <f t="shared" si="3"/>
        <v>5</v>
      </c>
      <c r="C61" s="52">
        <f t="shared" si="7"/>
        <v>45765</v>
      </c>
      <c r="D61" s="52"/>
      <c r="E61" s="80">
        <f t="shared" si="4"/>
        <v>0</v>
      </c>
      <c r="F61" s="80"/>
      <c r="G61" s="80">
        <f t="shared" si="5"/>
        <v>3599.56</v>
      </c>
      <c r="H61" s="7"/>
      <c r="I61" s="7">
        <f t="shared" si="8"/>
        <v>3599.56</v>
      </c>
      <c r="J61" s="7"/>
      <c r="K61" s="7"/>
      <c r="L61" s="7"/>
      <c r="M61" s="7">
        <f t="shared" si="9"/>
        <v>529.14</v>
      </c>
    </row>
    <row r="62" spans="1:13" x14ac:dyDescent="0.2">
      <c r="A62" s="45">
        <f t="shared" si="3"/>
        <v>6</v>
      </c>
      <c r="C62" s="52">
        <f t="shared" si="7"/>
        <v>45796</v>
      </c>
      <c r="D62" s="52"/>
      <c r="E62" s="80">
        <f t="shared" si="4"/>
        <v>0</v>
      </c>
      <c r="F62" s="80"/>
      <c r="G62" s="80">
        <f t="shared" si="5"/>
        <v>3599.56</v>
      </c>
      <c r="H62" s="7"/>
      <c r="I62" s="7">
        <f t="shared" si="8"/>
        <v>3599.56</v>
      </c>
      <c r="J62" s="7"/>
      <c r="K62" s="7"/>
      <c r="L62" s="7"/>
      <c r="M62" s="7">
        <f t="shared" si="9"/>
        <v>529.14</v>
      </c>
    </row>
    <row r="63" spans="1:13" x14ac:dyDescent="0.2">
      <c r="A63" s="45">
        <f t="shared" si="3"/>
        <v>7</v>
      </c>
      <c r="C63" s="52">
        <f t="shared" si="7"/>
        <v>45827</v>
      </c>
      <c r="D63" s="52"/>
      <c r="E63" s="80">
        <f t="shared" si="4"/>
        <v>0</v>
      </c>
      <c r="F63" s="80"/>
      <c r="G63" s="80">
        <f t="shared" si="5"/>
        <v>3599.56</v>
      </c>
      <c r="H63" s="7"/>
      <c r="I63" s="7">
        <f t="shared" si="8"/>
        <v>3599.56</v>
      </c>
      <c r="J63" s="7"/>
      <c r="K63" s="7"/>
      <c r="L63" s="7"/>
      <c r="M63" s="7">
        <f t="shared" si="9"/>
        <v>529.14</v>
      </c>
    </row>
    <row r="64" spans="1:13" x14ac:dyDescent="0.2">
      <c r="A64" s="45">
        <f t="shared" si="3"/>
        <v>8</v>
      </c>
      <c r="C64" s="52">
        <f t="shared" si="7"/>
        <v>45858</v>
      </c>
      <c r="D64" s="52"/>
      <c r="E64" s="80">
        <f t="shared" si="4"/>
        <v>0</v>
      </c>
      <c r="F64" s="80"/>
      <c r="G64" s="80">
        <f t="shared" si="5"/>
        <v>3599.56</v>
      </c>
      <c r="H64" s="7"/>
      <c r="I64" s="7">
        <f t="shared" si="8"/>
        <v>3599.56</v>
      </c>
      <c r="J64" s="7"/>
      <c r="K64" s="7"/>
      <c r="L64" s="7"/>
      <c r="M64" s="7">
        <f t="shared" si="9"/>
        <v>529.14</v>
      </c>
    </row>
    <row r="65" spans="1:13" x14ac:dyDescent="0.2">
      <c r="A65" s="45">
        <f t="shared" si="3"/>
        <v>9</v>
      </c>
      <c r="C65" s="52">
        <f t="shared" si="7"/>
        <v>45889</v>
      </c>
      <c r="D65" s="52"/>
      <c r="E65" s="80">
        <f t="shared" si="4"/>
        <v>0</v>
      </c>
      <c r="F65" s="80"/>
      <c r="G65" s="80">
        <f t="shared" si="5"/>
        <v>3599.56</v>
      </c>
      <c r="H65" s="7"/>
      <c r="I65" s="7">
        <f t="shared" si="8"/>
        <v>3599.56</v>
      </c>
      <c r="J65" s="7"/>
      <c r="K65" s="7"/>
      <c r="L65" s="7"/>
      <c r="M65" s="7">
        <f t="shared" si="9"/>
        <v>529.14</v>
      </c>
    </row>
    <row r="66" spans="1:13" x14ac:dyDescent="0.2">
      <c r="A66" s="45">
        <f t="shared" si="3"/>
        <v>10</v>
      </c>
      <c r="C66" s="52">
        <f t="shared" si="7"/>
        <v>45920</v>
      </c>
      <c r="D66" s="52"/>
      <c r="E66" s="80">
        <f t="shared" si="4"/>
        <v>0</v>
      </c>
      <c r="F66" s="80"/>
      <c r="G66" s="80">
        <f t="shared" si="5"/>
        <v>3599.56</v>
      </c>
      <c r="H66" s="7"/>
      <c r="I66" s="7">
        <f t="shared" si="8"/>
        <v>3599.56</v>
      </c>
      <c r="J66" s="7"/>
      <c r="K66" s="7"/>
      <c r="L66" s="7"/>
      <c r="M66" s="7">
        <f>+M65</f>
        <v>529.14</v>
      </c>
    </row>
    <row r="67" spans="1:13" x14ac:dyDescent="0.2">
      <c r="A67" s="45">
        <f t="shared" si="3"/>
        <v>11</v>
      </c>
      <c r="C67" s="52">
        <f t="shared" si="7"/>
        <v>45951</v>
      </c>
      <c r="D67" s="52"/>
      <c r="E67" s="80">
        <f t="shared" si="4"/>
        <v>0</v>
      </c>
      <c r="F67" s="80"/>
      <c r="G67" s="80">
        <f t="shared" si="5"/>
        <v>3599.56</v>
      </c>
      <c r="H67" s="7"/>
      <c r="I67" s="7">
        <f t="shared" si="8"/>
        <v>3599.56</v>
      </c>
      <c r="J67" s="7"/>
      <c r="K67" s="7"/>
      <c r="L67" s="7"/>
      <c r="M67" s="7">
        <f t="shared" si="9"/>
        <v>529.14</v>
      </c>
    </row>
    <row r="68" spans="1:13" x14ac:dyDescent="0.2">
      <c r="A68" s="45">
        <f t="shared" si="3"/>
        <v>12</v>
      </c>
      <c r="C68" s="52">
        <f t="shared" si="7"/>
        <v>45982</v>
      </c>
      <c r="D68" s="52"/>
      <c r="E68" s="80">
        <f t="shared" si="4"/>
        <v>0</v>
      </c>
      <c r="F68" s="80"/>
      <c r="G68" s="80">
        <f t="shared" si="5"/>
        <v>3599.56</v>
      </c>
      <c r="H68" s="7"/>
      <c r="I68" s="7">
        <f t="shared" si="8"/>
        <v>3599.56</v>
      </c>
      <c r="J68" s="7"/>
      <c r="K68" s="7"/>
      <c r="L68" s="7"/>
      <c r="M68" s="7">
        <f t="shared" si="9"/>
        <v>529.14</v>
      </c>
    </row>
    <row r="69" spans="1:13" x14ac:dyDescent="0.2">
      <c r="A69" s="45">
        <f t="shared" si="3"/>
        <v>13</v>
      </c>
      <c r="C69" s="52">
        <f t="shared" si="7"/>
        <v>46013</v>
      </c>
      <c r="D69" s="52"/>
      <c r="E69" s="114">
        <f t="shared" si="4"/>
        <v>0</v>
      </c>
      <c r="F69" s="80"/>
      <c r="G69" s="114">
        <f t="shared" si="5"/>
        <v>3599.56</v>
      </c>
      <c r="H69" s="7"/>
      <c r="I69" s="115">
        <f t="shared" si="8"/>
        <v>3599.56</v>
      </c>
      <c r="J69" s="7"/>
      <c r="K69" s="7"/>
      <c r="L69" s="7"/>
      <c r="M69" s="115">
        <f t="shared" si="9"/>
        <v>529.14</v>
      </c>
    </row>
    <row r="70" spans="1:13" x14ac:dyDescent="0.2">
      <c r="A70" s="45">
        <f t="shared" si="3"/>
        <v>14</v>
      </c>
      <c r="C70" s="58" t="s">
        <v>47</v>
      </c>
      <c r="D70" s="58"/>
      <c r="E70" s="110">
        <f>SUM(E57:E69)</f>
        <v>0</v>
      </c>
      <c r="F70" s="110"/>
      <c r="G70" s="110">
        <f>SUM(G57:G69)</f>
        <v>46794.28</v>
      </c>
      <c r="H70" s="110"/>
      <c r="I70" s="110">
        <f>SUM(I57:I69)</f>
        <v>46794.28</v>
      </c>
      <c r="J70" s="110"/>
      <c r="K70" s="110"/>
      <c r="L70" s="110"/>
      <c r="M70" s="110">
        <f>SUM(M57:M69)</f>
        <v>6878.8200000000015</v>
      </c>
    </row>
    <row r="71" spans="1:13" x14ac:dyDescent="0.2">
      <c r="A71" s="45">
        <f t="shared" si="3"/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f t="shared" si="3"/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46794.28</v>
      </c>
      <c r="J72" s="110"/>
      <c r="K72" s="112">
        <f>ROUND(G17*K78,2)</f>
        <v>79550.320000000007</v>
      </c>
      <c r="L72" s="110"/>
      <c r="M72" s="112">
        <f>ROUND(+(K72-I72)*M78,2)</f>
        <v>6878.77</v>
      </c>
    </row>
    <row r="73" spans="1:13" ht="12" thickTop="1" x14ac:dyDescent="0.2">
      <c r="A73" s="45">
        <f t="shared" si="3"/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f t="shared" si="3"/>
        <v>18</v>
      </c>
      <c r="I74" s="58" t="s">
        <v>166</v>
      </c>
      <c r="M74" s="51" t="s">
        <v>91</v>
      </c>
    </row>
    <row r="75" spans="1:13" x14ac:dyDescent="0.2">
      <c r="A75" s="45">
        <f t="shared" si="3"/>
        <v>19</v>
      </c>
      <c r="K75" s="51" t="s">
        <v>96</v>
      </c>
      <c r="M75" s="51" t="s">
        <v>97</v>
      </c>
    </row>
    <row r="76" spans="1:13" x14ac:dyDescent="0.2">
      <c r="A76" s="45">
        <f t="shared" si="3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3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3"/>
        <v>22</v>
      </c>
      <c r="C78" s="71" t="str">
        <f>E53</f>
        <v>Acct 2.376.00</v>
      </c>
      <c r="D78" s="71"/>
      <c r="E78" s="72">
        <f>'CAPGDS1000001244 Input'!J15</f>
        <v>2.2058823529411766E-2</v>
      </c>
      <c r="F78" s="72"/>
      <c r="G78" s="72">
        <f>E78/13</f>
        <v>1.6968325791855204E-3</v>
      </c>
      <c r="K78" s="81">
        <f>+'CAPGDS1000001244 Input'!L15</f>
        <v>3.7499999999999999E-2</v>
      </c>
      <c r="M78" s="82">
        <f>+'CAPGDS1000001244 Input'!N15</f>
        <v>0.21</v>
      </c>
    </row>
    <row r="79" spans="1:13" x14ac:dyDescent="0.2">
      <c r="A79" s="45">
        <f t="shared" si="3"/>
        <v>23</v>
      </c>
      <c r="H79" s="63"/>
      <c r="I79" s="54"/>
      <c r="K79" s="51" t="s">
        <v>105</v>
      </c>
    </row>
    <row r="80" spans="1:13" x14ac:dyDescent="0.2">
      <c r="A80" s="45">
        <f t="shared" si="3"/>
        <v>24</v>
      </c>
      <c r="H80" s="72"/>
      <c r="I80" s="54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72"/>
      <c r="I82" s="54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3.2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 xml:space="preserve">SFS - 69th St &amp; S Veterans Pkwy - 8"STL Main 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71" t="s">
        <v>79</v>
      </c>
      <c r="E95" s="48" t="str">
        <f>E13</f>
        <v>Acct 2.376.00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88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f>E57</f>
        <v>0</v>
      </c>
      <c r="F99" s="6"/>
      <c r="G99" s="109">
        <f>G57</f>
        <v>3599.56</v>
      </c>
      <c r="H99" s="6"/>
      <c r="I99" s="109">
        <f t="shared" ref="I99" si="10">G99-E99</f>
        <v>3599.56</v>
      </c>
      <c r="J99" s="6"/>
      <c r="K99" s="6"/>
      <c r="L99" s="6"/>
      <c r="M99" s="109">
        <f>+M57</f>
        <v>529.14</v>
      </c>
    </row>
    <row r="100" spans="1:13" x14ac:dyDescent="0.2">
      <c r="A100" s="45">
        <f t="shared" ref="A100:A128" si="11">1+A99</f>
        <v>2</v>
      </c>
      <c r="C100" s="52">
        <f>C18</f>
        <v>45672</v>
      </c>
      <c r="D100" s="52"/>
      <c r="E100" s="80">
        <f>E57</f>
        <v>0</v>
      </c>
      <c r="F100" s="120"/>
      <c r="G100" s="120">
        <f t="shared" ref="G100:G111" si="12">G99+G58</f>
        <v>7199.12</v>
      </c>
      <c r="H100" s="120"/>
      <c r="I100" s="80">
        <f t="shared" ref="I100:I111" si="13">G100-E100</f>
        <v>7199.12</v>
      </c>
      <c r="J100" s="120"/>
      <c r="K100" s="120"/>
      <c r="L100" s="120"/>
      <c r="M100" s="120">
        <f t="shared" ref="M100:M111" si="14">+M99+M58</f>
        <v>1058.28</v>
      </c>
    </row>
    <row r="101" spans="1:13" x14ac:dyDescent="0.2">
      <c r="A101" s="45">
        <f t="shared" si="11"/>
        <v>3</v>
      </c>
      <c r="C101" s="52">
        <f t="shared" ref="C101:C111" si="15">C100+31</f>
        <v>45703</v>
      </c>
      <c r="D101" s="52"/>
      <c r="E101" s="120">
        <f t="shared" ref="E101:E111" si="16">E100+E59</f>
        <v>0</v>
      </c>
      <c r="F101" s="120"/>
      <c r="G101" s="120">
        <f t="shared" si="12"/>
        <v>10798.68</v>
      </c>
      <c r="H101" s="120"/>
      <c r="I101" s="120">
        <f t="shared" si="13"/>
        <v>10798.68</v>
      </c>
      <c r="J101" s="120"/>
      <c r="K101" s="120"/>
      <c r="L101" s="120"/>
      <c r="M101" s="120">
        <f t="shared" si="14"/>
        <v>1587.42</v>
      </c>
    </row>
    <row r="102" spans="1:13" x14ac:dyDescent="0.2">
      <c r="A102" s="45">
        <f t="shared" si="11"/>
        <v>4</v>
      </c>
      <c r="C102" s="52">
        <f t="shared" si="15"/>
        <v>45734</v>
      </c>
      <c r="D102" s="52"/>
      <c r="E102" s="120">
        <f t="shared" si="16"/>
        <v>0</v>
      </c>
      <c r="F102" s="120"/>
      <c r="G102" s="120">
        <f t="shared" si="12"/>
        <v>14398.24</v>
      </c>
      <c r="H102" s="120"/>
      <c r="I102" s="120">
        <f t="shared" si="13"/>
        <v>14398.24</v>
      </c>
      <c r="J102" s="120"/>
      <c r="K102" s="120"/>
      <c r="L102" s="120"/>
      <c r="M102" s="120">
        <f t="shared" si="14"/>
        <v>2116.56</v>
      </c>
    </row>
    <row r="103" spans="1:13" x14ac:dyDescent="0.2">
      <c r="A103" s="45">
        <f t="shared" si="11"/>
        <v>5</v>
      </c>
      <c r="C103" s="52">
        <f t="shared" si="15"/>
        <v>45765</v>
      </c>
      <c r="D103" s="52"/>
      <c r="E103" s="120">
        <f t="shared" si="16"/>
        <v>0</v>
      </c>
      <c r="F103" s="120"/>
      <c r="G103" s="120">
        <f t="shared" si="12"/>
        <v>17997.8</v>
      </c>
      <c r="H103" s="120"/>
      <c r="I103" s="120">
        <f t="shared" si="13"/>
        <v>17997.8</v>
      </c>
      <c r="J103" s="120"/>
      <c r="K103" s="120"/>
      <c r="L103" s="120"/>
      <c r="M103" s="120">
        <f t="shared" si="14"/>
        <v>2645.7</v>
      </c>
    </row>
    <row r="104" spans="1:13" x14ac:dyDescent="0.2">
      <c r="A104" s="45">
        <f t="shared" si="11"/>
        <v>6</v>
      </c>
      <c r="C104" s="52">
        <f t="shared" si="15"/>
        <v>45796</v>
      </c>
      <c r="D104" s="52"/>
      <c r="E104" s="120">
        <f t="shared" si="16"/>
        <v>0</v>
      </c>
      <c r="F104" s="120"/>
      <c r="G104" s="120">
        <f t="shared" si="12"/>
        <v>21597.360000000001</v>
      </c>
      <c r="H104" s="120"/>
      <c r="I104" s="120">
        <f t="shared" si="13"/>
        <v>21597.360000000001</v>
      </c>
      <c r="J104" s="120"/>
      <c r="K104" s="120"/>
      <c r="L104" s="120"/>
      <c r="M104" s="120">
        <f t="shared" si="14"/>
        <v>3174.8399999999997</v>
      </c>
    </row>
    <row r="105" spans="1:13" x14ac:dyDescent="0.2">
      <c r="A105" s="45">
        <f t="shared" si="11"/>
        <v>7</v>
      </c>
      <c r="C105" s="52">
        <f t="shared" si="15"/>
        <v>45827</v>
      </c>
      <c r="D105" s="52"/>
      <c r="E105" s="120">
        <f t="shared" si="16"/>
        <v>0</v>
      </c>
      <c r="F105" s="120"/>
      <c r="G105" s="120">
        <f t="shared" si="12"/>
        <v>25196.920000000002</v>
      </c>
      <c r="H105" s="120"/>
      <c r="I105" s="120">
        <f t="shared" si="13"/>
        <v>25196.920000000002</v>
      </c>
      <c r="J105" s="120"/>
      <c r="K105" s="120"/>
      <c r="L105" s="120"/>
      <c r="M105" s="120">
        <f t="shared" si="14"/>
        <v>3703.9799999999996</v>
      </c>
    </row>
    <row r="106" spans="1:13" x14ac:dyDescent="0.2">
      <c r="A106" s="45">
        <f t="shared" si="11"/>
        <v>8</v>
      </c>
      <c r="C106" s="52">
        <f t="shared" si="15"/>
        <v>45858</v>
      </c>
      <c r="D106" s="52"/>
      <c r="E106" s="120">
        <f t="shared" si="16"/>
        <v>0</v>
      </c>
      <c r="F106" s="120"/>
      <c r="G106" s="120">
        <f t="shared" si="12"/>
        <v>28796.480000000003</v>
      </c>
      <c r="H106" s="120"/>
      <c r="I106" s="120">
        <f t="shared" si="13"/>
        <v>28796.480000000003</v>
      </c>
      <c r="J106" s="120"/>
      <c r="K106" s="120"/>
      <c r="L106" s="120"/>
      <c r="M106" s="120">
        <f t="shared" si="14"/>
        <v>4233.12</v>
      </c>
    </row>
    <row r="107" spans="1:13" x14ac:dyDescent="0.2">
      <c r="A107" s="45">
        <f t="shared" si="11"/>
        <v>9</v>
      </c>
      <c r="C107" s="52">
        <f t="shared" si="15"/>
        <v>45889</v>
      </c>
      <c r="D107" s="52"/>
      <c r="E107" s="120">
        <f t="shared" si="16"/>
        <v>0</v>
      </c>
      <c r="F107" s="120"/>
      <c r="G107" s="120">
        <f t="shared" si="12"/>
        <v>32396.040000000005</v>
      </c>
      <c r="H107" s="120"/>
      <c r="I107" s="120">
        <f t="shared" si="13"/>
        <v>32396.040000000005</v>
      </c>
      <c r="J107" s="120"/>
      <c r="K107" s="120"/>
      <c r="L107" s="120"/>
      <c r="M107" s="120">
        <f t="shared" si="14"/>
        <v>4762.26</v>
      </c>
    </row>
    <row r="108" spans="1:13" x14ac:dyDescent="0.2">
      <c r="A108" s="45">
        <f t="shared" si="11"/>
        <v>10</v>
      </c>
      <c r="C108" s="52">
        <f t="shared" si="15"/>
        <v>45920</v>
      </c>
      <c r="D108" s="52"/>
      <c r="E108" s="120">
        <f t="shared" si="16"/>
        <v>0</v>
      </c>
      <c r="F108" s="120"/>
      <c r="G108" s="120">
        <f t="shared" si="12"/>
        <v>35995.600000000006</v>
      </c>
      <c r="H108" s="120"/>
      <c r="I108" s="120">
        <f t="shared" si="13"/>
        <v>35995.600000000006</v>
      </c>
      <c r="J108" s="120"/>
      <c r="K108" s="120"/>
      <c r="L108" s="120"/>
      <c r="M108" s="120">
        <f t="shared" si="14"/>
        <v>5291.4000000000005</v>
      </c>
    </row>
    <row r="109" spans="1:13" x14ac:dyDescent="0.2">
      <c r="A109" s="45">
        <f t="shared" si="11"/>
        <v>11</v>
      </c>
      <c r="C109" s="52">
        <f t="shared" si="15"/>
        <v>45951</v>
      </c>
      <c r="D109" s="52"/>
      <c r="E109" s="120">
        <f t="shared" si="16"/>
        <v>0</v>
      </c>
      <c r="F109" s="120"/>
      <c r="G109" s="120">
        <f t="shared" si="12"/>
        <v>39595.160000000003</v>
      </c>
      <c r="H109" s="120"/>
      <c r="I109" s="120">
        <f t="shared" si="13"/>
        <v>39595.160000000003</v>
      </c>
      <c r="J109" s="120"/>
      <c r="K109" s="120"/>
      <c r="L109" s="120"/>
      <c r="M109" s="120">
        <f t="shared" si="14"/>
        <v>5820.5400000000009</v>
      </c>
    </row>
    <row r="110" spans="1:13" x14ac:dyDescent="0.2">
      <c r="A110" s="45">
        <f t="shared" si="11"/>
        <v>12</v>
      </c>
      <c r="C110" s="52">
        <f t="shared" si="15"/>
        <v>45982</v>
      </c>
      <c r="D110" s="52"/>
      <c r="E110" s="120">
        <f t="shared" si="16"/>
        <v>0</v>
      </c>
      <c r="F110" s="120"/>
      <c r="G110" s="120">
        <f t="shared" si="12"/>
        <v>43194.720000000001</v>
      </c>
      <c r="H110" s="120"/>
      <c r="I110" s="120">
        <f t="shared" si="13"/>
        <v>43194.720000000001</v>
      </c>
      <c r="J110" s="120"/>
      <c r="K110" s="120"/>
      <c r="L110" s="120"/>
      <c r="M110" s="120">
        <f t="shared" si="14"/>
        <v>6349.6800000000012</v>
      </c>
    </row>
    <row r="111" spans="1:13" x14ac:dyDescent="0.2">
      <c r="A111" s="45">
        <f t="shared" si="11"/>
        <v>13</v>
      </c>
      <c r="C111" s="52">
        <f t="shared" si="15"/>
        <v>46013</v>
      </c>
      <c r="D111" s="52"/>
      <c r="E111" s="121">
        <f t="shared" si="16"/>
        <v>0</v>
      </c>
      <c r="F111" s="120"/>
      <c r="G111" s="121">
        <f t="shared" si="12"/>
        <v>46794.28</v>
      </c>
      <c r="H111" s="120"/>
      <c r="I111" s="121">
        <f t="shared" si="13"/>
        <v>46794.28</v>
      </c>
      <c r="J111" s="120"/>
      <c r="K111" s="120"/>
      <c r="L111" s="120"/>
      <c r="M111" s="121">
        <f t="shared" si="14"/>
        <v>6878.8200000000015</v>
      </c>
    </row>
    <row r="112" spans="1:13" x14ac:dyDescent="0.2">
      <c r="A112" s="45">
        <f t="shared" si="11"/>
        <v>14</v>
      </c>
      <c r="C112" s="58" t="s">
        <v>47</v>
      </c>
      <c r="D112" s="58"/>
      <c r="E112" s="120">
        <f>SUM(E100:E111)</f>
        <v>0</v>
      </c>
      <c r="F112" s="120"/>
      <c r="G112" s="120">
        <f>SUM(G99:G111)</f>
        <v>327559.96000000008</v>
      </c>
      <c r="H112" s="120"/>
      <c r="I112" s="120">
        <f>SUM(I99:I111)</f>
        <v>327559.96000000008</v>
      </c>
      <c r="J112" s="120"/>
      <c r="K112" s="120"/>
      <c r="L112" s="120"/>
      <c r="M112" s="120">
        <f>SUM(M99:M111)</f>
        <v>48151.74</v>
      </c>
    </row>
    <row r="113" spans="1:13" x14ac:dyDescent="0.2">
      <c r="A113" s="45">
        <f t="shared" si="11"/>
        <v>15</v>
      </c>
      <c r="E113" s="120"/>
      <c r="F113" s="120"/>
      <c r="G113" s="120"/>
      <c r="H113" s="120"/>
      <c r="I113" s="120"/>
      <c r="J113" s="120"/>
      <c r="K113" s="120"/>
      <c r="L113" s="120"/>
      <c r="M113" s="120"/>
    </row>
    <row r="114" spans="1:13" ht="12" thickBot="1" x14ac:dyDescent="0.25">
      <c r="A114" s="45">
        <f t="shared" si="11"/>
        <v>16</v>
      </c>
      <c r="C114" s="73" t="s">
        <v>139</v>
      </c>
      <c r="D114" s="73"/>
      <c r="E114" s="123">
        <f>ROUND(+E112/12,2)</f>
        <v>0</v>
      </c>
      <c r="F114" s="6"/>
      <c r="G114" s="123">
        <f>ROUND(+G112/13,2)</f>
        <v>25196.92</v>
      </c>
      <c r="H114" s="6"/>
      <c r="I114" s="123">
        <f>ROUND(+I112/13,2)</f>
        <v>25196.92</v>
      </c>
      <c r="J114" s="6"/>
      <c r="K114" s="6"/>
      <c r="L114" s="6"/>
      <c r="M114" s="123">
        <f>ROUND(+M112/13,2)</f>
        <v>3703.98</v>
      </c>
    </row>
    <row r="115" spans="1:13" ht="12" thickTop="1" x14ac:dyDescent="0.2">
      <c r="A115" s="45">
        <f t="shared" si="11"/>
        <v>17</v>
      </c>
      <c r="E115" s="122" t="s">
        <v>10</v>
      </c>
      <c r="F115" s="122"/>
      <c r="G115" s="122" t="s">
        <v>10</v>
      </c>
      <c r="H115" s="122"/>
      <c r="I115" s="122" t="s">
        <v>10</v>
      </c>
      <c r="J115" s="120"/>
      <c r="K115" s="120"/>
      <c r="L115" s="120"/>
      <c r="M115" s="120"/>
    </row>
    <row r="116" spans="1:13" x14ac:dyDescent="0.2">
      <c r="A116" s="45">
        <f t="shared" si="11"/>
        <v>18</v>
      </c>
      <c r="E116" s="120"/>
      <c r="F116" s="120"/>
      <c r="G116" s="120"/>
      <c r="H116" s="120"/>
      <c r="I116" s="120"/>
      <c r="J116" s="120"/>
      <c r="K116" s="120"/>
      <c r="L116" s="120"/>
      <c r="M116" s="120"/>
    </row>
    <row r="117" spans="1:13" ht="12" thickBot="1" x14ac:dyDescent="0.25">
      <c r="A117" s="45">
        <f t="shared" si="11"/>
        <v>19</v>
      </c>
      <c r="C117" s="58" t="s">
        <v>87</v>
      </c>
      <c r="D117" s="58"/>
      <c r="E117" s="120"/>
      <c r="F117" s="120"/>
      <c r="G117" s="120"/>
      <c r="H117" s="120"/>
      <c r="I117" s="124">
        <f>I114</f>
        <v>25196.92</v>
      </c>
      <c r="J117" s="6"/>
      <c r="K117" s="6"/>
      <c r="L117" s="6"/>
      <c r="M117" s="124">
        <f>+M114</f>
        <v>3703.98</v>
      </c>
    </row>
    <row r="118" spans="1:13" ht="12" thickTop="1" x14ac:dyDescent="0.2">
      <c r="A118" s="45">
        <f t="shared" si="11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1"/>
        <v>21</v>
      </c>
      <c r="I119" s="58" t="s">
        <v>167</v>
      </c>
      <c r="M119" s="58" t="s">
        <v>168</v>
      </c>
    </row>
    <row r="120" spans="1:13" x14ac:dyDescent="0.2">
      <c r="A120" s="45">
        <f t="shared" si="11"/>
        <v>22</v>
      </c>
    </row>
    <row r="121" spans="1:13" x14ac:dyDescent="0.2">
      <c r="A121" s="45">
        <f t="shared" si="11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1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1"/>
        <v>25</v>
      </c>
      <c r="C123" s="71" t="str">
        <f>C78</f>
        <v>Acct 2.376.00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11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1"/>
        <v>27</v>
      </c>
      <c r="H125" s="54"/>
      <c r="I125" s="54"/>
    </row>
    <row r="126" spans="1:13" x14ac:dyDescent="0.2">
      <c r="A126" s="45">
        <f t="shared" si="11"/>
        <v>28</v>
      </c>
    </row>
    <row r="127" spans="1:13" x14ac:dyDescent="0.2">
      <c r="A127" s="45">
        <f t="shared" si="11"/>
        <v>29</v>
      </c>
    </row>
    <row r="128" spans="1:13" x14ac:dyDescent="0.2">
      <c r="A128" s="45">
        <f t="shared" si="11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F9D2-446C-401A-89EA-57147A0DEA58}">
  <dimension ref="A1:M128"/>
  <sheetViews>
    <sheetView view="pageLayout" zoomScaleNormal="100" workbookViewId="0">
      <selection activeCell="L19" sqref="L19"/>
    </sheetView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.28515625" style="45" bestFit="1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1.71093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2.5" customHeight="1" x14ac:dyDescent="0.2">
      <c r="A5" s="139" t="str">
        <f>'CAPGDS1000001244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'CAPGDS1000001244 Input'!F8</f>
        <v xml:space="preserve">SFS - 69th St &amp; S Veterans Pkwy - 8"STL Main 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'CAPGDS1000001244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"&amp;'CAPGDS1000001244 Input'!F16</f>
        <v>Acct 2.378.03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'CAPGDS1000001244 TotalWO'!C17</f>
        <v>45641</v>
      </c>
      <c r="D17" s="52"/>
      <c r="E17" s="109">
        <f>'CAPGDS1000001244 TotalWO'!E17*'CAPGDS1000001244 Input'!$H$15</f>
        <v>0</v>
      </c>
      <c r="F17" s="116"/>
      <c r="G17" s="111">
        <f>'CAPGDS1000001244 TotalWO'!G18*'CAPGDS1000001244 Input'!$H$16</f>
        <v>21427.696749999999</v>
      </c>
      <c r="H17" s="110"/>
      <c r="I17" s="111">
        <f t="shared" ref="I17:I29" si="0">G17-E17</f>
        <v>21427.696749999999</v>
      </c>
    </row>
    <row r="18" spans="1:12" x14ac:dyDescent="0.2">
      <c r="A18" s="45">
        <f t="shared" ref="A18:A40" si="1">1+A17</f>
        <v>2</v>
      </c>
      <c r="C18" s="52">
        <f>'CAPGDS1000001244 TotalWO'!C18</f>
        <v>45672</v>
      </c>
      <c r="D18" s="52"/>
      <c r="E18" s="80">
        <f>'CAPGDS1000001244 TotalWO'!E18*'CAPGDS1000001244 Input'!$H$15</f>
        <v>0</v>
      </c>
      <c r="F18" s="80"/>
      <c r="G18" s="80">
        <f>'CAPGDS1000001244 TotalWO'!G18*'CAPGDS1000001244 Input'!$H$16</f>
        <v>21427.696749999999</v>
      </c>
      <c r="H18" s="7"/>
      <c r="I18" s="80">
        <f t="shared" si="0"/>
        <v>21427.696749999999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'CAPGDS1000001244 TotalWO'!E19*'CAPGDS1000001244 Input'!$H$15</f>
        <v>0</v>
      </c>
      <c r="F19" s="80"/>
      <c r="G19" s="80">
        <f>'CAPGDS1000001244 TotalWO'!G19*'CAPGDS1000001244 Input'!$H$16</f>
        <v>21427.696749999999</v>
      </c>
      <c r="H19" s="7"/>
      <c r="I19" s="7">
        <f t="shared" si="0"/>
        <v>21427.696749999999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'CAPGDS1000001244 TotalWO'!E20*'CAPGDS1000001244 Input'!$H$15</f>
        <v>0</v>
      </c>
      <c r="F20" s="80"/>
      <c r="G20" s="80">
        <f>'CAPGDS1000001244 TotalWO'!G20*'CAPGDS1000001244 Input'!$H$16</f>
        <v>21427.696749999999</v>
      </c>
      <c r="H20" s="7"/>
      <c r="I20" s="7">
        <f t="shared" si="0"/>
        <v>21427.696749999999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'CAPGDS1000001244 TotalWO'!E21*'CAPGDS1000001244 Input'!$H$15</f>
        <v>0</v>
      </c>
      <c r="F21" s="80"/>
      <c r="G21" s="80">
        <f>'CAPGDS1000001244 TotalWO'!G21*'CAPGDS1000001244 Input'!$H$16</f>
        <v>21427.696749999999</v>
      </c>
      <c r="H21" s="7"/>
      <c r="I21" s="7">
        <f t="shared" si="0"/>
        <v>21427.696749999999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'CAPGDS1000001244 TotalWO'!E22*'CAPGDS1000001244 Input'!$H$15</f>
        <v>0</v>
      </c>
      <c r="F22" s="80"/>
      <c r="G22" s="80">
        <f>'CAPGDS1000001244 TotalWO'!G22*'CAPGDS1000001244 Input'!$H$16</f>
        <v>21427.696749999999</v>
      </c>
      <c r="H22" s="7"/>
      <c r="I22" s="7">
        <f t="shared" si="0"/>
        <v>21427.696749999999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'CAPGDS1000001244 TotalWO'!E23*'CAPGDS1000001244 Input'!$H$15</f>
        <v>0</v>
      </c>
      <c r="F23" s="80"/>
      <c r="G23" s="80">
        <f>'CAPGDS1000001244 TotalWO'!G23*'CAPGDS1000001244 Input'!$H$16</f>
        <v>21427.696749999999</v>
      </c>
      <c r="H23" s="7"/>
      <c r="I23" s="7">
        <f t="shared" si="0"/>
        <v>21427.696749999999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'CAPGDS1000001244 TotalWO'!E24*'CAPGDS1000001244 Input'!$H$15</f>
        <v>0</v>
      </c>
      <c r="F24" s="80"/>
      <c r="G24" s="80">
        <f>'CAPGDS1000001244 TotalWO'!G24*'CAPGDS1000001244 Input'!$H$16</f>
        <v>21427.696749999999</v>
      </c>
      <c r="H24" s="7"/>
      <c r="I24" s="7">
        <f t="shared" si="0"/>
        <v>21427.696749999999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'CAPGDS1000001244 TotalWO'!E25*'CAPGDS1000001244 Input'!$H$15</f>
        <v>0</v>
      </c>
      <c r="F25" s="80"/>
      <c r="G25" s="80">
        <f>'CAPGDS1000001244 TotalWO'!G25*'CAPGDS1000001244 Input'!$H$16</f>
        <v>21427.696749999999</v>
      </c>
      <c r="H25" s="7"/>
      <c r="I25" s="7">
        <f t="shared" si="0"/>
        <v>21427.696749999999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'CAPGDS1000001244 TotalWO'!E26*'CAPGDS1000001244 Input'!$H$15</f>
        <v>0</v>
      </c>
      <c r="F26" s="80"/>
      <c r="G26" s="80">
        <f>'CAPGDS1000001244 TotalWO'!G26*'CAPGDS1000001244 Input'!$H$16</f>
        <v>21427.696749999999</v>
      </c>
      <c r="H26" s="7"/>
      <c r="I26" s="7">
        <f t="shared" si="0"/>
        <v>21427.696749999999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'CAPGDS1000001244 TotalWO'!E27*'CAPGDS1000001244 Input'!$H$15</f>
        <v>0</v>
      </c>
      <c r="F27" s="80"/>
      <c r="G27" s="80">
        <f>'CAPGDS1000001244 TotalWO'!G27*'CAPGDS1000001244 Input'!$H$16</f>
        <v>21427.696749999999</v>
      </c>
      <c r="H27" s="7"/>
      <c r="I27" s="7">
        <f t="shared" si="0"/>
        <v>21427.696749999999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'CAPGDS1000001244 TotalWO'!E28*'CAPGDS1000001244 Input'!$H$15</f>
        <v>0</v>
      </c>
      <c r="F28" s="80"/>
      <c r="G28" s="80">
        <f>'CAPGDS1000001244 TotalWO'!G28*'CAPGDS1000001244 Input'!$H$16</f>
        <v>21427.696749999999</v>
      </c>
      <c r="H28" s="7"/>
      <c r="I28" s="7">
        <f t="shared" si="0"/>
        <v>21427.696749999999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'CAPGDS1000001244 TotalWO'!E29*'CAPGDS1000001244 Input'!$H$15</f>
        <v>0</v>
      </c>
      <c r="F29" s="80"/>
      <c r="G29" s="114">
        <f>'CAPGDS1000001244 TotalWO'!G29*'CAPGDS1000001244 Input'!$H$16</f>
        <v>21427.696749999999</v>
      </c>
      <c r="H29" s="7"/>
      <c r="I29" s="115">
        <f t="shared" si="0"/>
        <v>21427.696749999999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278560.05774999998</v>
      </c>
      <c r="H30" s="110"/>
      <c r="I30" s="110">
        <f>SUM(I17:I29)</f>
        <v>278560.05774999998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86</v>
      </c>
      <c r="D32" s="61"/>
      <c r="E32" s="112">
        <f>ROUND(+E30/12,2)</f>
        <v>0</v>
      </c>
      <c r="F32" s="110"/>
      <c r="G32" s="112">
        <f>ROUND(+G30/13,2)</f>
        <v>21427.7</v>
      </c>
      <c r="H32" s="110"/>
      <c r="I32" s="112">
        <f>ROUND(+I30/13,2)</f>
        <v>21427.7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21427.7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114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1.7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 xml:space="preserve">SFS - 69th St &amp; S Veterans Pkwy - 8"STL Main 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2.378.03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>ROUND(E17*$G$78,2)</f>
        <v>0</v>
      </c>
      <c r="F57" s="110"/>
      <c r="G57" s="109">
        <f>ROUND(+G18*$G$78,2)</f>
        <v>36.36</v>
      </c>
      <c r="H57" s="110"/>
      <c r="I57" s="110">
        <f>G57-E57</f>
        <v>36.36</v>
      </c>
      <c r="J57" s="110"/>
      <c r="K57" s="111"/>
      <c r="L57" s="110"/>
      <c r="M57" s="6">
        <f>+ROUND(M72/13,2)</f>
        <v>5.34</v>
      </c>
    </row>
    <row r="58" spans="1:13" x14ac:dyDescent="0.2">
      <c r="A58" s="45">
        <f t="shared" ref="A58:A81" si="3">1+A57</f>
        <v>2</v>
      </c>
      <c r="C58" s="52">
        <f>C18</f>
        <v>45672</v>
      </c>
      <c r="D58" s="52"/>
      <c r="E58" s="80">
        <f t="shared" ref="E58:E69" si="4">ROUND(E17*$G$78,2)</f>
        <v>0</v>
      </c>
      <c r="F58" s="80"/>
      <c r="G58" s="80">
        <f t="shared" ref="G58:G69" si="5">ROUND(+G17*$G$78,2)</f>
        <v>36.36</v>
      </c>
      <c r="H58" s="7"/>
      <c r="I58" s="7">
        <f t="shared" ref="I58" si="6">G58-E58</f>
        <v>36.36</v>
      </c>
      <c r="J58" s="7"/>
      <c r="K58" s="7"/>
      <c r="L58" s="7"/>
      <c r="M58" s="7">
        <f>+M57</f>
        <v>5.34</v>
      </c>
    </row>
    <row r="59" spans="1:13" x14ac:dyDescent="0.2">
      <c r="A59" s="45">
        <f t="shared" si="3"/>
        <v>3</v>
      </c>
      <c r="C59" s="52">
        <f t="shared" ref="C59:C69" si="7">C58+31</f>
        <v>45703</v>
      </c>
      <c r="D59" s="52"/>
      <c r="E59" s="80">
        <f t="shared" si="4"/>
        <v>0</v>
      </c>
      <c r="F59" s="80"/>
      <c r="G59" s="80">
        <f t="shared" si="5"/>
        <v>36.36</v>
      </c>
      <c r="H59" s="7"/>
      <c r="I59" s="7">
        <f t="shared" ref="I59:I69" si="8">G59-E59</f>
        <v>36.36</v>
      </c>
      <c r="J59" s="7"/>
      <c r="K59" s="7"/>
      <c r="L59" s="7"/>
      <c r="M59" s="7">
        <f>+M57</f>
        <v>5.34</v>
      </c>
    </row>
    <row r="60" spans="1:13" x14ac:dyDescent="0.2">
      <c r="A60" s="45">
        <f t="shared" si="3"/>
        <v>4</v>
      </c>
      <c r="C60" s="52">
        <f t="shared" si="7"/>
        <v>45734</v>
      </c>
      <c r="D60" s="52"/>
      <c r="E60" s="80">
        <f t="shared" si="4"/>
        <v>0</v>
      </c>
      <c r="F60" s="80"/>
      <c r="G60" s="80">
        <f t="shared" si="5"/>
        <v>36.36</v>
      </c>
      <c r="H60" s="7"/>
      <c r="I60" s="7">
        <f t="shared" si="8"/>
        <v>36.36</v>
      </c>
      <c r="J60" s="7"/>
      <c r="K60" s="7"/>
      <c r="L60" s="7"/>
      <c r="M60" s="7">
        <f t="shared" ref="M60:M69" si="9">+M59</f>
        <v>5.34</v>
      </c>
    </row>
    <row r="61" spans="1:13" x14ac:dyDescent="0.2">
      <c r="A61" s="45">
        <f t="shared" si="3"/>
        <v>5</v>
      </c>
      <c r="C61" s="52">
        <f t="shared" si="7"/>
        <v>45765</v>
      </c>
      <c r="D61" s="52"/>
      <c r="E61" s="80">
        <f t="shared" si="4"/>
        <v>0</v>
      </c>
      <c r="F61" s="80"/>
      <c r="G61" s="80">
        <f t="shared" si="5"/>
        <v>36.36</v>
      </c>
      <c r="H61" s="7"/>
      <c r="I61" s="7">
        <f t="shared" si="8"/>
        <v>36.36</v>
      </c>
      <c r="J61" s="7"/>
      <c r="K61" s="7"/>
      <c r="L61" s="7"/>
      <c r="M61" s="7">
        <f t="shared" si="9"/>
        <v>5.34</v>
      </c>
    </row>
    <row r="62" spans="1:13" x14ac:dyDescent="0.2">
      <c r="A62" s="45">
        <f t="shared" si="3"/>
        <v>6</v>
      </c>
      <c r="C62" s="52">
        <f t="shared" si="7"/>
        <v>45796</v>
      </c>
      <c r="D62" s="52"/>
      <c r="E62" s="80">
        <f t="shared" si="4"/>
        <v>0</v>
      </c>
      <c r="F62" s="80"/>
      <c r="G62" s="80">
        <f t="shared" si="5"/>
        <v>36.36</v>
      </c>
      <c r="H62" s="7"/>
      <c r="I62" s="7">
        <f t="shared" si="8"/>
        <v>36.36</v>
      </c>
      <c r="J62" s="7"/>
      <c r="K62" s="7"/>
      <c r="L62" s="7"/>
      <c r="M62" s="7">
        <f t="shared" si="9"/>
        <v>5.34</v>
      </c>
    </row>
    <row r="63" spans="1:13" x14ac:dyDescent="0.2">
      <c r="A63" s="45">
        <f t="shared" si="3"/>
        <v>7</v>
      </c>
      <c r="C63" s="52">
        <f t="shared" si="7"/>
        <v>45827</v>
      </c>
      <c r="D63" s="52"/>
      <c r="E63" s="80">
        <f t="shared" si="4"/>
        <v>0</v>
      </c>
      <c r="F63" s="80"/>
      <c r="G63" s="80">
        <f t="shared" si="5"/>
        <v>36.36</v>
      </c>
      <c r="H63" s="7"/>
      <c r="I63" s="7">
        <f t="shared" si="8"/>
        <v>36.36</v>
      </c>
      <c r="J63" s="7"/>
      <c r="K63" s="7"/>
      <c r="L63" s="7"/>
      <c r="M63" s="7">
        <f t="shared" si="9"/>
        <v>5.34</v>
      </c>
    </row>
    <row r="64" spans="1:13" x14ac:dyDescent="0.2">
      <c r="A64" s="45">
        <f t="shared" si="3"/>
        <v>8</v>
      </c>
      <c r="C64" s="52">
        <f t="shared" si="7"/>
        <v>45858</v>
      </c>
      <c r="D64" s="52"/>
      <c r="E64" s="80">
        <f t="shared" si="4"/>
        <v>0</v>
      </c>
      <c r="F64" s="80"/>
      <c r="G64" s="80">
        <f t="shared" si="5"/>
        <v>36.36</v>
      </c>
      <c r="H64" s="7"/>
      <c r="I64" s="7">
        <f t="shared" si="8"/>
        <v>36.36</v>
      </c>
      <c r="J64" s="7"/>
      <c r="K64" s="7"/>
      <c r="L64" s="7"/>
      <c r="M64" s="7">
        <f t="shared" si="9"/>
        <v>5.34</v>
      </c>
    </row>
    <row r="65" spans="1:13" x14ac:dyDescent="0.2">
      <c r="A65" s="45">
        <f t="shared" si="3"/>
        <v>9</v>
      </c>
      <c r="C65" s="52">
        <f t="shared" si="7"/>
        <v>45889</v>
      </c>
      <c r="D65" s="52"/>
      <c r="E65" s="80">
        <f t="shared" si="4"/>
        <v>0</v>
      </c>
      <c r="F65" s="80"/>
      <c r="G65" s="80">
        <f t="shared" si="5"/>
        <v>36.36</v>
      </c>
      <c r="H65" s="7"/>
      <c r="I65" s="7">
        <f t="shared" si="8"/>
        <v>36.36</v>
      </c>
      <c r="J65" s="7"/>
      <c r="K65" s="7"/>
      <c r="L65" s="7"/>
      <c r="M65" s="7">
        <f t="shared" si="9"/>
        <v>5.34</v>
      </c>
    </row>
    <row r="66" spans="1:13" x14ac:dyDescent="0.2">
      <c r="A66" s="45">
        <f t="shared" si="3"/>
        <v>10</v>
      </c>
      <c r="C66" s="52">
        <f t="shared" si="7"/>
        <v>45920</v>
      </c>
      <c r="D66" s="52"/>
      <c r="E66" s="80">
        <f t="shared" si="4"/>
        <v>0</v>
      </c>
      <c r="F66" s="80"/>
      <c r="G66" s="80">
        <f t="shared" si="5"/>
        <v>36.36</v>
      </c>
      <c r="H66" s="7"/>
      <c r="I66" s="7">
        <f t="shared" si="8"/>
        <v>36.36</v>
      </c>
      <c r="J66" s="7"/>
      <c r="K66" s="7"/>
      <c r="L66" s="7"/>
      <c r="M66" s="7">
        <f>+M65</f>
        <v>5.34</v>
      </c>
    </row>
    <row r="67" spans="1:13" x14ac:dyDescent="0.2">
      <c r="A67" s="45">
        <f t="shared" si="3"/>
        <v>11</v>
      </c>
      <c r="C67" s="52">
        <f t="shared" si="7"/>
        <v>45951</v>
      </c>
      <c r="D67" s="52"/>
      <c r="E67" s="80">
        <f t="shared" si="4"/>
        <v>0</v>
      </c>
      <c r="F67" s="80"/>
      <c r="G67" s="80">
        <f t="shared" si="5"/>
        <v>36.36</v>
      </c>
      <c r="H67" s="7"/>
      <c r="I67" s="7">
        <f t="shared" si="8"/>
        <v>36.36</v>
      </c>
      <c r="J67" s="7"/>
      <c r="K67" s="7"/>
      <c r="L67" s="7"/>
      <c r="M67" s="7">
        <f t="shared" si="9"/>
        <v>5.34</v>
      </c>
    </row>
    <row r="68" spans="1:13" x14ac:dyDescent="0.2">
      <c r="A68" s="45">
        <f t="shared" si="3"/>
        <v>12</v>
      </c>
      <c r="C68" s="52">
        <f t="shared" si="7"/>
        <v>45982</v>
      </c>
      <c r="D68" s="52"/>
      <c r="E68" s="80">
        <f t="shared" si="4"/>
        <v>0</v>
      </c>
      <c r="F68" s="80"/>
      <c r="G68" s="80">
        <f t="shared" si="5"/>
        <v>36.36</v>
      </c>
      <c r="H68" s="7"/>
      <c r="I68" s="7">
        <f t="shared" si="8"/>
        <v>36.36</v>
      </c>
      <c r="J68" s="7"/>
      <c r="K68" s="7"/>
      <c r="L68" s="7"/>
      <c r="M68" s="7">
        <f t="shared" si="9"/>
        <v>5.34</v>
      </c>
    </row>
    <row r="69" spans="1:13" x14ac:dyDescent="0.2">
      <c r="A69" s="45">
        <f t="shared" si="3"/>
        <v>13</v>
      </c>
      <c r="C69" s="52">
        <f t="shared" si="7"/>
        <v>46013</v>
      </c>
      <c r="D69" s="52"/>
      <c r="E69" s="114">
        <f t="shared" si="4"/>
        <v>0</v>
      </c>
      <c r="F69" s="80"/>
      <c r="G69" s="114">
        <f t="shared" si="5"/>
        <v>36.36</v>
      </c>
      <c r="H69" s="7"/>
      <c r="I69" s="115">
        <f t="shared" si="8"/>
        <v>36.36</v>
      </c>
      <c r="J69" s="7"/>
      <c r="K69" s="7"/>
      <c r="L69" s="7"/>
      <c r="M69" s="115">
        <f t="shared" si="9"/>
        <v>5.34</v>
      </c>
    </row>
    <row r="70" spans="1:13" x14ac:dyDescent="0.2">
      <c r="A70" s="45">
        <f t="shared" si="3"/>
        <v>14</v>
      </c>
      <c r="C70" s="58" t="s">
        <v>47</v>
      </c>
      <c r="D70" s="58"/>
      <c r="E70" s="110">
        <f>SUM(E57:E69)</f>
        <v>0</v>
      </c>
      <c r="F70" s="110"/>
      <c r="G70" s="110">
        <f>SUM(G57:G69)</f>
        <v>472.68000000000012</v>
      </c>
      <c r="H70" s="110"/>
      <c r="I70" s="110">
        <f>SUM(I57:I69)</f>
        <v>472.68000000000012</v>
      </c>
      <c r="J70" s="110"/>
      <c r="K70" s="110"/>
      <c r="L70" s="110"/>
      <c r="M70" s="110">
        <f>SUM(M57:M69)</f>
        <v>69.420000000000016</v>
      </c>
    </row>
    <row r="71" spans="1:13" x14ac:dyDescent="0.2">
      <c r="A71" s="45">
        <f t="shared" si="3"/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f t="shared" si="3"/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472.68000000000012</v>
      </c>
      <c r="J72" s="110"/>
      <c r="K72" s="112">
        <f>ROUND(G18*K78,2)</f>
        <v>803.54</v>
      </c>
      <c r="L72" s="110"/>
      <c r="M72" s="112">
        <f>ROUND(+(K72-I72)*M78,2)</f>
        <v>69.48</v>
      </c>
    </row>
    <row r="73" spans="1:13" ht="12" thickTop="1" x14ac:dyDescent="0.2">
      <c r="A73" s="45">
        <f t="shared" si="3"/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f t="shared" si="3"/>
        <v>18</v>
      </c>
      <c r="I74" s="58" t="s">
        <v>166</v>
      </c>
      <c r="M74" s="51" t="s">
        <v>91</v>
      </c>
    </row>
    <row r="75" spans="1:13" x14ac:dyDescent="0.2">
      <c r="A75" s="45">
        <f t="shared" si="3"/>
        <v>19</v>
      </c>
      <c r="K75" s="51" t="s">
        <v>96</v>
      </c>
      <c r="M75" s="51" t="s">
        <v>97</v>
      </c>
    </row>
    <row r="76" spans="1:13" x14ac:dyDescent="0.2">
      <c r="A76" s="45">
        <f t="shared" si="3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3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3"/>
        <v>22</v>
      </c>
      <c r="C78" s="71" t="str">
        <f>E53</f>
        <v>Acct 2.378.03</v>
      </c>
      <c r="D78" s="71"/>
      <c r="E78" s="72">
        <f>'CAPGDS1000001244 Input'!J15</f>
        <v>2.2058823529411766E-2</v>
      </c>
      <c r="F78" s="72"/>
      <c r="G78" s="72">
        <f>E78/13</f>
        <v>1.6968325791855204E-3</v>
      </c>
      <c r="K78" s="81">
        <f>+'CAPGDS1000001244 Input'!L15</f>
        <v>3.7499999999999999E-2</v>
      </c>
      <c r="M78" s="82">
        <f>+'CAPGDS1000001244 Input'!N15</f>
        <v>0.21</v>
      </c>
    </row>
    <row r="79" spans="1:13" x14ac:dyDescent="0.2">
      <c r="A79" s="45">
        <f t="shared" si="3"/>
        <v>23</v>
      </c>
      <c r="H79" s="63"/>
      <c r="I79" s="54"/>
      <c r="K79" s="51" t="s">
        <v>105</v>
      </c>
    </row>
    <row r="80" spans="1:13" x14ac:dyDescent="0.2">
      <c r="A80" s="45">
        <f t="shared" si="3"/>
        <v>24</v>
      </c>
      <c r="H80" s="72"/>
      <c r="I80" s="54"/>
    </row>
    <row r="81" spans="1:13" x14ac:dyDescent="0.2">
      <c r="A81" s="45">
        <f t="shared" si="3"/>
        <v>25</v>
      </c>
    </row>
    <row r="82" spans="1:13" x14ac:dyDescent="0.2">
      <c r="A82" s="45">
        <v>26</v>
      </c>
      <c r="H82" s="72"/>
      <c r="I82" s="54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3.2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 xml:space="preserve">SFS - 69th St &amp; S Veterans Pkwy - 8"STL Main 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71" t="s">
        <v>79</v>
      </c>
      <c r="E95" s="48" t="str">
        <f>E13</f>
        <v>Acct 2.378.03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88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f>E56</f>
        <v>0</v>
      </c>
      <c r="F99" s="110"/>
      <c r="G99" s="109">
        <f>G57</f>
        <v>36.36</v>
      </c>
      <c r="H99" s="110"/>
      <c r="I99" s="110">
        <f t="shared" ref="I99:I100" si="10">G99-E99</f>
        <v>36.36</v>
      </c>
      <c r="J99" s="110"/>
      <c r="K99" s="111"/>
      <c r="L99" s="110"/>
      <c r="M99" s="6">
        <f>+M57</f>
        <v>5.34</v>
      </c>
    </row>
    <row r="100" spans="1:13" x14ac:dyDescent="0.2">
      <c r="A100" s="45">
        <f t="shared" ref="A100:A128" si="11">1+A99</f>
        <v>2</v>
      </c>
      <c r="C100" s="52">
        <f>C18</f>
        <v>45672</v>
      </c>
      <c r="D100" s="52"/>
      <c r="E100" s="7">
        <f t="shared" ref="E100:E111" si="12">E99+E58</f>
        <v>0</v>
      </c>
      <c r="F100" s="7"/>
      <c r="G100" s="7">
        <f t="shared" ref="G100:G111" si="13">G99+G58</f>
        <v>72.72</v>
      </c>
      <c r="H100" s="7"/>
      <c r="I100" s="7">
        <f t="shared" si="10"/>
        <v>72.72</v>
      </c>
      <c r="J100" s="7"/>
      <c r="K100" s="7"/>
      <c r="L100" s="7"/>
      <c r="M100" s="7">
        <f t="shared" ref="M100:M111" si="14">+M99+M58</f>
        <v>10.68</v>
      </c>
    </row>
    <row r="101" spans="1:13" x14ac:dyDescent="0.2">
      <c r="A101" s="45">
        <f t="shared" si="11"/>
        <v>3</v>
      </c>
      <c r="C101" s="52">
        <f t="shared" ref="C101:C111" si="15">C100+31</f>
        <v>45703</v>
      </c>
      <c r="D101" s="52"/>
      <c r="E101" s="7">
        <f t="shared" si="12"/>
        <v>0</v>
      </c>
      <c r="F101" s="7"/>
      <c r="G101" s="7">
        <f t="shared" si="13"/>
        <v>109.08</v>
      </c>
      <c r="H101" s="7"/>
      <c r="I101" s="7">
        <f t="shared" ref="I101:I111" si="16">G101-E101</f>
        <v>109.08</v>
      </c>
      <c r="J101" s="7"/>
      <c r="K101" s="7"/>
      <c r="L101" s="7"/>
      <c r="M101" s="7">
        <f t="shared" si="14"/>
        <v>16.02</v>
      </c>
    </row>
    <row r="102" spans="1:13" x14ac:dyDescent="0.2">
      <c r="A102" s="45">
        <f t="shared" si="11"/>
        <v>4</v>
      </c>
      <c r="C102" s="52">
        <f t="shared" si="15"/>
        <v>45734</v>
      </c>
      <c r="D102" s="52"/>
      <c r="E102" s="7">
        <f t="shared" si="12"/>
        <v>0</v>
      </c>
      <c r="F102" s="7"/>
      <c r="G102" s="7">
        <f t="shared" si="13"/>
        <v>145.44</v>
      </c>
      <c r="H102" s="7"/>
      <c r="I102" s="7">
        <f t="shared" si="16"/>
        <v>145.44</v>
      </c>
      <c r="J102" s="7"/>
      <c r="K102" s="7"/>
      <c r="L102" s="7"/>
      <c r="M102" s="7">
        <f t="shared" si="14"/>
        <v>21.36</v>
      </c>
    </row>
    <row r="103" spans="1:13" x14ac:dyDescent="0.2">
      <c r="A103" s="45">
        <f t="shared" si="11"/>
        <v>5</v>
      </c>
      <c r="C103" s="52">
        <f t="shared" si="15"/>
        <v>45765</v>
      </c>
      <c r="D103" s="52"/>
      <c r="E103" s="7">
        <f t="shared" si="12"/>
        <v>0</v>
      </c>
      <c r="F103" s="7"/>
      <c r="G103" s="7">
        <f t="shared" si="13"/>
        <v>181.8</v>
      </c>
      <c r="H103" s="7"/>
      <c r="I103" s="7">
        <f t="shared" si="16"/>
        <v>181.8</v>
      </c>
      <c r="J103" s="7"/>
      <c r="K103" s="7"/>
      <c r="L103" s="7"/>
      <c r="M103" s="7">
        <f t="shared" si="14"/>
        <v>26.7</v>
      </c>
    </row>
    <row r="104" spans="1:13" x14ac:dyDescent="0.2">
      <c r="A104" s="45">
        <f t="shared" si="11"/>
        <v>6</v>
      </c>
      <c r="C104" s="52">
        <f t="shared" si="15"/>
        <v>45796</v>
      </c>
      <c r="D104" s="52"/>
      <c r="E104" s="7">
        <f t="shared" si="12"/>
        <v>0</v>
      </c>
      <c r="F104" s="7"/>
      <c r="G104" s="7">
        <f t="shared" si="13"/>
        <v>218.16000000000003</v>
      </c>
      <c r="H104" s="7"/>
      <c r="I104" s="7">
        <f t="shared" si="16"/>
        <v>218.16000000000003</v>
      </c>
      <c r="J104" s="7"/>
      <c r="K104" s="7"/>
      <c r="L104" s="7"/>
      <c r="M104" s="7">
        <f t="shared" si="14"/>
        <v>32.04</v>
      </c>
    </row>
    <row r="105" spans="1:13" x14ac:dyDescent="0.2">
      <c r="A105" s="45">
        <f t="shared" si="11"/>
        <v>7</v>
      </c>
      <c r="C105" s="52">
        <f t="shared" si="15"/>
        <v>45827</v>
      </c>
      <c r="D105" s="52"/>
      <c r="E105" s="7">
        <f t="shared" si="12"/>
        <v>0</v>
      </c>
      <c r="F105" s="7"/>
      <c r="G105" s="7">
        <f t="shared" si="13"/>
        <v>254.52000000000004</v>
      </c>
      <c r="H105" s="7"/>
      <c r="I105" s="7">
        <f t="shared" si="16"/>
        <v>254.52000000000004</v>
      </c>
      <c r="J105" s="7"/>
      <c r="K105" s="7"/>
      <c r="L105" s="7"/>
      <c r="M105" s="7">
        <f t="shared" si="14"/>
        <v>37.379999999999995</v>
      </c>
    </row>
    <row r="106" spans="1:13" x14ac:dyDescent="0.2">
      <c r="A106" s="45">
        <f t="shared" si="11"/>
        <v>8</v>
      </c>
      <c r="C106" s="52">
        <f t="shared" si="15"/>
        <v>45858</v>
      </c>
      <c r="D106" s="52"/>
      <c r="E106" s="7">
        <f t="shared" si="12"/>
        <v>0</v>
      </c>
      <c r="F106" s="7"/>
      <c r="G106" s="7">
        <f t="shared" si="13"/>
        <v>290.88000000000005</v>
      </c>
      <c r="H106" s="7"/>
      <c r="I106" s="7">
        <f t="shared" si="16"/>
        <v>290.88000000000005</v>
      </c>
      <c r="J106" s="7"/>
      <c r="K106" s="7"/>
      <c r="L106" s="7"/>
      <c r="M106" s="7">
        <f t="shared" si="14"/>
        <v>42.72</v>
      </c>
    </row>
    <row r="107" spans="1:13" x14ac:dyDescent="0.2">
      <c r="A107" s="45">
        <f t="shared" si="11"/>
        <v>9</v>
      </c>
      <c r="C107" s="52">
        <f t="shared" si="15"/>
        <v>45889</v>
      </c>
      <c r="D107" s="52"/>
      <c r="E107" s="7">
        <f t="shared" si="12"/>
        <v>0</v>
      </c>
      <c r="F107" s="7"/>
      <c r="G107" s="7">
        <f t="shared" si="13"/>
        <v>327.24000000000007</v>
      </c>
      <c r="H107" s="7"/>
      <c r="I107" s="7">
        <f t="shared" si="16"/>
        <v>327.24000000000007</v>
      </c>
      <c r="J107" s="7"/>
      <c r="K107" s="7"/>
      <c r="L107" s="7"/>
      <c r="M107" s="7">
        <f t="shared" si="14"/>
        <v>48.06</v>
      </c>
    </row>
    <row r="108" spans="1:13" x14ac:dyDescent="0.2">
      <c r="A108" s="45">
        <f t="shared" si="11"/>
        <v>10</v>
      </c>
      <c r="C108" s="52">
        <f t="shared" si="15"/>
        <v>45920</v>
      </c>
      <c r="D108" s="52"/>
      <c r="E108" s="7">
        <f t="shared" si="12"/>
        <v>0</v>
      </c>
      <c r="F108" s="7"/>
      <c r="G108" s="7">
        <f t="shared" si="13"/>
        <v>363.60000000000008</v>
      </c>
      <c r="H108" s="7"/>
      <c r="I108" s="7">
        <f t="shared" si="16"/>
        <v>363.60000000000008</v>
      </c>
      <c r="J108" s="7"/>
      <c r="K108" s="7"/>
      <c r="L108" s="7"/>
      <c r="M108" s="7">
        <f t="shared" si="14"/>
        <v>53.400000000000006</v>
      </c>
    </row>
    <row r="109" spans="1:13" x14ac:dyDescent="0.2">
      <c r="A109" s="45">
        <f t="shared" si="11"/>
        <v>11</v>
      </c>
      <c r="C109" s="52">
        <f t="shared" si="15"/>
        <v>45951</v>
      </c>
      <c r="D109" s="52"/>
      <c r="E109" s="7">
        <f t="shared" si="12"/>
        <v>0</v>
      </c>
      <c r="F109" s="7"/>
      <c r="G109" s="7">
        <f t="shared" si="13"/>
        <v>399.96000000000009</v>
      </c>
      <c r="H109" s="7"/>
      <c r="I109" s="7">
        <f t="shared" si="16"/>
        <v>399.96000000000009</v>
      </c>
      <c r="J109" s="7"/>
      <c r="K109" s="7"/>
      <c r="L109" s="7"/>
      <c r="M109" s="7">
        <f t="shared" si="14"/>
        <v>58.740000000000009</v>
      </c>
    </row>
    <row r="110" spans="1:13" x14ac:dyDescent="0.2">
      <c r="A110" s="45">
        <f t="shared" si="11"/>
        <v>12</v>
      </c>
      <c r="C110" s="52">
        <f t="shared" si="15"/>
        <v>45982</v>
      </c>
      <c r="D110" s="52"/>
      <c r="E110" s="7">
        <f t="shared" si="12"/>
        <v>0</v>
      </c>
      <c r="F110" s="7"/>
      <c r="G110" s="7">
        <f t="shared" si="13"/>
        <v>436.32000000000011</v>
      </c>
      <c r="H110" s="7"/>
      <c r="I110" s="7">
        <f t="shared" si="16"/>
        <v>436.32000000000011</v>
      </c>
      <c r="J110" s="7"/>
      <c r="K110" s="7"/>
      <c r="L110" s="7"/>
      <c r="M110" s="7">
        <f t="shared" si="14"/>
        <v>64.080000000000013</v>
      </c>
    </row>
    <row r="111" spans="1:13" x14ac:dyDescent="0.2">
      <c r="A111" s="45">
        <f t="shared" si="11"/>
        <v>13</v>
      </c>
      <c r="C111" s="52">
        <f t="shared" si="15"/>
        <v>46013</v>
      </c>
      <c r="D111" s="52"/>
      <c r="E111" s="115">
        <f t="shared" si="12"/>
        <v>0</v>
      </c>
      <c r="F111" s="7"/>
      <c r="G111" s="115">
        <f t="shared" si="13"/>
        <v>472.68000000000012</v>
      </c>
      <c r="H111" s="7"/>
      <c r="I111" s="115">
        <f t="shared" si="16"/>
        <v>472.68000000000012</v>
      </c>
      <c r="J111" s="7"/>
      <c r="K111" s="7"/>
      <c r="L111" s="7"/>
      <c r="M111" s="115">
        <f t="shared" si="14"/>
        <v>69.420000000000016</v>
      </c>
    </row>
    <row r="112" spans="1:13" x14ac:dyDescent="0.2">
      <c r="A112" s="45">
        <f t="shared" si="11"/>
        <v>14</v>
      </c>
      <c r="C112" s="58" t="s">
        <v>47</v>
      </c>
      <c r="D112" s="58"/>
      <c r="E112" s="110">
        <f>SUM(E100:E111)</f>
        <v>0</v>
      </c>
      <c r="F112" s="110"/>
      <c r="G112" s="110">
        <f>SUM(G99:G111)</f>
        <v>3308.7600000000011</v>
      </c>
      <c r="H112" s="110"/>
      <c r="I112" s="110">
        <f>SUM(I99:I111)</f>
        <v>3308.7600000000011</v>
      </c>
      <c r="J112" s="110"/>
      <c r="K112" s="110"/>
      <c r="L112" s="110"/>
      <c r="M112" s="110">
        <f>SUM(M99:M111)</f>
        <v>485.94</v>
      </c>
    </row>
    <row r="113" spans="1:13" x14ac:dyDescent="0.2">
      <c r="A113" s="45">
        <f t="shared" si="11"/>
        <v>15</v>
      </c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ht="12" thickBot="1" x14ac:dyDescent="0.25">
      <c r="A114" s="45">
        <f t="shared" si="11"/>
        <v>16</v>
      </c>
      <c r="C114" s="73" t="s">
        <v>139</v>
      </c>
      <c r="D114" s="73"/>
      <c r="E114" s="112">
        <f>ROUND(+E112/12,2)</f>
        <v>0</v>
      </c>
      <c r="F114" s="110"/>
      <c r="G114" s="112">
        <f>ROUND(+G112/13,2)</f>
        <v>254.52</v>
      </c>
      <c r="H114" s="110"/>
      <c r="I114" s="112">
        <f>ROUND(+I112/13,2)</f>
        <v>254.52</v>
      </c>
      <c r="J114" s="110"/>
      <c r="K114" s="110"/>
      <c r="L114" s="110"/>
      <c r="M114" s="112">
        <f>ROUND(+M112/13,2)</f>
        <v>37.380000000000003</v>
      </c>
    </row>
    <row r="115" spans="1:13" ht="12" thickTop="1" x14ac:dyDescent="0.2">
      <c r="A115" s="45">
        <f t="shared" si="11"/>
        <v>17</v>
      </c>
      <c r="E115" s="113" t="s">
        <v>10</v>
      </c>
      <c r="F115" s="113"/>
      <c r="G115" s="113" t="s">
        <v>10</v>
      </c>
      <c r="H115" s="113"/>
      <c r="I115" s="113" t="s">
        <v>10</v>
      </c>
      <c r="J115" s="110"/>
      <c r="K115" s="110"/>
      <c r="L115" s="110"/>
      <c r="M115" s="110"/>
    </row>
    <row r="116" spans="1:13" x14ac:dyDescent="0.2">
      <c r="A116" s="45">
        <f t="shared" si="11"/>
        <v>18</v>
      </c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 ht="12" thickBot="1" x14ac:dyDescent="0.25">
      <c r="A117" s="45">
        <f t="shared" si="11"/>
        <v>19</v>
      </c>
      <c r="C117" s="58" t="s">
        <v>87</v>
      </c>
      <c r="D117" s="58"/>
      <c r="E117" s="110"/>
      <c r="F117" s="110"/>
      <c r="G117" s="110"/>
      <c r="H117" s="110"/>
      <c r="I117" s="118">
        <f>I114</f>
        <v>254.52</v>
      </c>
      <c r="J117" s="110"/>
      <c r="K117" s="110"/>
      <c r="L117" s="110"/>
      <c r="M117" s="118">
        <f>+M114</f>
        <v>37.380000000000003</v>
      </c>
    </row>
    <row r="118" spans="1:13" ht="12" thickTop="1" x14ac:dyDescent="0.2">
      <c r="A118" s="45">
        <f t="shared" si="11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1"/>
        <v>21</v>
      </c>
      <c r="I119" s="58" t="s">
        <v>167</v>
      </c>
      <c r="M119" s="58" t="s">
        <v>168</v>
      </c>
    </row>
    <row r="120" spans="1:13" x14ac:dyDescent="0.2">
      <c r="A120" s="45">
        <f t="shared" si="11"/>
        <v>22</v>
      </c>
    </row>
    <row r="121" spans="1:13" x14ac:dyDescent="0.2">
      <c r="A121" s="45">
        <f t="shared" si="11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1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1"/>
        <v>25</v>
      </c>
      <c r="C123" s="71" t="str">
        <f>C78</f>
        <v>Acct 2.378.03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11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1"/>
        <v>27</v>
      </c>
      <c r="H125" s="54"/>
      <c r="I125" s="54"/>
    </row>
    <row r="126" spans="1:13" x14ac:dyDescent="0.2">
      <c r="A126" s="45">
        <f t="shared" si="11"/>
        <v>28</v>
      </c>
    </row>
    <row r="127" spans="1:13" x14ac:dyDescent="0.2">
      <c r="A127" s="45">
        <f t="shared" si="11"/>
        <v>29</v>
      </c>
    </row>
    <row r="128" spans="1:13" x14ac:dyDescent="0.2">
      <c r="A128" s="45">
        <f t="shared" si="11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2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F0C9-70D1-4D55-8B7D-E20E0FEF0E7F}">
  <dimension ref="A1:L121"/>
  <sheetViews>
    <sheetView view="pageLayout" zoomScaleNormal="100" workbookViewId="0">
      <selection activeCell="L19" sqref="L19"/>
    </sheetView>
  </sheetViews>
  <sheetFormatPr defaultColWidth="9.140625" defaultRowHeight="11.25" x14ac:dyDescent="0.2"/>
  <cols>
    <col min="1" max="1" width="4.42578125" style="76" customWidth="1"/>
    <col min="2" max="2" width="9.140625" style="76"/>
    <col min="3" max="3" width="0.85546875" style="76" customWidth="1"/>
    <col min="4" max="4" width="14.7109375" style="76" customWidth="1"/>
    <col min="5" max="5" width="5.85546875" style="76" customWidth="1"/>
    <col min="6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  <c r="L2" s="125"/>
    </row>
    <row r="3" spans="1:12" ht="12.75" x14ac:dyDescent="0.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25"/>
      <c r="L3" s="125"/>
    </row>
    <row r="4" spans="1:12" ht="12.75" x14ac:dyDescent="0.2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25.5" customHeight="1" x14ac:dyDescent="0.2">
      <c r="A5" s="142" t="str">
        <f>'CAPGDS1000001244 Input'!A5:J5</f>
        <v>Pro-Forma Adjustment - System Reliability</v>
      </c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3"/>
      <c r="L6" s="143"/>
    </row>
    <row r="7" spans="1:12" ht="12.75" x14ac:dyDescent="0.2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3"/>
      <c r="L7" s="143"/>
    </row>
    <row r="8" spans="1:12" ht="12.75" x14ac:dyDescent="0.2">
      <c r="A8" s="142" t="str">
        <f>'CAPGDS1000001244 Input'!F8</f>
        <v xml:space="preserve">SFS - 69th St &amp; S Veterans Pkwy - 8"STL Main </v>
      </c>
      <c r="B8" s="142"/>
      <c r="C8" s="142"/>
      <c r="D8" s="142"/>
      <c r="E8" s="142"/>
      <c r="F8" s="142"/>
      <c r="G8" s="142"/>
      <c r="H8" s="142"/>
      <c r="I8" s="142"/>
      <c r="J8" s="142"/>
      <c r="K8" s="143"/>
      <c r="L8" s="143"/>
    </row>
    <row r="11" spans="1:12" x14ac:dyDescent="0.2">
      <c r="B11" s="77"/>
      <c r="D11" s="78"/>
    </row>
    <row r="12" spans="1:12" x14ac:dyDescent="0.2">
      <c r="B12" s="77"/>
      <c r="D12" s="78"/>
    </row>
    <row r="15" spans="1:12" x14ac:dyDescent="0.2">
      <c r="B15" s="77"/>
      <c r="D15" s="78"/>
    </row>
    <row r="16" spans="1:12" x14ac:dyDescent="0.2">
      <c r="B16" s="77"/>
      <c r="D16" s="78"/>
    </row>
    <row r="17" spans="2:4" x14ac:dyDescent="0.2">
      <c r="B17" s="77"/>
      <c r="D17" s="78"/>
    </row>
    <row r="18" spans="2:4" x14ac:dyDescent="0.2">
      <c r="B18" s="77"/>
      <c r="D18" s="78"/>
    </row>
    <row r="19" spans="2:4" x14ac:dyDescent="0.2">
      <c r="B19" s="77"/>
      <c r="D19" s="78"/>
    </row>
    <row r="20" spans="2:4" x14ac:dyDescent="0.2">
      <c r="B20" s="77"/>
      <c r="D20" s="78"/>
    </row>
    <row r="21" spans="2:4" x14ac:dyDescent="0.2">
      <c r="B21" s="77"/>
      <c r="D21" s="78"/>
    </row>
    <row r="22" spans="2:4" x14ac:dyDescent="0.2">
      <c r="B22" s="77"/>
      <c r="D22" s="78"/>
    </row>
    <row r="23" spans="2:4" x14ac:dyDescent="0.2">
      <c r="B23" s="77"/>
      <c r="D23" s="78"/>
    </row>
    <row r="24" spans="2:4" x14ac:dyDescent="0.2">
      <c r="B24" s="77"/>
      <c r="D24" s="78"/>
    </row>
    <row r="25" spans="2:4" x14ac:dyDescent="0.2">
      <c r="B25" s="77"/>
      <c r="D25" s="78"/>
    </row>
    <row r="26" spans="2:4" x14ac:dyDescent="0.2">
      <c r="B26" s="77"/>
      <c r="D26" s="78"/>
    </row>
    <row r="27" spans="2:4" x14ac:dyDescent="0.2">
      <c r="B27" s="77"/>
      <c r="D27" s="78"/>
    </row>
    <row r="28" spans="2:4" x14ac:dyDescent="0.2">
      <c r="B28" s="77"/>
      <c r="D28" s="78"/>
    </row>
    <row r="29" spans="2:4" x14ac:dyDescent="0.2">
      <c r="B29" s="77"/>
      <c r="D29" s="78"/>
    </row>
    <row r="30" spans="2:4" x14ac:dyDescent="0.2">
      <c r="B30" s="77"/>
      <c r="D30" s="78"/>
    </row>
    <row r="31" spans="2:4" x14ac:dyDescent="0.2">
      <c r="B31" s="77"/>
      <c r="D31" s="78"/>
    </row>
    <row r="32" spans="2:4" x14ac:dyDescent="0.2">
      <c r="B32" s="77"/>
      <c r="D32" s="78"/>
    </row>
    <row r="33" spans="2:4" x14ac:dyDescent="0.2">
      <c r="B33" s="77"/>
      <c r="D33" s="78"/>
    </row>
    <row r="34" spans="2:4" x14ac:dyDescent="0.2">
      <c r="B34" s="77"/>
      <c r="D34" s="78"/>
    </row>
    <row r="35" spans="2:4" x14ac:dyDescent="0.2">
      <c r="B35" s="77"/>
      <c r="D35" s="78"/>
    </row>
    <row r="36" spans="2:4" x14ac:dyDescent="0.2">
      <c r="B36" s="77"/>
      <c r="D36" s="78"/>
    </row>
    <row r="37" spans="2:4" x14ac:dyDescent="0.2">
      <c r="B37" s="77"/>
      <c r="D37" s="78"/>
    </row>
    <row r="38" spans="2:4" x14ac:dyDescent="0.2">
      <c r="B38" s="77"/>
      <c r="D38" s="78"/>
    </row>
    <row r="39" spans="2:4" x14ac:dyDescent="0.2">
      <c r="B39" s="77"/>
      <c r="D39" s="78"/>
    </row>
    <row r="40" spans="2:4" x14ac:dyDescent="0.2">
      <c r="B40" s="77"/>
      <c r="D40" s="78"/>
    </row>
    <row r="41" spans="2:4" x14ac:dyDescent="0.2">
      <c r="B41" s="77"/>
      <c r="D41" s="78"/>
    </row>
    <row r="42" spans="2:4" x14ac:dyDescent="0.2">
      <c r="B42" s="77"/>
      <c r="D42" s="78"/>
    </row>
    <row r="43" spans="2:4" x14ac:dyDescent="0.2">
      <c r="B43" s="77"/>
      <c r="D43" s="78"/>
    </row>
    <row r="44" spans="2:4" x14ac:dyDescent="0.2">
      <c r="B44" s="77"/>
      <c r="D44" s="78"/>
    </row>
    <row r="45" spans="2:4" x14ac:dyDescent="0.2">
      <c r="B45" s="77"/>
      <c r="D45" s="78"/>
    </row>
    <row r="46" spans="2:4" x14ac:dyDescent="0.2">
      <c r="B46" s="77"/>
      <c r="D46" s="78"/>
    </row>
    <row r="47" spans="2:4" x14ac:dyDescent="0.2">
      <c r="B47" s="77"/>
      <c r="D47" s="78"/>
    </row>
    <row r="48" spans="2:4" x14ac:dyDescent="0.2">
      <c r="B48" s="77"/>
      <c r="D48" s="78"/>
    </row>
    <row r="49" spans="1:12" x14ac:dyDescent="0.2">
      <c r="B49" s="77"/>
      <c r="D49" s="78"/>
    </row>
    <row r="50" spans="1:12" x14ac:dyDescent="0.2">
      <c r="B50" s="77"/>
      <c r="D50" s="78"/>
    </row>
    <row r="51" spans="1:12" x14ac:dyDescent="0.2">
      <c r="B51" s="77"/>
      <c r="D51" s="78"/>
    </row>
    <row r="52" spans="1:12" x14ac:dyDescent="0.2">
      <c r="B52" s="77"/>
      <c r="D52" s="78"/>
    </row>
    <row r="53" spans="1:12" x14ac:dyDescent="0.2">
      <c r="B53" s="77"/>
      <c r="D53" s="78"/>
    </row>
    <row r="54" spans="1:12" x14ac:dyDescent="0.2">
      <c r="B54" s="77"/>
      <c r="D54" s="78"/>
    </row>
    <row r="55" spans="1:12" x14ac:dyDescent="0.2">
      <c r="B55" s="77"/>
      <c r="D55" s="78"/>
    </row>
    <row r="56" spans="1:12" ht="12.75" x14ac:dyDescent="0.2">
      <c r="A56" s="142" t="s">
        <v>0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3"/>
      <c r="L56" s="143"/>
    </row>
    <row r="57" spans="1:12" ht="12.75" x14ac:dyDescent="0.2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3"/>
      <c r="L57" s="143"/>
    </row>
    <row r="58" spans="1:12" ht="12.75" x14ac:dyDescent="0.2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3"/>
      <c r="L58" s="143"/>
    </row>
    <row r="59" spans="1:12" ht="12.75" x14ac:dyDescent="0.2">
      <c r="A59" s="142" t="s">
        <v>138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3"/>
      <c r="L59" s="143"/>
    </row>
    <row r="60" spans="1:12" x14ac:dyDescent="0.2">
      <c r="B60" s="77"/>
      <c r="D60" s="78"/>
    </row>
    <row r="61" spans="1:12" x14ac:dyDescent="0.2">
      <c r="B61" s="77"/>
      <c r="D61" s="78"/>
    </row>
    <row r="62" spans="1:12" x14ac:dyDescent="0.2">
      <c r="B62" s="77"/>
      <c r="D62" s="78"/>
    </row>
    <row r="63" spans="1:12" x14ac:dyDescent="0.2">
      <c r="B63" s="77"/>
      <c r="D63" s="78"/>
    </row>
    <row r="64" spans="1:12" x14ac:dyDescent="0.2">
      <c r="B64" s="77"/>
      <c r="D64" s="78"/>
    </row>
    <row r="65" spans="1:12" x14ac:dyDescent="0.2">
      <c r="B65" s="77"/>
      <c r="D65" s="78"/>
    </row>
    <row r="66" spans="1:12" x14ac:dyDescent="0.2">
      <c r="B66" s="77"/>
      <c r="D66" s="78"/>
    </row>
    <row r="67" spans="1:12" x14ac:dyDescent="0.2">
      <c r="B67" s="77"/>
      <c r="D67" s="78"/>
    </row>
    <row r="68" spans="1:12" x14ac:dyDescent="0.2">
      <c r="B68" s="77"/>
      <c r="D68" s="78"/>
    </row>
    <row r="69" spans="1:12" x14ac:dyDescent="0.2">
      <c r="B69" s="77"/>
      <c r="D69" s="78"/>
    </row>
    <row r="72" spans="1:12" ht="12.75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3"/>
      <c r="L72" s="143"/>
    </row>
    <row r="73" spans="1:12" ht="12.75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3"/>
      <c r="L73" s="143"/>
    </row>
    <row r="74" spans="1:12" ht="12.75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3"/>
      <c r="L74" s="143"/>
    </row>
    <row r="75" spans="1:12" ht="12.75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3"/>
      <c r="L75" s="143"/>
    </row>
    <row r="76" spans="1:12" ht="12.75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3"/>
      <c r="L76" s="143"/>
    </row>
    <row r="77" spans="1:12" ht="12.75" x14ac:dyDescent="0.2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3"/>
      <c r="L77" s="143"/>
    </row>
    <row r="118" spans="1:12" ht="12.75" x14ac:dyDescent="0.2">
      <c r="A118" s="142" t="s">
        <v>0</v>
      </c>
      <c r="B118" s="141"/>
      <c r="C118" s="141"/>
      <c r="D118" s="141"/>
      <c r="E118" s="141"/>
      <c r="F118" s="141"/>
      <c r="G118" s="141"/>
      <c r="H118" s="141"/>
      <c r="I118" s="141"/>
      <c r="J118" s="141"/>
      <c r="K118" s="143"/>
      <c r="L118" s="143"/>
    </row>
    <row r="119" spans="1:12" ht="12.75" x14ac:dyDescent="0.2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3"/>
      <c r="L119" s="143"/>
    </row>
    <row r="120" spans="1:12" ht="12.75" x14ac:dyDescent="0.2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3"/>
      <c r="L120" s="143"/>
    </row>
    <row r="121" spans="1:12" ht="12.75" x14ac:dyDescent="0.2">
      <c r="A121" s="142" t="s">
        <v>138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3"/>
      <c r="L121" s="143"/>
    </row>
  </sheetData>
  <mergeCells count="20">
    <mergeCell ref="A1:L1"/>
    <mergeCell ref="A4:L4"/>
    <mergeCell ref="A5:L5"/>
    <mergeCell ref="A6:L6"/>
    <mergeCell ref="A7:L7"/>
    <mergeCell ref="A118:L118"/>
    <mergeCell ref="A119:L119"/>
    <mergeCell ref="A120:L120"/>
    <mergeCell ref="A121:L121"/>
    <mergeCell ref="A8:L8"/>
    <mergeCell ref="A72:L72"/>
    <mergeCell ref="A56:L56"/>
    <mergeCell ref="A57:L57"/>
    <mergeCell ref="A58:L58"/>
    <mergeCell ref="A59:L59"/>
    <mergeCell ref="A73:L73"/>
    <mergeCell ref="A74:L74"/>
    <mergeCell ref="A75:L75"/>
    <mergeCell ref="A76:L76"/>
    <mergeCell ref="A77:L7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51" max="11" man="1"/>
    <brk id="11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10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33.75" customHeight="1" x14ac:dyDescent="0.2">
      <c r="A5" s="46" t="str">
        <f>'CAPGDS1000001240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'CAPGDS1000001240 Input'!F8</f>
        <v>Harrisburg Main Ext W Willow from Hwy 115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'CAPGDS1000001240 Input'!B15</f>
        <v>45641</v>
      </c>
      <c r="D17" s="52"/>
      <c r="E17" s="109">
        <f>'CAPGDS1000001240 Input'!D15*'CAPGDS1000001240 Input'!$D$9*'CAPGDS1000001240 Input'!$H$9</f>
        <v>0</v>
      </c>
      <c r="F17" s="110"/>
      <c r="G17" s="111">
        <f>'CAPGDS1000001240 Input'!D30*'CAPGDS1000001240 Input'!D9*'CAPGDS1000001240 Input'!H9</f>
        <v>149570</v>
      </c>
      <c r="H17" s="110"/>
      <c r="I17" s="109">
        <f t="shared" ref="I17:I29" si="0">G17-E17</f>
        <v>149570</v>
      </c>
    </row>
    <row r="18" spans="1:10" x14ac:dyDescent="0.2">
      <c r="A18" s="45">
        <f t="shared" ref="A18:A40" si="1">1+A17</f>
        <v>2</v>
      </c>
      <c r="C18" s="52">
        <f>'CAPGDS1000001240 Input'!B16</f>
        <v>45672</v>
      </c>
      <c r="D18" s="52"/>
      <c r="E18" s="80">
        <f>'CAPGDS1000001240 Input'!D16*'CAPGDS1000001240 Input'!$D$9*'CAPGDS1000001240 Input'!$H$9</f>
        <v>0</v>
      </c>
      <c r="F18" s="7"/>
      <c r="G18" s="7">
        <f>$G$17</f>
        <v>149570</v>
      </c>
      <c r="H18" s="7"/>
      <c r="I18" s="80">
        <f t="shared" si="0"/>
        <v>149570</v>
      </c>
    </row>
    <row r="19" spans="1:10" x14ac:dyDescent="0.2">
      <c r="A19" s="45">
        <f t="shared" si="1"/>
        <v>3</v>
      </c>
      <c r="C19" s="52">
        <f>'CAPGDS1000001240 Input'!B17</f>
        <v>45702</v>
      </c>
      <c r="D19" s="52"/>
      <c r="E19" s="80">
        <f>'CAPGDS1000001240 Input'!D17*'CAPGDS1000001240 Input'!$D$9*'CAPGDS1000001240 Input'!$H$9</f>
        <v>0</v>
      </c>
      <c r="F19" s="7"/>
      <c r="G19" s="7">
        <f t="shared" ref="G19:G29" si="2">$G$17</f>
        <v>149570</v>
      </c>
      <c r="H19" s="7"/>
      <c r="I19" s="7">
        <f t="shared" si="0"/>
        <v>149570</v>
      </c>
      <c r="J19" s="54"/>
    </row>
    <row r="20" spans="1:10" x14ac:dyDescent="0.2">
      <c r="A20" s="45">
        <f t="shared" si="1"/>
        <v>4</v>
      </c>
      <c r="C20" s="52">
        <f>'CAPGDS1000001240 Input'!B18</f>
        <v>45732</v>
      </c>
      <c r="D20" s="52"/>
      <c r="E20" s="80">
        <f>'CAPGDS1000001240 Input'!D18*'CAPGDS1000001240 Input'!$D$9*'CAPGDS1000001240 Input'!$H$9</f>
        <v>0</v>
      </c>
      <c r="F20" s="7"/>
      <c r="G20" s="7">
        <f t="shared" si="2"/>
        <v>149570</v>
      </c>
      <c r="H20" s="7"/>
      <c r="I20" s="7">
        <f t="shared" si="0"/>
        <v>149570</v>
      </c>
      <c r="J20" s="54"/>
    </row>
    <row r="21" spans="1:10" x14ac:dyDescent="0.2">
      <c r="A21" s="45">
        <f t="shared" si="1"/>
        <v>5</v>
      </c>
      <c r="C21" s="52">
        <f>'CAPGDS1000001240 Input'!B19</f>
        <v>45762</v>
      </c>
      <c r="D21" s="52"/>
      <c r="E21" s="80">
        <f>'CAPGDS1000001240 Input'!D19*'CAPGDS1000001240 Input'!$D$9*'CAPGDS1000001240 Input'!$H$9</f>
        <v>0</v>
      </c>
      <c r="F21" s="7"/>
      <c r="G21" s="7">
        <f t="shared" si="2"/>
        <v>149570</v>
      </c>
      <c r="H21" s="7"/>
      <c r="I21" s="7">
        <f t="shared" si="0"/>
        <v>149570</v>
      </c>
      <c r="J21" s="54"/>
    </row>
    <row r="22" spans="1:10" x14ac:dyDescent="0.2">
      <c r="A22" s="45">
        <f t="shared" si="1"/>
        <v>6</v>
      </c>
      <c r="C22" s="52">
        <f>'CAPGDS1000001240 Input'!B20</f>
        <v>45792</v>
      </c>
      <c r="D22" s="52"/>
      <c r="E22" s="80">
        <f>'CAPGDS1000001240 Input'!D20*'CAPGDS1000001240 Input'!$D$9*'CAPGDS1000001240 Input'!$H$9</f>
        <v>0</v>
      </c>
      <c r="F22" s="7"/>
      <c r="G22" s="7">
        <f t="shared" si="2"/>
        <v>149570</v>
      </c>
      <c r="H22" s="7"/>
      <c r="I22" s="7">
        <f t="shared" si="0"/>
        <v>149570</v>
      </c>
      <c r="J22" s="54"/>
    </row>
    <row r="23" spans="1:10" x14ac:dyDescent="0.2">
      <c r="A23" s="45">
        <f t="shared" si="1"/>
        <v>7</v>
      </c>
      <c r="C23" s="52">
        <f>'CAPGDS1000001240 Input'!B21</f>
        <v>45822</v>
      </c>
      <c r="D23" s="52"/>
      <c r="E23" s="80">
        <f>'CAPGDS1000001240 Input'!D21*'CAPGDS1000001240 Input'!$D$9*'CAPGDS1000001240 Input'!$H$9</f>
        <v>0</v>
      </c>
      <c r="F23" s="7"/>
      <c r="G23" s="7">
        <f t="shared" si="2"/>
        <v>149570</v>
      </c>
      <c r="H23" s="7"/>
      <c r="I23" s="7">
        <f t="shared" si="0"/>
        <v>149570</v>
      </c>
      <c r="J23" s="54"/>
    </row>
    <row r="24" spans="1:10" x14ac:dyDescent="0.2">
      <c r="A24" s="45">
        <f t="shared" si="1"/>
        <v>8</v>
      </c>
      <c r="C24" s="52">
        <f>'CAPGDS1000001240 Input'!B22</f>
        <v>45852</v>
      </c>
      <c r="D24" s="52"/>
      <c r="E24" s="80">
        <f>'CAPGDS1000001240 Input'!D22*'CAPGDS1000001240 Input'!$D$9*'CAPGDS1000001240 Input'!$H$9</f>
        <v>0</v>
      </c>
      <c r="F24" s="7"/>
      <c r="G24" s="7">
        <f t="shared" si="2"/>
        <v>149570</v>
      </c>
      <c r="H24" s="7"/>
      <c r="I24" s="7">
        <f t="shared" si="0"/>
        <v>149570</v>
      </c>
      <c r="J24" s="54"/>
    </row>
    <row r="25" spans="1:10" x14ac:dyDescent="0.2">
      <c r="A25" s="45">
        <f t="shared" si="1"/>
        <v>9</v>
      </c>
      <c r="C25" s="52">
        <f>'CAPGDS1000001240 Input'!B23</f>
        <v>45882</v>
      </c>
      <c r="D25" s="52"/>
      <c r="E25" s="80">
        <f>'CAPGDS1000001240 Input'!D23*'CAPGDS1000001240 Input'!$D$9*'CAPGDS1000001240 Input'!$H$9</f>
        <v>0</v>
      </c>
      <c r="F25" s="7"/>
      <c r="G25" s="7">
        <f t="shared" si="2"/>
        <v>149570</v>
      </c>
      <c r="H25" s="7"/>
      <c r="I25" s="7">
        <f t="shared" si="0"/>
        <v>149570</v>
      </c>
      <c r="J25" s="54"/>
    </row>
    <row r="26" spans="1:10" x14ac:dyDescent="0.2">
      <c r="A26" s="45">
        <f t="shared" si="1"/>
        <v>10</v>
      </c>
      <c r="C26" s="52">
        <f>'CAPGDS1000001240 Input'!B24</f>
        <v>45912</v>
      </c>
      <c r="D26" s="52"/>
      <c r="E26" s="80">
        <f>'CAPGDS1000001240 Input'!D24*'CAPGDS1000001240 Input'!$D$9*'CAPGDS1000001240 Input'!$H$9</f>
        <v>0</v>
      </c>
      <c r="F26" s="7"/>
      <c r="G26" s="7">
        <f t="shared" si="2"/>
        <v>149570</v>
      </c>
      <c r="H26" s="7"/>
      <c r="I26" s="7">
        <f t="shared" si="0"/>
        <v>149570</v>
      </c>
      <c r="J26" s="54"/>
    </row>
    <row r="27" spans="1:10" x14ac:dyDescent="0.2">
      <c r="A27" s="45">
        <f t="shared" si="1"/>
        <v>11</v>
      </c>
      <c r="C27" s="52">
        <f>'CAPGDS1000001240 Input'!B25</f>
        <v>45942</v>
      </c>
      <c r="D27" s="52"/>
      <c r="E27" s="80">
        <f>'CAPGDS1000001240 Input'!D25*'CAPGDS1000001240 Input'!$D$9*'CAPGDS1000001240 Input'!$H$9</f>
        <v>0</v>
      </c>
      <c r="F27" s="7"/>
      <c r="G27" s="7">
        <f t="shared" si="2"/>
        <v>149570</v>
      </c>
      <c r="H27" s="7"/>
      <c r="I27" s="7">
        <f t="shared" si="0"/>
        <v>149570</v>
      </c>
      <c r="J27" s="54"/>
    </row>
    <row r="28" spans="1:10" x14ac:dyDescent="0.2">
      <c r="A28" s="45">
        <f t="shared" si="1"/>
        <v>12</v>
      </c>
      <c r="C28" s="52">
        <f>'CAPGDS1000001240 Input'!B26</f>
        <v>45972</v>
      </c>
      <c r="D28" s="52"/>
      <c r="E28" s="80">
        <f>'CAPGDS1000001240 Input'!D26*'CAPGDS1000001240 Input'!$D$9*'CAPGDS1000001240 Input'!$H$9</f>
        <v>0</v>
      </c>
      <c r="F28" s="7"/>
      <c r="G28" s="7">
        <f t="shared" si="2"/>
        <v>149570</v>
      </c>
      <c r="H28" s="7"/>
      <c r="I28" s="7">
        <f t="shared" si="0"/>
        <v>149570</v>
      </c>
      <c r="J28" s="54"/>
    </row>
    <row r="29" spans="1:10" x14ac:dyDescent="0.2">
      <c r="A29" s="45">
        <f t="shared" si="1"/>
        <v>13</v>
      </c>
      <c r="C29" s="52">
        <f>'CAPGDS1000001240 Input'!B27</f>
        <v>46002</v>
      </c>
      <c r="D29" s="52"/>
      <c r="E29" s="114">
        <f>'CAPGDS1000001240 Input'!D27*'CAPGDS1000001240 Input'!$D$9*'CAPGDS1000001240 Input'!$H$9</f>
        <v>0</v>
      </c>
      <c r="F29" s="7"/>
      <c r="G29" s="115">
        <f t="shared" si="2"/>
        <v>149570</v>
      </c>
      <c r="H29" s="7"/>
      <c r="I29" s="115">
        <f t="shared" si="0"/>
        <v>149570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SUM(E18:E29)</f>
        <v>0</v>
      </c>
      <c r="F30" s="110"/>
      <c r="G30" s="110">
        <f>SUM(G17:G29)</f>
        <v>1944410</v>
      </c>
      <c r="H30" s="110"/>
      <c r="I30" s="110">
        <f>SUM(I17:I29)</f>
        <v>1944410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ROUND(+E30/12,2)</f>
        <v>0</v>
      </c>
      <c r="F32" s="110"/>
      <c r="G32" s="112">
        <f>ROUND(+G30/13,2)</f>
        <v>149570</v>
      </c>
      <c r="H32" s="110"/>
      <c r="I32" s="112">
        <f>ROUND(+I30/13,2)</f>
        <v>149570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149570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5.5703125" style="45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1.75" customHeight="1" x14ac:dyDescent="0.2">
      <c r="A5" s="139" t="str">
        <f>'CAPGDS1000001240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'CAPGDS1000001240 Input'!F8</f>
        <v>Harrisburg Main Ext W Willow from Hwy 115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'CAPGDS1000001240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"&amp;'CAPGDS1000001240 Input'!F15</f>
        <v>Acct 2.376.00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'CAPGDS1000001240 TotalWO'!C17</f>
        <v>45641</v>
      </c>
      <c r="D17" s="52"/>
      <c r="E17" s="109">
        <f>'CAPGDS1000001240 TotalWO'!E17*'CAPGDS1000001240 Input'!$H$15</f>
        <v>0</v>
      </c>
      <c r="F17" s="116"/>
      <c r="G17" s="109">
        <f>'CAPGDS1000001240 TotalWO'!G17*'CAPGDS1000001240 Input'!$H$15</f>
        <v>149570</v>
      </c>
      <c r="H17" s="110"/>
      <c r="I17" s="109">
        <f t="shared" ref="I17:I29" si="0">G17-E17</f>
        <v>149570</v>
      </c>
    </row>
    <row r="18" spans="1:12" x14ac:dyDescent="0.2">
      <c r="A18" s="45">
        <f t="shared" ref="A18:A40" si="1">1+A17</f>
        <v>2</v>
      </c>
      <c r="C18" s="52">
        <f>'CAPGDS1000001240 TotalWO'!C18</f>
        <v>45672</v>
      </c>
      <c r="D18" s="52"/>
      <c r="E18" s="80">
        <f>'CAPGDS1000001240 TotalWO'!E18*'CAPGDS1000001240 Input'!$H$15</f>
        <v>0</v>
      </c>
      <c r="F18" s="80"/>
      <c r="G18" s="80">
        <f>'CAPGDS1000001240 TotalWO'!G18*'CAPGDS1000001240 Input'!$H$15</f>
        <v>149570</v>
      </c>
      <c r="H18" s="7"/>
      <c r="I18" s="80">
        <f t="shared" si="0"/>
        <v>149570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'CAPGDS1000001240 TotalWO'!E19*'CAPGDS1000001240 Input'!$H$15</f>
        <v>0</v>
      </c>
      <c r="F19" s="80"/>
      <c r="G19" s="80">
        <f>'CAPGDS1000001240 TotalWO'!G19*'CAPGDS1000001240 Input'!$H$15</f>
        <v>149570</v>
      </c>
      <c r="H19" s="7"/>
      <c r="I19" s="7">
        <f t="shared" si="0"/>
        <v>149570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'CAPGDS1000001240 TotalWO'!E20*'CAPGDS1000001240 Input'!$H$15</f>
        <v>0</v>
      </c>
      <c r="F20" s="80"/>
      <c r="G20" s="80">
        <f>'CAPGDS1000001240 TotalWO'!G20*'CAPGDS1000001240 Input'!$H$15</f>
        <v>149570</v>
      </c>
      <c r="H20" s="7"/>
      <c r="I20" s="7">
        <f t="shared" si="0"/>
        <v>149570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'CAPGDS1000001240 TotalWO'!E21*'CAPGDS1000001240 Input'!$H$15</f>
        <v>0</v>
      </c>
      <c r="F21" s="80"/>
      <c r="G21" s="80">
        <f>'CAPGDS1000001240 TotalWO'!G21*'CAPGDS1000001240 Input'!$H$15</f>
        <v>149570</v>
      </c>
      <c r="H21" s="7"/>
      <c r="I21" s="7">
        <f t="shared" si="0"/>
        <v>149570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'CAPGDS1000001240 TotalWO'!E22*'CAPGDS1000001240 Input'!$H$15</f>
        <v>0</v>
      </c>
      <c r="F22" s="80"/>
      <c r="G22" s="80">
        <f>'CAPGDS1000001240 TotalWO'!G22*'CAPGDS1000001240 Input'!$H$15</f>
        <v>149570</v>
      </c>
      <c r="H22" s="7"/>
      <c r="I22" s="7">
        <f t="shared" si="0"/>
        <v>149570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'CAPGDS1000001240 TotalWO'!E23*'CAPGDS1000001240 Input'!$H$15</f>
        <v>0</v>
      </c>
      <c r="F23" s="80"/>
      <c r="G23" s="80">
        <f>'CAPGDS1000001240 TotalWO'!G23*'CAPGDS1000001240 Input'!$H$15</f>
        <v>149570</v>
      </c>
      <c r="H23" s="7"/>
      <c r="I23" s="7">
        <f t="shared" si="0"/>
        <v>149570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'CAPGDS1000001240 TotalWO'!E24*'CAPGDS1000001240 Input'!$H$15</f>
        <v>0</v>
      </c>
      <c r="F24" s="80"/>
      <c r="G24" s="80">
        <f>'CAPGDS1000001240 TotalWO'!G24*'CAPGDS1000001240 Input'!$H$15</f>
        <v>149570</v>
      </c>
      <c r="H24" s="7"/>
      <c r="I24" s="7">
        <f t="shared" si="0"/>
        <v>149570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'CAPGDS1000001240 TotalWO'!E25*'CAPGDS1000001240 Input'!$H$15</f>
        <v>0</v>
      </c>
      <c r="F25" s="80"/>
      <c r="G25" s="80">
        <f>'CAPGDS1000001240 TotalWO'!G25*'CAPGDS1000001240 Input'!$H$15</f>
        <v>149570</v>
      </c>
      <c r="H25" s="7"/>
      <c r="I25" s="7">
        <f t="shared" si="0"/>
        <v>149570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'CAPGDS1000001240 TotalWO'!E26*'CAPGDS1000001240 Input'!$H$15</f>
        <v>0</v>
      </c>
      <c r="F26" s="80"/>
      <c r="G26" s="80">
        <f>'CAPGDS1000001240 TotalWO'!G26*'CAPGDS1000001240 Input'!$H$15</f>
        <v>149570</v>
      </c>
      <c r="H26" s="7"/>
      <c r="I26" s="7">
        <f t="shared" si="0"/>
        <v>149570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'CAPGDS1000001240 TotalWO'!E27*'CAPGDS1000001240 Input'!$H$15</f>
        <v>0</v>
      </c>
      <c r="F27" s="80"/>
      <c r="G27" s="80">
        <f>'CAPGDS1000001240 TotalWO'!G27*'CAPGDS1000001240 Input'!$H$15</f>
        <v>149570</v>
      </c>
      <c r="H27" s="7"/>
      <c r="I27" s="7">
        <f t="shared" si="0"/>
        <v>149570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'CAPGDS1000001240 TotalWO'!E28*'CAPGDS1000001240 Input'!$H$15</f>
        <v>0</v>
      </c>
      <c r="F28" s="80"/>
      <c r="G28" s="80">
        <f>'CAPGDS1000001240 TotalWO'!G28*'CAPGDS1000001240 Input'!$H$15</f>
        <v>149570</v>
      </c>
      <c r="H28" s="7"/>
      <c r="I28" s="7">
        <f t="shared" si="0"/>
        <v>149570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'CAPGDS1000001240 TotalWO'!E29*'CAPGDS1000001240 Input'!$H$15</f>
        <v>0</v>
      </c>
      <c r="F29" s="80"/>
      <c r="G29" s="114">
        <f>'CAPGDS1000001240 TotalWO'!G29*'CAPGDS1000001240 Input'!$H$15</f>
        <v>149570</v>
      </c>
      <c r="H29" s="7"/>
      <c r="I29" s="115">
        <f t="shared" si="0"/>
        <v>149570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SUM(E17:E29)</f>
        <v>0</v>
      </c>
      <c r="F30" s="110"/>
      <c r="G30" s="110">
        <f>SUM(G17:G29)</f>
        <v>1944410</v>
      </c>
      <c r="H30" s="110"/>
      <c r="I30" s="110">
        <f>SUM(I17:I29)</f>
        <v>1944410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ROUND(+E30/13,2)</f>
        <v>0</v>
      </c>
      <c r="F32" s="110"/>
      <c r="G32" s="112">
        <f>ROUND(+G30/13,2)</f>
        <v>149570</v>
      </c>
      <c r="H32" s="110"/>
      <c r="I32" s="112">
        <f>ROUND(+I30/13,2)</f>
        <v>149570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149570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89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1.7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>Harrisburg Main Ext W Willow from Hwy 115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2.376.00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 t="shared" ref="E57:E69" si="3">ROUND(E17*$G$78,2)</f>
        <v>0</v>
      </c>
      <c r="F57" s="117"/>
      <c r="G57" s="109">
        <f t="shared" ref="G57:G69" si="4">ROUND(G17*$G$78,2)</f>
        <v>253.8</v>
      </c>
      <c r="H57" s="117"/>
      <c r="I57" s="110">
        <f>G58-E58</f>
        <v>253.8</v>
      </c>
      <c r="J57" s="110"/>
      <c r="K57" s="110"/>
      <c r="L57" s="110"/>
      <c r="M57" s="110">
        <f>+ROUND(I57/I$72*M$72,2)</f>
        <v>37.31</v>
      </c>
    </row>
    <row r="58" spans="1:13" x14ac:dyDescent="0.2">
      <c r="A58" s="45">
        <v>2</v>
      </c>
      <c r="C58" s="52">
        <f>C18</f>
        <v>45672</v>
      </c>
      <c r="D58" s="52"/>
      <c r="E58" s="80">
        <f t="shared" si="3"/>
        <v>0</v>
      </c>
      <c r="F58" s="7"/>
      <c r="G58" s="80">
        <f t="shared" si="4"/>
        <v>253.8</v>
      </c>
      <c r="H58" s="7"/>
      <c r="I58" s="7">
        <f t="shared" ref="I58:I69" si="5">G58-E58</f>
        <v>253.8</v>
      </c>
      <c r="J58" s="7"/>
      <c r="K58" s="80"/>
      <c r="L58" s="7"/>
      <c r="M58" s="7">
        <f t="shared" ref="M58:M68" si="6">+ROUND(I58/I$72*M$72,2)</f>
        <v>37.31</v>
      </c>
    </row>
    <row r="59" spans="1:13" x14ac:dyDescent="0.2">
      <c r="A59" s="45">
        <v>3</v>
      </c>
      <c r="C59" s="52">
        <f t="shared" ref="C59:C69" si="7">C58+31</f>
        <v>45703</v>
      </c>
      <c r="D59" s="52"/>
      <c r="E59" s="80">
        <f t="shared" si="3"/>
        <v>0</v>
      </c>
      <c r="F59" s="80"/>
      <c r="G59" s="80">
        <f t="shared" si="4"/>
        <v>253.8</v>
      </c>
      <c r="H59" s="7"/>
      <c r="I59" s="7">
        <f t="shared" si="5"/>
        <v>253.8</v>
      </c>
      <c r="J59" s="7"/>
      <c r="K59" s="7"/>
      <c r="L59" s="7"/>
      <c r="M59" s="7">
        <f t="shared" si="6"/>
        <v>37.31</v>
      </c>
    </row>
    <row r="60" spans="1:13" x14ac:dyDescent="0.2">
      <c r="A60" s="45">
        <v>4</v>
      </c>
      <c r="C60" s="52">
        <f t="shared" si="7"/>
        <v>45734</v>
      </c>
      <c r="D60" s="52"/>
      <c r="E60" s="80">
        <f t="shared" si="3"/>
        <v>0</v>
      </c>
      <c r="F60" s="80"/>
      <c r="G60" s="80">
        <f t="shared" si="4"/>
        <v>253.8</v>
      </c>
      <c r="H60" s="7"/>
      <c r="I60" s="7">
        <f t="shared" si="5"/>
        <v>253.8</v>
      </c>
      <c r="J60" s="7"/>
      <c r="K60" s="7"/>
      <c r="L60" s="7"/>
      <c r="M60" s="7">
        <f t="shared" si="6"/>
        <v>37.31</v>
      </c>
    </row>
    <row r="61" spans="1:13" x14ac:dyDescent="0.2">
      <c r="A61" s="45">
        <v>5</v>
      </c>
      <c r="C61" s="52">
        <f t="shared" si="7"/>
        <v>45765</v>
      </c>
      <c r="D61" s="52"/>
      <c r="E61" s="80">
        <f t="shared" si="3"/>
        <v>0</v>
      </c>
      <c r="F61" s="80"/>
      <c r="G61" s="80">
        <f t="shared" si="4"/>
        <v>253.8</v>
      </c>
      <c r="H61" s="7"/>
      <c r="I61" s="7">
        <f t="shared" si="5"/>
        <v>253.8</v>
      </c>
      <c r="J61" s="7"/>
      <c r="K61" s="7"/>
      <c r="L61" s="7"/>
      <c r="M61" s="7">
        <f t="shared" si="6"/>
        <v>37.31</v>
      </c>
    </row>
    <row r="62" spans="1:13" x14ac:dyDescent="0.2">
      <c r="A62" s="45">
        <v>6</v>
      </c>
      <c r="C62" s="52">
        <f t="shared" si="7"/>
        <v>45796</v>
      </c>
      <c r="D62" s="52"/>
      <c r="E62" s="80">
        <f t="shared" si="3"/>
        <v>0</v>
      </c>
      <c r="F62" s="80"/>
      <c r="G62" s="80">
        <f t="shared" si="4"/>
        <v>253.8</v>
      </c>
      <c r="H62" s="7"/>
      <c r="I62" s="7">
        <f t="shared" si="5"/>
        <v>253.8</v>
      </c>
      <c r="J62" s="7"/>
      <c r="K62" s="7"/>
      <c r="L62" s="7"/>
      <c r="M62" s="7">
        <f t="shared" si="6"/>
        <v>37.31</v>
      </c>
    </row>
    <row r="63" spans="1:13" x14ac:dyDescent="0.2">
      <c r="A63" s="45">
        <v>7</v>
      </c>
      <c r="C63" s="52">
        <f t="shared" si="7"/>
        <v>45827</v>
      </c>
      <c r="D63" s="52"/>
      <c r="E63" s="80">
        <f t="shared" si="3"/>
        <v>0</v>
      </c>
      <c r="F63" s="80"/>
      <c r="G63" s="80">
        <f t="shared" si="4"/>
        <v>253.8</v>
      </c>
      <c r="H63" s="7"/>
      <c r="I63" s="7">
        <f t="shared" si="5"/>
        <v>253.8</v>
      </c>
      <c r="J63" s="7"/>
      <c r="K63" s="7"/>
      <c r="L63" s="7"/>
      <c r="M63" s="7">
        <f t="shared" si="6"/>
        <v>37.31</v>
      </c>
    </row>
    <row r="64" spans="1:13" x14ac:dyDescent="0.2">
      <c r="A64" s="45">
        <v>8</v>
      </c>
      <c r="C64" s="52">
        <f t="shared" si="7"/>
        <v>45858</v>
      </c>
      <c r="D64" s="52"/>
      <c r="E64" s="80">
        <f t="shared" si="3"/>
        <v>0</v>
      </c>
      <c r="F64" s="80"/>
      <c r="G64" s="80">
        <f t="shared" si="4"/>
        <v>253.8</v>
      </c>
      <c r="H64" s="7"/>
      <c r="I64" s="7">
        <f t="shared" si="5"/>
        <v>253.8</v>
      </c>
      <c r="J64" s="7"/>
      <c r="K64" s="7"/>
      <c r="L64" s="7"/>
      <c r="M64" s="7">
        <f t="shared" si="6"/>
        <v>37.31</v>
      </c>
    </row>
    <row r="65" spans="1:13" x14ac:dyDescent="0.2">
      <c r="A65" s="45">
        <v>9</v>
      </c>
      <c r="C65" s="52">
        <f t="shared" si="7"/>
        <v>45889</v>
      </c>
      <c r="D65" s="52"/>
      <c r="E65" s="80">
        <f t="shared" si="3"/>
        <v>0</v>
      </c>
      <c r="F65" s="80"/>
      <c r="G65" s="80">
        <f t="shared" si="4"/>
        <v>253.8</v>
      </c>
      <c r="H65" s="7"/>
      <c r="I65" s="7">
        <f t="shared" si="5"/>
        <v>253.8</v>
      </c>
      <c r="J65" s="7"/>
      <c r="K65" s="7"/>
      <c r="L65" s="7"/>
      <c r="M65" s="7">
        <f t="shared" si="6"/>
        <v>37.31</v>
      </c>
    </row>
    <row r="66" spans="1:13" x14ac:dyDescent="0.2">
      <c r="A66" s="45">
        <v>10</v>
      </c>
      <c r="C66" s="52">
        <f t="shared" si="7"/>
        <v>45920</v>
      </c>
      <c r="D66" s="52"/>
      <c r="E66" s="80">
        <f t="shared" si="3"/>
        <v>0</v>
      </c>
      <c r="F66" s="80"/>
      <c r="G66" s="80">
        <f t="shared" si="4"/>
        <v>253.8</v>
      </c>
      <c r="H66" s="7"/>
      <c r="I66" s="7">
        <f t="shared" si="5"/>
        <v>253.8</v>
      </c>
      <c r="J66" s="7"/>
      <c r="K66" s="7"/>
      <c r="L66" s="7"/>
      <c r="M66" s="7">
        <f t="shared" si="6"/>
        <v>37.31</v>
      </c>
    </row>
    <row r="67" spans="1:13" x14ac:dyDescent="0.2">
      <c r="A67" s="45">
        <v>11</v>
      </c>
      <c r="C67" s="52">
        <f t="shared" si="7"/>
        <v>45951</v>
      </c>
      <c r="D67" s="52"/>
      <c r="E67" s="80">
        <f t="shared" si="3"/>
        <v>0</v>
      </c>
      <c r="F67" s="80"/>
      <c r="G67" s="80">
        <f t="shared" si="4"/>
        <v>253.8</v>
      </c>
      <c r="H67" s="7"/>
      <c r="I67" s="7">
        <f t="shared" si="5"/>
        <v>253.8</v>
      </c>
      <c r="J67" s="7"/>
      <c r="K67" s="7"/>
      <c r="L67" s="7"/>
      <c r="M67" s="7">
        <f t="shared" si="6"/>
        <v>37.31</v>
      </c>
    </row>
    <row r="68" spans="1:13" x14ac:dyDescent="0.2">
      <c r="A68" s="45">
        <v>12</v>
      </c>
      <c r="C68" s="52">
        <f t="shared" si="7"/>
        <v>45982</v>
      </c>
      <c r="D68" s="52"/>
      <c r="E68" s="80">
        <f t="shared" si="3"/>
        <v>0</v>
      </c>
      <c r="F68" s="80"/>
      <c r="G68" s="80">
        <f t="shared" si="4"/>
        <v>253.8</v>
      </c>
      <c r="H68" s="7"/>
      <c r="I68" s="7">
        <f t="shared" si="5"/>
        <v>253.8</v>
      </c>
      <c r="J68" s="7"/>
      <c r="K68" s="7"/>
      <c r="L68" s="7"/>
      <c r="M68" s="7">
        <f t="shared" si="6"/>
        <v>37.31</v>
      </c>
    </row>
    <row r="69" spans="1:13" x14ac:dyDescent="0.2">
      <c r="A69" s="45">
        <v>13</v>
      </c>
      <c r="C69" s="52">
        <f t="shared" si="7"/>
        <v>46013</v>
      </c>
      <c r="D69" s="52"/>
      <c r="E69" s="114">
        <f t="shared" si="3"/>
        <v>0</v>
      </c>
      <c r="F69" s="80"/>
      <c r="G69" s="114">
        <f t="shared" si="4"/>
        <v>253.8</v>
      </c>
      <c r="H69" s="7"/>
      <c r="I69" s="115">
        <f t="shared" si="5"/>
        <v>253.8</v>
      </c>
      <c r="J69" s="7"/>
      <c r="K69" s="7"/>
      <c r="L69" s="7"/>
      <c r="M69" s="115">
        <f>+ROUND(I69/I$72*M$72,2)+0.01</f>
        <v>37.32</v>
      </c>
    </row>
    <row r="70" spans="1:13" x14ac:dyDescent="0.2">
      <c r="A70" s="45">
        <v>14</v>
      </c>
      <c r="C70" s="58" t="s">
        <v>47</v>
      </c>
      <c r="D70" s="58"/>
      <c r="E70" s="110">
        <f>SUM(E58:E69)</f>
        <v>0</v>
      </c>
      <c r="F70" s="110"/>
      <c r="G70" s="110">
        <f>SUM(G57:G69)</f>
        <v>3299.4000000000005</v>
      </c>
      <c r="H70" s="110"/>
      <c r="I70" s="110">
        <f>SUM(I57:I69)</f>
        <v>3299.4000000000005</v>
      </c>
      <c r="J70" s="110"/>
      <c r="K70" s="110"/>
      <c r="L70" s="110"/>
      <c r="M70" s="110">
        <f>SUM(M57:M69)</f>
        <v>485.04</v>
      </c>
    </row>
    <row r="71" spans="1:13" x14ac:dyDescent="0.2">
      <c r="A71" s="45"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3299.4000000000005</v>
      </c>
      <c r="J72" s="110"/>
      <c r="K72" s="112">
        <f>ROUND(G18*K78,2)</f>
        <v>5608.88</v>
      </c>
      <c r="L72" s="110"/>
      <c r="M72" s="112">
        <f>ROUND(+(K72-I72)*M78,2)</f>
        <v>484.99</v>
      </c>
    </row>
    <row r="73" spans="1:13" ht="12" thickTop="1" x14ac:dyDescent="0.2">
      <c r="A73" s="45"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v>18</v>
      </c>
      <c r="I74" s="58" t="s">
        <v>142</v>
      </c>
      <c r="M74" s="51" t="s">
        <v>91</v>
      </c>
    </row>
    <row r="75" spans="1:13" x14ac:dyDescent="0.2">
      <c r="A75" s="45">
        <v>19</v>
      </c>
      <c r="K75" s="51" t="s">
        <v>96</v>
      </c>
      <c r="M75" s="51" t="s">
        <v>97</v>
      </c>
    </row>
    <row r="76" spans="1:13" x14ac:dyDescent="0.2">
      <c r="A76" s="45"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v>22</v>
      </c>
      <c r="C78" s="71" t="str">
        <f>E53</f>
        <v>Acct 2.376.00</v>
      </c>
      <c r="D78" s="71"/>
      <c r="E78" s="72">
        <f>'CAPGDS1000001240 Input'!J15</f>
        <v>2.2058823529411766E-2</v>
      </c>
      <c r="F78" s="72"/>
      <c r="G78" s="72">
        <f>E78/13</f>
        <v>1.6968325791855204E-3</v>
      </c>
      <c r="K78" s="81">
        <f>+'CAPGDS1000001240 Input'!L15</f>
        <v>3.7499999999999999E-2</v>
      </c>
      <c r="M78" s="81">
        <f>+'CAPGDS1000001240 Input'!N15</f>
        <v>0.21</v>
      </c>
    </row>
    <row r="79" spans="1:13" x14ac:dyDescent="0.2">
      <c r="A79" s="45">
        <v>23</v>
      </c>
      <c r="H79" s="63"/>
      <c r="I79" s="54"/>
      <c r="K79" s="51" t="s">
        <v>105</v>
      </c>
    </row>
    <row r="80" spans="1:13" x14ac:dyDescent="0.2">
      <c r="A80" s="45">
        <v>24</v>
      </c>
      <c r="H80" s="72"/>
      <c r="I80" s="54"/>
    </row>
    <row r="81" spans="1:13" x14ac:dyDescent="0.2">
      <c r="A81" s="45">
        <v>25</v>
      </c>
    </row>
    <row r="82" spans="1:13" x14ac:dyDescent="0.2">
      <c r="A82" s="45">
        <v>26</v>
      </c>
      <c r="H82" s="72"/>
      <c r="I82" s="54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1.7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>Harrisburg Main Ext W Willow from Hwy 115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71" t="s">
        <v>79</v>
      </c>
      <c r="E95" s="48" t="str">
        <f>E13</f>
        <v>Acct 2.376.00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88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v>0</v>
      </c>
      <c r="F99" s="110"/>
      <c r="G99" s="109">
        <f>G57</f>
        <v>253.8</v>
      </c>
      <c r="H99" s="110"/>
      <c r="I99" s="109">
        <f t="shared" ref="I99:I111" si="8">G99-E99</f>
        <v>253.8</v>
      </c>
      <c r="J99" s="110"/>
      <c r="K99" s="110"/>
      <c r="L99" s="110"/>
      <c r="M99" s="111">
        <f>+M57</f>
        <v>37.31</v>
      </c>
    </row>
    <row r="100" spans="1:13" x14ac:dyDescent="0.2">
      <c r="A100" s="45">
        <f t="shared" ref="A100:A128" si="9">1+A99</f>
        <v>2</v>
      </c>
      <c r="C100" s="52">
        <f>C18</f>
        <v>45672</v>
      </c>
      <c r="D100" s="52"/>
      <c r="E100" s="80">
        <f>E58</f>
        <v>0</v>
      </c>
      <c r="F100" s="7"/>
      <c r="G100" s="80">
        <f>G58+G57</f>
        <v>507.6</v>
      </c>
      <c r="H100" s="7"/>
      <c r="I100" s="80">
        <f t="shared" si="8"/>
        <v>507.6</v>
      </c>
      <c r="J100" s="7"/>
      <c r="K100" s="7"/>
      <c r="L100" s="7"/>
      <c r="M100" s="7">
        <f t="shared" ref="M100:M111" si="10">+M99+M58</f>
        <v>74.62</v>
      </c>
    </row>
    <row r="101" spans="1:13" x14ac:dyDescent="0.2">
      <c r="A101" s="45">
        <f t="shared" si="9"/>
        <v>3</v>
      </c>
      <c r="C101" s="52">
        <f t="shared" ref="C101:C111" si="11">C100+31</f>
        <v>45703</v>
      </c>
      <c r="D101" s="52"/>
      <c r="E101" s="7">
        <f t="shared" ref="E101:E111" si="12">E100+E59</f>
        <v>0</v>
      </c>
      <c r="F101" s="7"/>
      <c r="G101" s="7">
        <f t="shared" ref="G101:G111" si="13">G100+G59</f>
        <v>761.40000000000009</v>
      </c>
      <c r="H101" s="7"/>
      <c r="I101" s="7">
        <f t="shared" si="8"/>
        <v>761.40000000000009</v>
      </c>
      <c r="J101" s="7"/>
      <c r="K101" s="7"/>
      <c r="L101" s="7"/>
      <c r="M101" s="7">
        <f t="shared" si="10"/>
        <v>111.93</v>
      </c>
    </row>
    <row r="102" spans="1:13" x14ac:dyDescent="0.2">
      <c r="A102" s="45">
        <f t="shared" si="9"/>
        <v>4</v>
      </c>
      <c r="C102" s="52">
        <f t="shared" si="11"/>
        <v>45734</v>
      </c>
      <c r="D102" s="52"/>
      <c r="E102" s="7">
        <f t="shared" si="12"/>
        <v>0</v>
      </c>
      <c r="F102" s="7"/>
      <c r="G102" s="7">
        <f t="shared" si="13"/>
        <v>1015.2</v>
      </c>
      <c r="H102" s="7"/>
      <c r="I102" s="7">
        <f t="shared" si="8"/>
        <v>1015.2</v>
      </c>
      <c r="J102" s="7"/>
      <c r="K102" s="7"/>
      <c r="L102" s="7"/>
      <c r="M102" s="7">
        <f t="shared" si="10"/>
        <v>149.24</v>
      </c>
    </row>
    <row r="103" spans="1:13" x14ac:dyDescent="0.2">
      <c r="A103" s="45">
        <f t="shared" si="9"/>
        <v>5</v>
      </c>
      <c r="C103" s="52">
        <f t="shared" si="11"/>
        <v>45765</v>
      </c>
      <c r="D103" s="52"/>
      <c r="E103" s="7">
        <f t="shared" si="12"/>
        <v>0</v>
      </c>
      <c r="F103" s="7"/>
      <c r="G103" s="7">
        <f t="shared" si="13"/>
        <v>1269</v>
      </c>
      <c r="H103" s="7"/>
      <c r="I103" s="7">
        <f t="shared" si="8"/>
        <v>1269</v>
      </c>
      <c r="J103" s="7"/>
      <c r="K103" s="7"/>
      <c r="L103" s="7"/>
      <c r="M103" s="7">
        <f t="shared" si="10"/>
        <v>186.55</v>
      </c>
    </row>
    <row r="104" spans="1:13" x14ac:dyDescent="0.2">
      <c r="A104" s="45">
        <f t="shared" si="9"/>
        <v>6</v>
      </c>
      <c r="C104" s="52">
        <f t="shared" si="11"/>
        <v>45796</v>
      </c>
      <c r="D104" s="52"/>
      <c r="E104" s="7">
        <f t="shared" si="12"/>
        <v>0</v>
      </c>
      <c r="F104" s="7"/>
      <c r="G104" s="7">
        <f t="shared" si="13"/>
        <v>1522.8</v>
      </c>
      <c r="H104" s="7"/>
      <c r="I104" s="7">
        <f t="shared" si="8"/>
        <v>1522.8</v>
      </c>
      <c r="J104" s="7"/>
      <c r="K104" s="7"/>
      <c r="L104" s="7"/>
      <c r="M104" s="7">
        <f t="shared" si="10"/>
        <v>223.86</v>
      </c>
    </row>
    <row r="105" spans="1:13" x14ac:dyDescent="0.2">
      <c r="A105" s="45">
        <f t="shared" si="9"/>
        <v>7</v>
      </c>
      <c r="C105" s="52">
        <f t="shared" si="11"/>
        <v>45827</v>
      </c>
      <c r="D105" s="52"/>
      <c r="E105" s="7">
        <f t="shared" si="12"/>
        <v>0</v>
      </c>
      <c r="F105" s="7"/>
      <c r="G105" s="7">
        <f t="shared" si="13"/>
        <v>1776.6</v>
      </c>
      <c r="H105" s="7"/>
      <c r="I105" s="7">
        <f t="shared" si="8"/>
        <v>1776.6</v>
      </c>
      <c r="J105" s="7"/>
      <c r="K105" s="7"/>
      <c r="L105" s="7"/>
      <c r="M105" s="7">
        <f t="shared" si="10"/>
        <v>261.17</v>
      </c>
    </row>
    <row r="106" spans="1:13" x14ac:dyDescent="0.2">
      <c r="A106" s="45">
        <f t="shared" si="9"/>
        <v>8</v>
      </c>
      <c r="C106" s="52">
        <f t="shared" si="11"/>
        <v>45858</v>
      </c>
      <c r="D106" s="52"/>
      <c r="E106" s="7">
        <f t="shared" si="12"/>
        <v>0</v>
      </c>
      <c r="F106" s="7"/>
      <c r="G106" s="7">
        <f t="shared" si="13"/>
        <v>2030.3999999999999</v>
      </c>
      <c r="H106" s="7"/>
      <c r="I106" s="7">
        <f t="shared" si="8"/>
        <v>2030.3999999999999</v>
      </c>
      <c r="J106" s="7"/>
      <c r="K106" s="7"/>
      <c r="L106" s="7"/>
      <c r="M106" s="7">
        <f t="shared" si="10"/>
        <v>298.48</v>
      </c>
    </row>
    <row r="107" spans="1:13" x14ac:dyDescent="0.2">
      <c r="A107" s="45">
        <f t="shared" si="9"/>
        <v>9</v>
      </c>
      <c r="C107" s="52">
        <f t="shared" si="11"/>
        <v>45889</v>
      </c>
      <c r="D107" s="52"/>
      <c r="E107" s="7">
        <f t="shared" si="12"/>
        <v>0</v>
      </c>
      <c r="F107" s="7"/>
      <c r="G107" s="7">
        <f t="shared" si="13"/>
        <v>2284.1999999999998</v>
      </c>
      <c r="H107" s="7"/>
      <c r="I107" s="7">
        <f t="shared" si="8"/>
        <v>2284.1999999999998</v>
      </c>
      <c r="J107" s="7"/>
      <c r="K107" s="7"/>
      <c r="L107" s="7"/>
      <c r="M107" s="7">
        <f t="shared" si="10"/>
        <v>335.79</v>
      </c>
    </row>
    <row r="108" spans="1:13" x14ac:dyDescent="0.2">
      <c r="A108" s="45">
        <f t="shared" si="9"/>
        <v>10</v>
      </c>
      <c r="C108" s="52">
        <f t="shared" si="11"/>
        <v>45920</v>
      </c>
      <c r="D108" s="52"/>
      <c r="E108" s="7">
        <f t="shared" si="12"/>
        <v>0</v>
      </c>
      <c r="F108" s="7"/>
      <c r="G108" s="7">
        <f t="shared" si="13"/>
        <v>2538</v>
      </c>
      <c r="H108" s="7"/>
      <c r="I108" s="7">
        <f t="shared" si="8"/>
        <v>2538</v>
      </c>
      <c r="J108" s="7"/>
      <c r="K108" s="7"/>
      <c r="L108" s="7"/>
      <c r="M108" s="7">
        <f t="shared" si="10"/>
        <v>373.1</v>
      </c>
    </row>
    <row r="109" spans="1:13" x14ac:dyDescent="0.2">
      <c r="A109" s="45">
        <f t="shared" si="9"/>
        <v>11</v>
      </c>
      <c r="C109" s="52">
        <f t="shared" si="11"/>
        <v>45951</v>
      </c>
      <c r="D109" s="52"/>
      <c r="E109" s="7">
        <f t="shared" si="12"/>
        <v>0</v>
      </c>
      <c r="F109" s="7"/>
      <c r="G109" s="7">
        <f t="shared" si="13"/>
        <v>2791.8</v>
      </c>
      <c r="H109" s="7"/>
      <c r="I109" s="7">
        <f t="shared" si="8"/>
        <v>2791.8</v>
      </c>
      <c r="J109" s="7"/>
      <c r="K109" s="7"/>
      <c r="L109" s="7"/>
      <c r="M109" s="7">
        <f t="shared" si="10"/>
        <v>410.41</v>
      </c>
    </row>
    <row r="110" spans="1:13" x14ac:dyDescent="0.2">
      <c r="A110" s="45">
        <f t="shared" si="9"/>
        <v>12</v>
      </c>
      <c r="C110" s="52">
        <f t="shared" si="11"/>
        <v>45982</v>
      </c>
      <c r="D110" s="52"/>
      <c r="E110" s="7">
        <f t="shared" si="12"/>
        <v>0</v>
      </c>
      <c r="F110" s="7"/>
      <c r="G110" s="7">
        <f t="shared" si="13"/>
        <v>3045.6000000000004</v>
      </c>
      <c r="H110" s="7"/>
      <c r="I110" s="7">
        <f t="shared" si="8"/>
        <v>3045.6000000000004</v>
      </c>
      <c r="J110" s="7"/>
      <c r="K110" s="7"/>
      <c r="L110" s="7"/>
      <c r="M110" s="7">
        <f t="shared" si="10"/>
        <v>447.72</v>
      </c>
    </row>
    <row r="111" spans="1:13" x14ac:dyDescent="0.2">
      <c r="A111" s="45">
        <f t="shared" si="9"/>
        <v>13</v>
      </c>
      <c r="C111" s="52">
        <f t="shared" si="11"/>
        <v>46013</v>
      </c>
      <c r="D111" s="52"/>
      <c r="E111" s="115">
        <f t="shared" si="12"/>
        <v>0</v>
      </c>
      <c r="F111" s="7"/>
      <c r="G111" s="115">
        <f t="shared" si="13"/>
        <v>3299.4000000000005</v>
      </c>
      <c r="H111" s="7"/>
      <c r="I111" s="115">
        <f t="shared" si="8"/>
        <v>3299.4000000000005</v>
      </c>
      <c r="J111" s="7"/>
      <c r="K111" s="7"/>
      <c r="L111" s="7"/>
      <c r="M111" s="115">
        <f t="shared" si="10"/>
        <v>485.04</v>
      </c>
    </row>
    <row r="112" spans="1:13" x14ac:dyDescent="0.2">
      <c r="A112" s="45">
        <f t="shared" si="9"/>
        <v>14</v>
      </c>
      <c r="C112" s="58" t="s">
        <v>47</v>
      </c>
      <c r="D112" s="58"/>
      <c r="E112" s="110">
        <f>SUM(E100:E111)</f>
        <v>0</v>
      </c>
      <c r="F112" s="110"/>
      <c r="G112" s="110">
        <f>SUM(G100:G111)</f>
        <v>22842</v>
      </c>
      <c r="H112" s="110"/>
      <c r="I112" s="110">
        <f>SUM(I100:I111)</f>
        <v>22842</v>
      </c>
      <c r="J112" s="110"/>
      <c r="K112" s="110"/>
      <c r="L112" s="110"/>
      <c r="M112" s="110">
        <f>SUM(M99:M110)</f>
        <v>2910.1800000000003</v>
      </c>
    </row>
    <row r="113" spans="1:13" x14ac:dyDescent="0.2">
      <c r="A113" s="45">
        <f t="shared" si="9"/>
        <v>15</v>
      </c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ht="12" thickBot="1" x14ac:dyDescent="0.25">
      <c r="A114" s="45">
        <f t="shared" si="9"/>
        <v>16</v>
      </c>
      <c r="C114" s="73" t="s">
        <v>139</v>
      </c>
      <c r="D114" s="73"/>
      <c r="E114" s="112">
        <f>ROUND(+E112/12,2)</f>
        <v>0</v>
      </c>
      <c r="F114" s="110"/>
      <c r="G114" s="112">
        <f>ROUND(+G112/13,2)</f>
        <v>1757.08</v>
      </c>
      <c r="H114" s="110"/>
      <c r="I114" s="112">
        <f>ROUND(+I112/13,2)</f>
        <v>1757.08</v>
      </c>
      <c r="J114" s="110"/>
      <c r="K114" s="110"/>
      <c r="L114" s="110"/>
      <c r="M114" s="112">
        <f>ROUND(+M112/13,2)</f>
        <v>223.86</v>
      </c>
    </row>
    <row r="115" spans="1:13" ht="12" thickTop="1" x14ac:dyDescent="0.2">
      <c r="A115" s="45">
        <f t="shared" si="9"/>
        <v>17</v>
      </c>
      <c r="E115" s="113" t="s">
        <v>10</v>
      </c>
      <c r="F115" s="113"/>
      <c r="G115" s="113" t="s">
        <v>10</v>
      </c>
      <c r="H115" s="113"/>
      <c r="I115" s="113" t="s">
        <v>10</v>
      </c>
      <c r="J115" s="110"/>
      <c r="K115" s="110"/>
      <c r="L115" s="110"/>
      <c r="M115" s="110"/>
    </row>
    <row r="116" spans="1:13" x14ac:dyDescent="0.2">
      <c r="A116" s="45">
        <f t="shared" si="9"/>
        <v>18</v>
      </c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 ht="12" thickBot="1" x14ac:dyDescent="0.25">
      <c r="A117" s="45">
        <f t="shared" si="9"/>
        <v>19</v>
      </c>
      <c r="C117" s="58" t="s">
        <v>87</v>
      </c>
      <c r="D117" s="58"/>
      <c r="E117" s="110"/>
      <c r="F117" s="110"/>
      <c r="G117" s="110"/>
      <c r="H117" s="110"/>
      <c r="I117" s="118">
        <f>I114</f>
        <v>1757.08</v>
      </c>
      <c r="J117" s="110"/>
      <c r="K117" s="110"/>
      <c r="L117" s="110"/>
      <c r="M117" s="118">
        <f>+M114</f>
        <v>223.86</v>
      </c>
    </row>
    <row r="118" spans="1:13" ht="12" thickTop="1" x14ac:dyDescent="0.2">
      <c r="A118" s="45">
        <f t="shared" si="9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9"/>
        <v>21</v>
      </c>
      <c r="I119" s="58" t="s">
        <v>143</v>
      </c>
      <c r="M119" s="58" t="s">
        <v>144</v>
      </c>
    </row>
    <row r="120" spans="1:13" x14ac:dyDescent="0.2">
      <c r="A120" s="45">
        <f t="shared" si="9"/>
        <v>22</v>
      </c>
    </row>
    <row r="121" spans="1:13" x14ac:dyDescent="0.2">
      <c r="A121" s="45">
        <f t="shared" si="9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9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9"/>
        <v>25</v>
      </c>
      <c r="C123" s="71" t="str">
        <f>C78</f>
        <v>Acct 2.376.00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9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9"/>
        <v>27</v>
      </c>
      <c r="H125" s="54"/>
      <c r="I125" s="54"/>
    </row>
    <row r="126" spans="1:13" x14ac:dyDescent="0.2">
      <c r="A126" s="45">
        <f t="shared" si="9"/>
        <v>28</v>
      </c>
    </row>
    <row r="127" spans="1:13" x14ac:dyDescent="0.2">
      <c r="A127" s="45">
        <f t="shared" si="9"/>
        <v>29</v>
      </c>
    </row>
    <row r="128" spans="1:13" x14ac:dyDescent="0.2">
      <c r="A128" s="45">
        <f t="shared" si="9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3"/>
  <sheetViews>
    <sheetView view="pageLayout" zoomScaleNormal="100" workbookViewId="0">
      <selection sqref="A1:L1"/>
    </sheetView>
  </sheetViews>
  <sheetFormatPr defaultColWidth="9.140625" defaultRowHeight="11.25" x14ac:dyDescent="0.2"/>
  <cols>
    <col min="1" max="1" width="4.42578125" style="76" customWidth="1"/>
    <col min="2" max="2" width="9.140625" style="76"/>
    <col min="3" max="3" width="0.85546875" style="76" customWidth="1"/>
    <col min="4" max="16384" width="9.140625" style="76"/>
  </cols>
  <sheetData>
    <row r="1" spans="1:12" ht="12.75" x14ac:dyDescent="0.2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3"/>
      <c r="L1" s="143"/>
    </row>
    <row r="2" spans="1:12" ht="12.7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25"/>
      <c r="L2" s="125"/>
    </row>
    <row r="3" spans="1:12" ht="12.75" x14ac:dyDescent="0.2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3"/>
      <c r="L3" s="143"/>
    </row>
    <row r="4" spans="1:12" ht="26.25" customHeight="1" x14ac:dyDescent="0.2">
      <c r="A4" s="142" t="str">
        <f>'CAPGDS1000001240 Input'!A5:J5</f>
        <v>Pro-Forma Adjustment - System Reliability</v>
      </c>
      <c r="B4" s="141"/>
      <c r="C4" s="141"/>
      <c r="D4" s="141"/>
      <c r="E4" s="141"/>
      <c r="F4" s="141"/>
      <c r="G4" s="141"/>
      <c r="H4" s="141"/>
      <c r="I4" s="141"/>
      <c r="J4" s="141"/>
      <c r="K4" s="143"/>
      <c r="L4" s="143"/>
    </row>
    <row r="5" spans="1:12" ht="12.75" x14ac:dyDescent="0.2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3"/>
      <c r="L5" s="143"/>
    </row>
    <row r="6" spans="1:12" ht="12.75" x14ac:dyDescent="0.2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3"/>
      <c r="L6" s="143"/>
    </row>
    <row r="7" spans="1:12" ht="12.75" x14ac:dyDescent="0.2">
      <c r="A7" s="142" t="str">
        <f>'CAPGDS1000001240 Input'!F8</f>
        <v>Harrisburg Main Ext W Willow from Hwy 115</v>
      </c>
      <c r="B7" s="142"/>
      <c r="C7" s="142"/>
      <c r="D7" s="142"/>
      <c r="E7" s="142"/>
      <c r="F7" s="142"/>
      <c r="G7" s="142"/>
      <c r="H7" s="142"/>
      <c r="I7" s="142"/>
      <c r="J7" s="142"/>
      <c r="K7" s="143"/>
      <c r="L7" s="143"/>
    </row>
    <row r="65" spans="1:12" ht="12.75" x14ac:dyDescent="0.2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3"/>
      <c r="L65" s="143"/>
    </row>
    <row r="66" spans="1:12" ht="12.75" x14ac:dyDescent="0.2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3"/>
      <c r="L66" s="143"/>
    </row>
    <row r="67" spans="1:12" ht="25.5" customHeight="1" x14ac:dyDescent="0.2">
      <c r="A67" s="141" t="s">
        <v>0</v>
      </c>
      <c r="B67" s="141"/>
      <c r="C67" s="141"/>
      <c r="D67" s="141"/>
      <c r="E67" s="141"/>
      <c r="F67" s="141"/>
      <c r="G67" s="141"/>
      <c r="H67" s="141"/>
      <c r="I67" s="141"/>
      <c r="J67" s="141"/>
      <c r="K67" s="143"/>
      <c r="L67" s="143"/>
    </row>
    <row r="68" spans="1:12" ht="12.75" x14ac:dyDescent="0.2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3"/>
      <c r="L68" s="143"/>
    </row>
    <row r="69" spans="1:12" ht="12.75" x14ac:dyDescent="0.2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3"/>
      <c r="L69" s="143"/>
    </row>
    <row r="70" spans="1:12" ht="12.75" x14ac:dyDescent="0.2">
      <c r="A70" s="142" t="s">
        <v>131</v>
      </c>
      <c r="B70" s="142"/>
      <c r="C70" s="142"/>
      <c r="D70" s="142"/>
      <c r="E70" s="142"/>
      <c r="F70" s="142"/>
      <c r="G70" s="142"/>
      <c r="H70" s="142"/>
      <c r="I70" s="142"/>
      <c r="J70" s="142"/>
      <c r="K70" s="143"/>
      <c r="L70" s="143"/>
    </row>
    <row r="134" spans="1:12" x14ac:dyDescent="0.2">
      <c r="A134" s="141" t="s">
        <v>0</v>
      </c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</row>
    <row r="135" spans="1:12" x14ac:dyDescent="0.2">
      <c r="A135" s="105"/>
    </row>
    <row r="136" spans="1:12" x14ac:dyDescent="0.2">
      <c r="A136" s="105"/>
    </row>
    <row r="137" spans="1:12" x14ac:dyDescent="0.2">
      <c r="A137" s="142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</row>
    <row r="183" spans="2:2" ht="12.75" x14ac:dyDescent="0.2">
      <c r="B183"/>
    </row>
  </sheetData>
  <mergeCells count="14">
    <mergeCell ref="A134:L134"/>
    <mergeCell ref="A137:L137"/>
    <mergeCell ref="A7:L7"/>
    <mergeCell ref="A65:L65"/>
    <mergeCell ref="A1:L1"/>
    <mergeCell ref="A3:L3"/>
    <mergeCell ref="A4:L4"/>
    <mergeCell ref="A5:L5"/>
    <mergeCell ref="A6:L6"/>
    <mergeCell ref="A66:L66"/>
    <mergeCell ref="A67:L67"/>
    <mergeCell ref="A68:L68"/>
    <mergeCell ref="A69:L69"/>
    <mergeCell ref="A70:L70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64" max="11" man="1"/>
    <brk id="129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0"/>
  <sheetViews>
    <sheetView view="pageLayout" zoomScaleNormal="100" workbookViewId="0">
      <selection sqref="A1:J1"/>
    </sheetView>
  </sheetViews>
  <sheetFormatPr defaultColWidth="8" defaultRowHeight="11.25" x14ac:dyDescent="0.2"/>
  <cols>
    <col min="1" max="1" width="4.140625" style="89" customWidth="1"/>
    <col min="2" max="2" width="13.7109375" style="89" customWidth="1"/>
    <col min="3" max="3" width="0.85546875" style="89" customWidth="1"/>
    <col min="4" max="4" width="15.42578125" style="89" customWidth="1"/>
    <col min="5" max="5" width="0.85546875" style="89" customWidth="1"/>
    <col min="6" max="6" width="10.140625" style="89" customWidth="1"/>
    <col min="7" max="7" width="0.85546875" style="89" customWidth="1"/>
    <col min="8" max="8" width="10.28515625" style="89" customWidth="1"/>
    <col min="9" max="9" width="0.85546875" style="89" customWidth="1"/>
    <col min="10" max="10" width="8" style="89"/>
    <col min="11" max="11" width="1.7109375" style="89" customWidth="1"/>
    <col min="12" max="12" width="8" style="89"/>
    <col min="13" max="13" width="1.7109375" style="89" customWidth="1"/>
    <col min="14" max="16384" width="8" style="89"/>
  </cols>
  <sheetData>
    <row r="1" spans="1:14" x14ac:dyDescent="0.2">
      <c r="A1" s="134"/>
      <c r="B1" s="134"/>
      <c r="C1" s="134"/>
      <c r="D1" s="134"/>
      <c r="E1" s="134"/>
      <c r="F1" s="134"/>
      <c r="G1" s="134"/>
      <c r="H1" s="134"/>
      <c r="I1" s="134"/>
      <c r="J1" s="134"/>
    </row>
    <row r="2" spans="1:14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4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4" ht="12" customHeight="1" x14ac:dyDescent="0.2">
      <c r="A4" s="134"/>
      <c r="B4" s="134"/>
      <c r="C4" s="134"/>
      <c r="D4" s="134"/>
      <c r="E4" s="134"/>
      <c r="F4" s="134"/>
      <c r="G4" s="134"/>
      <c r="H4" s="134"/>
      <c r="I4" s="134"/>
      <c r="J4" s="134"/>
    </row>
    <row r="5" spans="1:14" ht="24" customHeight="1" x14ac:dyDescent="0.2">
      <c r="A5" s="133" t="str">
        <f>'WP C, pg 1'!A5:H5</f>
        <v>Pro-Forma Adjustment - System Reliability</v>
      </c>
      <c r="B5" s="134"/>
      <c r="C5" s="134"/>
      <c r="D5" s="134"/>
      <c r="E5" s="134"/>
      <c r="F5" s="134"/>
      <c r="G5" s="134"/>
      <c r="H5" s="134"/>
      <c r="I5" s="134"/>
      <c r="J5" s="134"/>
    </row>
    <row r="6" spans="1:14" ht="12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</row>
    <row r="7" spans="1:14" x14ac:dyDescent="0.2">
      <c r="B7" s="135"/>
      <c r="C7" s="136"/>
      <c r="D7" s="136"/>
      <c r="F7" s="137"/>
      <c r="G7" s="137"/>
      <c r="H7" s="137"/>
    </row>
    <row r="8" spans="1:14" x14ac:dyDescent="0.2">
      <c r="B8" s="30" t="s">
        <v>57</v>
      </c>
      <c r="D8" s="83" t="s">
        <v>133</v>
      </c>
      <c r="E8" s="31"/>
      <c r="F8" s="31" t="s">
        <v>115</v>
      </c>
    </row>
    <row r="9" spans="1:14" x14ac:dyDescent="0.2">
      <c r="B9" s="31" t="s">
        <v>58</v>
      </c>
      <c r="D9" s="93">
        <v>1</v>
      </c>
      <c r="F9" s="31" t="s">
        <v>59</v>
      </c>
      <c r="H9" s="93">
        <v>1</v>
      </c>
    </row>
    <row r="10" spans="1:14" x14ac:dyDescent="0.2">
      <c r="L10" s="33" t="s">
        <v>60</v>
      </c>
      <c r="N10" s="33" t="s">
        <v>48</v>
      </c>
    </row>
    <row r="11" spans="1:14" x14ac:dyDescent="0.2">
      <c r="A11" s="89" t="s">
        <v>1</v>
      </c>
      <c r="F11" s="32" t="s">
        <v>61</v>
      </c>
      <c r="G11" s="32"/>
      <c r="H11" s="32"/>
      <c r="J11" s="33" t="s">
        <v>51</v>
      </c>
      <c r="L11" s="33" t="s">
        <v>51</v>
      </c>
      <c r="N11" s="33" t="s">
        <v>62</v>
      </c>
    </row>
    <row r="12" spans="1:14" x14ac:dyDescent="0.2">
      <c r="A12" s="87" t="s">
        <v>2</v>
      </c>
      <c r="B12" s="94" t="s">
        <v>63</v>
      </c>
      <c r="D12" s="34" t="s">
        <v>64</v>
      </c>
      <c r="E12" s="35"/>
      <c r="F12" s="34" t="s">
        <v>65</v>
      </c>
      <c r="H12" s="34" t="s">
        <v>66</v>
      </c>
      <c r="J12" s="34" t="s">
        <v>67</v>
      </c>
      <c r="L12" s="34" t="s">
        <v>67</v>
      </c>
      <c r="N12" s="34" t="s">
        <v>68</v>
      </c>
    </row>
    <row r="13" spans="1:14" x14ac:dyDescent="0.2">
      <c r="B13" s="92" t="s">
        <v>6</v>
      </c>
      <c r="D13" s="33" t="s">
        <v>7</v>
      </c>
      <c r="E13" s="35"/>
      <c r="F13" s="33" t="s">
        <v>8</v>
      </c>
      <c r="H13" s="33" t="s">
        <v>42</v>
      </c>
      <c r="J13" s="33" t="s">
        <v>43</v>
      </c>
      <c r="L13" s="33" t="s">
        <v>44</v>
      </c>
      <c r="N13" s="33" t="s">
        <v>45</v>
      </c>
    </row>
    <row r="14" spans="1:14" x14ac:dyDescent="0.2">
      <c r="B14" s="95"/>
      <c r="D14" s="33"/>
      <c r="E14" s="35"/>
      <c r="F14" s="33"/>
      <c r="H14" s="33"/>
      <c r="J14" s="33"/>
    </row>
    <row r="15" spans="1:14" x14ac:dyDescent="0.2">
      <c r="A15" s="33">
        <v>1</v>
      </c>
      <c r="B15" s="36">
        <v>45641</v>
      </c>
      <c r="D15" s="40">
        <v>0</v>
      </c>
      <c r="E15" s="35"/>
      <c r="F15" s="33" t="s">
        <v>69</v>
      </c>
      <c r="H15" s="5">
        <v>1</v>
      </c>
      <c r="J15" s="39">
        <f>1.5/68</f>
        <v>2.2058823529411766E-2</v>
      </c>
      <c r="L15" s="39">
        <v>3.7499999999999999E-2</v>
      </c>
      <c r="N15" s="96">
        <v>0.21</v>
      </c>
    </row>
    <row r="16" spans="1:14" x14ac:dyDescent="0.2">
      <c r="A16" s="33">
        <v>2</v>
      </c>
      <c r="B16" s="37">
        <v>45672</v>
      </c>
      <c r="D16" s="40">
        <v>0</v>
      </c>
      <c r="E16" s="35"/>
      <c r="F16" s="33" t="s">
        <v>70</v>
      </c>
      <c r="H16" s="5">
        <v>0</v>
      </c>
      <c r="J16" s="39">
        <v>0</v>
      </c>
    </row>
    <row r="17" spans="1:10" x14ac:dyDescent="0.2">
      <c r="A17" s="33">
        <v>3</v>
      </c>
      <c r="B17" s="37">
        <f>B16+30</f>
        <v>45702</v>
      </c>
      <c r="D17" s="40">
        <v>0</v>
      </c>
      <c r="E17" s="35"/>
      <c r="F17" s="33" t="s">
        <v>70</v>
      </c>
      <c r="H17" s="5">
        <v>0</v>
      </c>
      <c r="J17" s="39">
        <v>0</v>
      </c>
    </row>
    <row r="18" spans="1:10" x14ac:dyDescent="0.2">
      <c r="A18" s="33">
        <v>4</v>
      </c>
      <c r="B18" s="37">
        <f t="shared" ref="B18:B27" si="0">B17+30</f>
        <v>45732</v>
      </c>
      <c r="D18" s="40">
        <v>0</v>
      </c>
      <c r="E18" s="35"/>
      <c r="F18" s="33" t="s">
        <v>70</v>
      </c>
      <c r="H18" s="5">
        <v>0</v>
      </c>
      <c r="J18" s="39">
        <v>0</v>
      </c>
    </row>
    <row r="19" spans="1:10" x14ac:dyDescent="0.2">
      <c r="A19" s="33">
        <v>5</v>
      </c>
      <c r="B19" s="37">
        <f t="shared" si="0"/>
        <v>45762</v>
      </c>
      <c r="D19" s="40">
        <v>0</v>
      </c>
      <c r="E19" s="35"/>
      <c r="F19" s="33" t="s">
        <v>70</v>
      </c>
      <c r="H19" s="5">
        <v>0</v>
      </c>
      <c r="J19" s="39">
        <v>0</v>
      </c>
    </row>
    <row r="20" spans="1:10" x14ac:dyDescent="0.2">
      <c r="A20" s="33">
        <v>6</v>
      </c>
      <c r="B20" s="37">
        <f t="shared" si="0"/>
        <v>45792</v>
      </c>
      <c r="D20" s="40">
        <v>0</v>
      </c>
      <c r="E20" s="35"/>
      <c r="F20" s="33"/>
      <c r="H20" s="38" t="s">
        <v>10</v>
      </c>
      <c r="J20" s="39"/>
    </row>
    <row r="21" spans="1:10" x14ac:dyDescent="0.2">
      <c r="A21" s="33">
        <v>7</v>
      </c>
      <c r="B21" s="37">
        <f t="shared" si="0"/>
        <v>45822</v>
      </c>
      <c r="D21" s="40">
        <v>0</v>
      </c>
      <c r="E21" s="35"/>
      <c r="F21" s="33"/>
      <c r="H21" s="38" t="s">
        <v>10</v>
      </c>
      <c r="J21" s="39"/>
    </row>
    <row r="22" spans="1:10" x14ac:dyDescent="0.2">
      <c r="A22" s="33">
        <v>8</v>
      </c>
      <c r="B22" s="37">
        <f t="shared" si="0"/>
        <v>45852</v>
      </c>
      <c r="D22" s="40">
        <v>0</v>
      </c>
      <c r="E22" s="35"/>
      <c r="F22" s="33"/>
      <c r="H22" s="38" t="s">
        <v>10</v>
      </c>
      <c r="J22" s="39"/>
    </row>
    <row r="23" spans="1:10" x14ac:dyDescent="0.2">
      <c r="A23" s="33">
        <v>9</v>
      </c>
      <c r="B23" s="37">
        <f t="shared" si="0"/>
        <v>45882</v>
      </c>
      <c r="D23" s="40">
        <v>0</v>
      </c>
      <c r="E23" s="35"/>
      <c r="F23" s="33"/>
      <c r="H23" s="38" t="s">
        <v>10</v>
      </c>
      <c r="J23" s="39"/>
    </row>
    <row r="24" spans="1:10" x14ac:dyDescent="0.2">
      <c r="A24" s="33">
        <v>10</v>
      </c>
      <c r="B24" s="37">
        <f t="shared" si="0"/>
        <v>45912</v>
      </c>
      <c r="D24" s="40">
        <v>0</v>
      </c>
      <c r="E24" s="35"/>
      <c r="F24" s="33"/>
      <c r="H24" s="38" t="s">
        <v>10</v>
      </c>
      <c r="J24" s="39"/>
    </row>
    <row r="25" spans="1:10" x14ac:dyDescent="0.2">
      <c r="A25" s="33">
        <v>11</v>
      </c>
      <c r="B25" s="37">
        <f t="shared" si="0"/>
        <v>45942</v>
      </c>
      <c r="D25" s="40">
        <v>0</v>
      </c>
      <c r="E25" s="35"/>
      <c r="F25" s="33"/>
      <c r="H25" s="38" t="s">
        <v>10</v>
      </c>
      <c r="J25" s="39"/>
    </row>
    <row r="26" spans="1:10" x14ac:dyDescent="0.2">
      <c r="A26" s="33">
        <v>12</v>
      </c>
      <c r="B26" s="37">
        <f t="shared" si="0"/>
        <v>45972</v>
      </c>
      <c r="D26" s="40">
        <v>0</v>
      </c>
      <c r="E26" s="35"/>
      <c r="H26" s="38" t="s">
        <v>10</v>
      </c>
      <c r="J26" s="39"/>
    </row>
    <row r="27" spans="1:10" x14ac:dyDescent="0.2">
      <c r="A27" s="33">
        <v>13</v>
      </c>
      <c r="B27" s="37">
        <f t="shared" si="0"/>
        <v>46002</v>
      </c>
      <c r="D27" s="40">
        <v>0</v>
      </c>
      <c r="E27" s="35"/>
      <c r="H27" s="38"/>
      <c r="J27" s="39"/>
    </row>
    <row r="28" spans="1:10" x14ac:dyDescent="0.2">
      <c r="A28" s="33">
        <v>14</v>
      </c>
      <c r="D28" s="40"/>
      <c r="E28" s="35"/>
      <c r="J28" s="39"/>
    </row>
    <row r="29" spans="1:10" x14ac:dyDescent="0.2">
      <c r="A29" s="33">
        <v>15</v>
      </c>
      <c r="B29" s="31" t="s">
        <v>71</v>
      </c>
      <c r="D29" s="97">
        <v>46327</v>
      </c>
    </row>
    <row r="30" spans="1:10" x14ac:dyDescent="0.2">
      <c r="A30" s="33">
        <v>16</v>
      </c>
      <c r="B30" s="31" t="s">
        <v>72</v>
      </c>
      <c r="D30" s="98">
        <v>792056</v>
      </c>
    </row>
    <row r="32" spans="1:10" x14ac:dyDescent="0.2">
      <c r="B32" s="41" t="s">
        <v>73</v>
      </c>
    </row>
    <row r="33" spans="2:2" x14ac:dyDescent="0.2">
      <c r="B33" s="41" t="s">
        <v>74</v>
      </c>
    </row>
    <row r="34" spans="2:2" x14ac:dyDescent="0.2">
      <c r="B34" s="41" t="s">
        <v>172</v>
      </c>
    </row>
    <row r="35" spans="2:2" x14ac:dyDescent="0.2">
      <c r="B35" s="41" t="s">
        <v>173</v>
      </c>
    </row>
    <row r="36" spans="2:2" x14ac:dyDescent="0.2">
      <c r="B36" s="41" t="s">
        <v>175</v>
      </c>
    </row>
    <row r="37" spans="2:2" x14ac:dyDescent="0.2">
      <c r="B37" s="41" t="s">
        <v>176</v>
      </c>
    </row>
    <row r="38" spans="2:2" x14ac:dyDescent="0.2">
      <c r="B38" s="41" t="s">
        <v>177</v>
      </c>
    </row>
    <row r="39" spans="2:2" x14ac:dyDescent="0.2">
      <c r="B39" s="89" t="s">
        <v>76</v>
      </c>
    </row>
    <row r="40" spans="2:2" x14ac:dyDescent="0.2">
      <c r="B40" s="89" t="s">
        <v>77</v>
      </c>
    </row>
  </sheetData>
  <mergeCells count="6">
    <mergeCell ref="A1:J1"/>
    <mergeCell ref="A4:J4"/>
    <mergeCell ref="A5:J5"/>
    <mergeCell ref="A6:J6"/>
    <mergeCell ref="B7:D7"/>
    <mergeCell ref="F7:H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/>
  <dimension ref="A1:J435"/>
  <sheetViews>
    <sheetView view="pageLayout" zoomScaleNormal="100" workbookViewId="0"/>
  </sheetViews>
  <sheetFormatPr defaultColWidth="11" defaultRowHeight="11.25" x14ac:dyDescent="0.2"/>
  <cols>
    <col min="1" max="1" width="4.85546875" style="45" customWidth="1"/>
    <col min="2" max="2" width="1" style="45" customWidth="1"/>
    <col min="3" max="3" width="14.7109375" style="45" customWidth="1"/>
    <col min="4" max="4" width="1" style="45" customWidth="1"/>
    <col min="5" max="5" width="17.85546875" style="45" customWidth="1"/>
    <col min="6" max="6" width="1" style="45" customWidth="1"/>
    <col min="7" max="7" width="17.85546875" style="45" customWidth="1"/>
    <col min="8" max="8" width="1" style="45" customWidth="1"/>
    <col min="9" max="9" width="15.85546875" style="45" customWidth="1"/>
    <col min="10" max="10" width="6.42578125" style="45" customWidth="1"/>
    <col min="11" max="11" width="4.85546875" style="45" customWidth="1"/>
    <col min="12" max="12" width="1" style="45" customWidth="1"/>
    <col min="13" max="13" width="25.140625" style="45" customWidth="1"/>
    <col min="14" max="14" width="1" style="45" customWidth="1"/>
    <col min="15" max="15" width="14.85546875" style="45" customWidth="1"/>
    <col min="16" max="16" width="1" style="45" customWidth="1"/>
    <col min="17" max="17" width="14.85546875" style="45" customWidth="1"/>
    <col min="18" max="18" width="1" style="45" customWidth="1"/>
    <col min="19" max="19" width="13.85546875" style="45" customWidth="1"/>
    <col min="20" max="20" width="6.42578125" style="45" customWidth="1"/>
    <col min="21" max="21" width="4.85546875" style="45" customWidth="1"/>
    <col min="22" max="22" width="1" style="45" customWidth="1"/>
    <col min="23" max="23" width="25.140625" style="45" customWidth="1"/>
    <col min="24" max="24" width="1" style="45" customWidth="1"/>
    <col min="25" max="25" width="14.85546875" style="45" customWidth="1"/>
    <col min="26" max="26" width="1" style="45" customWidth="1"/>
    <col min="27" max="27" width="14.85546875" style="45" customWidth="1"/>
    <col min="28" max="28" width="1" style="45" customWidth="1"/>
    <col min="29" max="29" width="13.85546875" style="45" customWidth="1"/>
    <col min="30" max="30" width="6.42578125" style="45" customWidth="1"/>
    <col min="31" max="31" width="4.85546875" style="45" customWidth="1"/>
    <col min="32" max="32" width="1" style="45" customWidth="1"/>
    <col min="33" max="33" width="25.140625" style="45" customWidth="1"/>
    <col min="34" max="34" width="1" style="45" customWidth="1"/>
    <col min="35" max="35" width="14.85546875" style="45" customWidth="1"/>
    <col min="36" max="36" width="1" style="45" customWidth="1"/>
    <col min="37" max="37" width="14.85546875" style="45" customWidth="1"/>
    <col min="38" max="38" width="1" style="45" customWidth="1"/>
    <col min="39" max="39" width="13.85546875" style="45" customWidth="1"/>
    <col min="40" max="40" width="6.42578125" style="45" customWidth="1"/>
    <col min="41" max="41" width="4.85546875" style="45" customWidth="1"/>
    <col min="42" max="42" width="1" style="45" customWidth="1"/>
    <col min="43" max="43" width="17.85546875" style="45" customWidth="1"/>
    <col min="44" max="44" width="1" style="45" customWidth="1"/>
    <col min="45" max="45" width="14.85546875" style="45" customWidth="1"/>
    <col min="46" max="46" width="1" style="45" customWidth="1"/>
    <col min="47" max="47" width="14.85546875" style="45" customWidth="1"/>
    <col min="48" max="48" width="1" style="45" customWidth="1"/>
    <col min="49" max="49" width="13.85546875" style="45" customWidth="1"/>
    <col min="50" max="16384" width="11" style="45"/>
  </cols>
  <sheetData>
    <row r="1" spans="1:10" x14ac:dyDescent="0.2">
      <c r="A1" s="42"/>
      <c r="B1" s="42"/>
      <c r="C1" s="43"/>
      <c r="D1" s="43"/>
      <c r="E1" s="43"/>
      <c r="F1" s="43"/>
      <c r="G1" s="43"/>
      <c r="H1" s="43"/>
      <c r="I1" s="43"/>
      <c r="J1" s="44" t="s">
        <v>10</v>
      </c>
    </row>
    <row r="2" spans="1:10" x14ac:dyDescent="0.2">
      <c r="A2" s="42"/>
      <c r="B2" s="42"/>
      <c r="C2" s="43"/>
      <c r="D2" s="43"/>
      <c r="E2" s="43"/>
      <c r="F2" s="43"/>
      <c r="G2" s="43"/>
      <c r="H2" s="43"/>
      <c r="I2" s="43"/>
      <c r="J2" s="44"/>
    </row>
    <row r="3" spans="1:10" x14ac:dyDescent="0.2">
      <c r="A3" s="42"/>
      <c r="B3" s="42"/>
      <c r="C3" s="43"/>
      <c r="D3" s="43"/>
      <c r="E3" s="43"/>
      <c r="F3" s="43"/>
      <c r="G3" s="43"/>
      <c r="H3" s="43"/>
      <c r="I3" s="43"/>
      <c r="J3" s="44"/>
    </row>
    <row r="4" spans="1:10" x14ac:dyDescent="0.2">
      <c r="A4" s="42"/>
      <c r="B4" s="42"/>
      <c r="C4" s="43"/>
      <c r="D4" s="43"/>
      <c r="E4" s="43"/>
      <c r="F4" s="43"/>
      <c r="G4" s="43"/>
      <c r="H4" s="43"/>
      <c r="I4" s="43"/>
      <c r="J4" s="44" t="s">
        <v>10</v>
      </c>
    </row>
    <row r="5" spans="1:10" ht="22.5" customHeight="1" x14ac:dyDescent="0.2">
      <c r="A5" s="46" t="str">
        <f>'CAPGDS1000001236 Input'!A5:J5</f>
        <v>Pro-Forma Adjustment - System Reliability</v>
      </c>
      <c r="B5" s="42"/>
      <c r="C5" s="43"/>
      <c r="D5" s="43"/>
      <c r="E5" s="43"/>
      <c r="F5" s="43"/>
      <c r="G5" s="43"/>
      <c r="H5" s="43"/>
      <c r="I5" s="43"/>
      <c r="J5" s="44" t="s">
        <v>10</v>
      </c>
    </row>
    <row r="6" spans="1:10" x14ac:dyDescent="0.2">
      <c r="A6" s="138"/>
      <c r="B6" s="138"/>
      <c r="C6" s="138"/>
      <c r="D6" s="138"/>
      <c r="E6" s="138"/>
      <c r="F6" s="138"/>
      <c r="G6" s="138"/>
      <c r="H6" s="138"/>
      <c r="I6" s="138"/>
      <c r="J6" s="44"/>
    </row>
    <row r="7" spans="1:10" x14ac:dyDescent="0.2">
      <c r="A7" s="46"/>
      <c r="B7" s="46"/>
      <c r="C7" s="44"/>
      <c r="D7" s="44"/>
      <c r="E7" s="44"/>
      <c r="F7" s="44"/>
      <c r="G7" s="44"/>
      <c r="H7" s="44"/>
      <c r="I7" s="44"/>
      <c r="J7" s="44"/>
    </row>
    <row r="8" spans="1:10" x14ac:dyDescent="0.2">
      <c r="A8" s="139" t="str">
        <f>'CAPGDS1000001236 Input'!F8</f>
        <v>Brandon-Holly (Rice) St 210 psig Serve Load</v>
      </c>
      <c r="B8" s="139"/>
      <c r="C8" s="139"/>
      <c r="D8" s="139"/>
      <c r="E8" s="139"/>
      <c r="F8" s="139"/>
      <c r="G8" s="139"/>
      <c r="H8" s="139"/>
      <c r="I8" s="139"/>
      <c r="J8" s="44"/>
    </row>
    <row r="9" spans="1:10" x14ac:dyDescent="0.2">
      <c r="A9" s="46"/>
      <c r="B9" s="46"/>
      <c r="C9" s="44"/>
      <c r="D9" s="44"/>
      <c r="E9" s="44"/>
      <c r="F9" s="44"/>
      <c r="G9" s="44"/>
      <c r="H9" s="44"/>
      <c r="I9" s="44"/>
      <c r="J9" s="44"/>
    </row>
    <row r="10" spans="1:10" x14ac:dyDescent="0.2">
      <c r="A10" s="46" t="s">
        <v>78</v>
      </c>
      <c r="B10" s="46"/>
      <c r="C10" s="44"/>
      <c r="D10" s="44"/>
      <c r="E10" s="44"/>
      <c r="F10" s="44"/>
      <c r="G10" s="44"/>
      <c r="H10" s="44"/>
      <c r="I10" s="44"/>
      <c r="J10" s="44" t="s">
        <v>10</v>
      </c>
    </row>
    <row r="11" spans="1:10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  <c r="J11" s="44" t="s">
        <v>10</v>
      </c>
    </row>
    <row r="13" spans="1:10" ht="12" thickBot="1" x14ac:dyDescent="0.25">
      <c r="A13" s="71" t="s">
        <v>79</v>
      </c>
      <c r="E13" s="47" t="s">
        <v>80</v>
      </c>
      <c r="F13" s="48"/>
      <c r="G13" s="48"/>
      <c r="H13" s="48"/>
      <c r="I13" s="48"/>
    </row>
    <row r="14" spans="1:10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10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10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0" x14ac:dyDescent="0.2">
      <c r="A17" s="45">
        <v>1</v>
      </c>
      <c r="C17" s="52">
        <f>'CAPGDS1000001236 Input'!B15</f>
        <v>45641</v>
      </c>
      <c r="D17" s="52"/>
      <c r="E17" s="109">
        <f>'CAPGDS1000001236 Input'!D15*'CAPGDS1000001236 Input'!$D$9*'CAPGDS1000001236 Input'!$H$9</f>
        <v>0</v>
      </c>
      <c r="F17" s="110"/>
      <c r="G17" s="109">
        <f>'CAPGDS1000001236 Input'!D30*'CAPGDS1000001236 Input'!D9*'CAPGDS1000001236 Input'!H9</f>
        <v>792056</v>
      </c>
      <c r="H17" s="110"/>
      <c r="I17" s="109">
        <f t="shared" ref="I17:I29" si="0">G17-E17</f>
        <v>792056</v>
      </c>
    </row>
    <row r="18" spans="1:10" x14ac:dyDescent="0.2">
      <c r="A18" s="45">
        <f t="shared" ref="A18:A40" si="1">1+A17</f>
        <v>2</v>
      </c>
      <c r="C18" s="52">
        <f>'CAPGDS1000001236 Input'!B16</f>
        <v>45672</v>
      </c>
      <c r="D18" s="52"/>
      <c r="E18" s="80">
        <f>'CAPGDS1000001236 Input'!D16*'CAPGDS1000001236 Input'!$D$9*'CAPGDS1000001236 Input'!$H$9</f>
        <v>0</v>
      </c>
      <c r="F18" s="7"/>
      <c r="G18" s="80">
        <f>'CAPGDS1000001236 Input'!D30*'CAPGDS1000001236 Input'!D9*'CAPGDS1000001236 Input'!H9</f>
        <v>792056</v>
      </c>
      <c r="H18" s="7"/>
      <c r="I18" s="80">
        <f t="shared" si="0"/>
        <v>792056</v>
      </c>
    </row>
    <row r="19" spans="1:10" x14ac:dyDescent="0.2">
      <c r="A19" s="45">
        <f t="shared" si="1"/>
        <v>3</v>
      </c>
      <c r="C19" s="52">
        <f>'CAPGDS1000001236 Input'!B17</f>
        <v>45702</v>
      </c>
      <c r="D19" s="52"/>
      <c r="E19" s="80">
        <f>'CAPGDS1000001236 Input'!D17*'CAPGDS1000001236 Input'!$D$9*'CAPGDS1000001236 Input'!$H$9</f>
        <v>0</v>
      </c>
      <c r="F19" s="7"/>
      <c r="G19" s="7">
        <f t="shared" ref="G19:G29" si="2">$G$18</f>
        <v>792056</v>
      </c>
      <c r="H19" s="7"/>
      <c r="I19" s="7">
        <f t="shared" si="0"/>
        <v>792056</v>
      </c>
      <c r="J19" s="54"/>
    </row>
    <row r="20" spans="1:10" x14ac:dyDescent="0.2">
      <c r="A20" s="45">
        <f t="shared" si="1"/>
        <v>4</v>
      </c>
      <c r="C20" s="52">
        <f>'CAPGDS1000001236 Input'!B18</f>
        <v>45732</v>
      </c>
      <c r="D20" s="52"/>
      <c r="E20" s="80">
        <f>'CAPGDS1000001236 Input'!D18*'CAPGDS1000001236 Input'!$D$9*'CAPGDS1000001236 Input'!$H$9</f>
        <v>0</v>
      </c>
      <c r="F20" s="7"/>
      <c r="G20" s="7">
        <f t="shared" si="2"/>
        <v>792056</v>
      </c>
      <c r="H20" s="7"/>
      <c r="I20" s="7">
        <f t="shared" si="0"/>
        <v>792056</v>
      </c>
      <c r="J20" s="54"/>
    </row>
    <row r="21" spans="1:10" x14ac:dyDescent="0.2">
      <c r="A21" s="45">
        <f t="shared" si="1"/>
        <v>5</v>
      </c>
      <c r="C21" s="52">
        <f>'CAPGDS1000001236 Input'!B19</f>
        <v>45762</v>
      </c>
      <c r="D21" s="52"/>
      <c r="E21" s="80">
        <f>'CAPGDS1000001236 Input'!D19*'CAPGDS1000001236 Input'!$D$9*'CAPGDS1000001236 Input'!$H$9</f>
        <v>0</v>
      </c>
      <c r="F21" s="7"/>
      <c r="G21" s="7">
        <f t="shared" si="2"/>
        <v>792056</v>
      </c>
      <c r="H21" s="7"/>
      <c r="I21" s="7">
        <f t="shared" si="0"/>
        <v>792056</v>
      </c>
      <c r="J21" s="54"/>
    </row>
    <row r="22" spans="1:10" x14ac:dyDescent="0.2">
      <c r="A22" s="45">
        <f t="shared" si="1"/>
        <v>6</v>
      </c>
      <c r="C22" s="52">
        <f>'CAPGDS1000001236 Input'!B20</f>
        <v>45792</v>
      </c>
      <c r="D22" s="52"/>
      <c r="E22" s="80">
        <f>'CAPGDS1000001236 Input'!D20*'CAPGDS1000001236 Input'!$D$9*'CAPGDS1000001236 Input'!$H$9</f>
        <v>0</v>
      </c>
      <c r="F22" s="7"/>
      <c r="G22" s="7">
        <f t="shared" si="2"/>
        <v>792056</v>
      </c>
      <c r="H22" s="7"/>
      <c r="I22" s="7">
        <f t="shared" si="0"/>
        <v>792056</v>
      </c>
      <c r="J22" s="54"/>
    </row>
    <row r="23" spans="1:10" x14ac:dyDescent="0.2">
      <c r="A23" s="45">
        <f t="shared" si="1"/>
        <v>7</v>
      </c>
      <c r="C23" s="52">
        <f>'CAPGDS1000001236 Input'!B21</f>
        <v>45822</v>
      </c>
      <c r="D23" s="52"/>
      <c r="E23" s="80">
        <f>'CAPGDS1000001236 Input'!D21*'CAPGDS1000001236 Input'!$D$9*'CAPGDS1000001236 Input'!$H$9</f>
        <v>0</v>
      </c>
      <c r="F23" s="7"/>
      <c r="G23" s="7">
        <f t="shared" si="2"/>
        <v>792056</v>
      </c>
      <c r="H23" s="7"/>
      <c r="I23" s="7">
        <f t="shared" si="0"/>
        <v>792056</v>
      </c>
      <c r="J23" s="54"/>
    </row>
    <row r="24" spans="1:10" x14ac:dyDescent="0.2">
      <c r="A24" s="45">
        <f t="shared" si="1"/>
        <v>8</v>
      </c>
      <c r="C24" s="52">
        <f>'CAPGDS1000001236 Input'!B22</f>
        <v>45852</v>
      </c>
      <c r="D24" s="52"/>
      <c r="E24" s="80">
        <f>'CAPGDS1000001236 Input'!D22*'CAPGDS1000001236 Input'!$D$9*'CAPGDS1000001236 Input'!$H$9</f>
        <v>0</v>
      </c>
      <c r="F24" s="7"/>
      <c r="G24" s="7">
        <f t="shared" si="2"/>
        <v>792056</v>
      </c>
      <c r="H24" s="7"/>
      <c r="I24" s="7">
        <f t="shared" si="0"/>
        <v>792056</v>
      </c>
      <c r="J24" s="54"/>
    </row>
    <row r="25" spans="1:10" x14ac:dyDescent="0.2">
      <c r="A25" s="45">
        <f t="shared" si="1"/>
        <v>9</v>
      </c>
      <c r="C25" s="52">
        <f>'CAPGDS1000001236 Input'!B23</f>
        <v>45882</v>
      </c>
      <c r="D25" s="52"/>
      <c r="E25" s="80">
        <f>'CAPGDS1000001236 Input'!D23*'CAPGDS1000001236 Input'!$D$9*'CAPGDS1000001236 Input'!$H$9</f>
        <v>0</v>
      </c>
      <c r="F25" s="7"/>
      <c r="G25" s="7">
        <f t="shared" si="2"/>
        <v>792056</v>
      </c>
      <c r="H25" s="7"/>
      <c r="I25" s="7">
        <f t="shared" si="0"/>
        <v>792056</v>
      </c>
      <c r="J25" s="54"/>
    </row>
    <row r="26" spans="1:10" x14ac:dyDescent="0.2">
      <c r="A26" s="45">
        <f t="shared" si="1"/>
        <v>10</v>
      </c>
      <c r="C26" s="52">
        <f>'CAPGDS1000001236 Input'!B24</f>
        <v>45912</v>
      </c>
      <c r="D26" s="52"/>
      <c r="E26" s="80">
        <f>'CAPGDS1000001236 Input'!D24*'CAPGDS1000001236 Input'!$D$9*'CAPGDS1000001236 Input'!$H$9</f>
        <v>0</v>
      </c>
      <c r="F26" s="7"/>
      <c r="G26" s="7">
        <f t="shared" si="2"/>
        <v>792056</v>
      </c>
      <c r="H26" s="7"/>
      <c r="I26" s="7">
        <f t="shared" si="0"/>
        <v>792056</v>
      </c>
      <c r="J26" s="54"/>
    </row>
    <row r="27" spans="1:10" x14ac:dyDescent="0.2">
      <c r="A27" s="45">
        <f t="shared" si="1"/>
        <v>11</v>
      </c>
      <c r="C27" s="52">
        <f>'CAPGDS1000001236 Input'!B25</f>
        <v>45942</v>
      </c>
      <c r="D27" s="52"/>
      <c r="E27" s="80">
        <f>'CAPGDS1000001236 Input'!D25*'CAPGDS1000001236 Input'!$D$9*'CAPGDS1000001236 Input'!$H$9</f>
        <v>0</v>
      </c>
      <c r="F27" s="7"/>
      <c r="G27" s="7">
        <f t="shared" si="2"/>
        <v>792056</v>
      </c>
      <c r="H27" s="7"/>
      <c r="I27" s="7">
        <f t="shared" si="0"/>
        <v>792056</v>
      </c>
      <c r="J27" s="54"/>
    </row>
    <row r="28" spans="1:10" x14ac:dyDescent="0.2">
      <c r="A28" s="45">
        <f t="shared" si="1"/>
        <v>12</v>
      </c>
      <c r="C28" s="52">
        <f>'CAPGDS1000001236 Input'!B26</f>
        <v>45972</v>
      </c>
      <c r="D28" s="52"/>
      <c r="E28" s="80">
        <f>'CAPGDS1000001236 Input'!D26*'CAPGDS1000001236 Input'!$D$9*'CAPGDS1000001236 Input'!$H$9</f>
        <v>0</v>
      </c>
      <c r="F28" s="7"/>
      <c r="G28" s="7">
        <f t="shared" si="2"/>
        <v>792056</v>
      </c>
      <c r="H28" s="7"/>
      <c r="I28" s="7">
        <f t="shared" si="0"/>
        <v>792056</v>
      </c>
      <c r="J28" s="54"/>
    </row>
    <row r="29" spans="1:10" x14ac:dyDescent="0.2">
      <c r="A29" s="45">
        <f t="shared" si="1"/>
        <v>13</v>
      </c>
      <c r="C29" s="52">
        <f>'CAPGDS1000001236 Input'!B27</f>
        <v>46002</v>
      </c>
      <c r="D29" s="52"/>
      <c r="E29" s="114">
        <f>'CAPGDS1000001236 Input'!D27*'CAPGDS1000001236 Input'!$D$9*'CAPGDS1000001236 Input'!$H$9</f>
        <v>0</v>
      </c>
      <c r="F29" s="7"/>
      <c r="G29" s="115">
        <f t="shared" si="2"/>
        <v>792056</v>
      </c>
      <c r="H29" s="7"/>
      <c r="I29" s="115">
        <f t="shared" si="0"/>
        <v>792056</v>
      </c>
      <c r="J29" s="54"/>
    </row>
    <row r="30" spans="1:10" x14ac:dyDescent="0.2">
      <c r="A30" s="45">
        <f t="shared" si="1"/>
        <v>14</v>
      </c>
      <c r="C30" s="58" t="s">
        <v>47</v>
      </c>
      <c r="D30" s="58"/>
      <c r="E30" s="110">
        <f>SUM(E17:E29)</f>
        <v>0</v>
      </c>
      <c r="F30" s="110"/>
      <c r="G30" s="110">
        <f>SUM(G17:G29)</f>
        <v>10296728</v>
      </c>
      <c r="H30" s="110"/>
      <c r="I30" s="110">
        <f>SUM(I17:I29)</f>
        <v>10296728</v>
      </c>
      <c r="J30" s="54"/>
    </row>
    <row r="31" spans="1:10" x14ac:dyDescent="0.2">
      <c r="A31" s="45">
        <f t="shared" si="1"/>
        <v>15</v>
      </c>
      <c r="E31" s="110"/>
      <c r="F31" s="110"/>
      <c r="G31" s="110"/>
      <c r="H31" s="110"/>
      <c r="I31" s="110"/>
      <c r="J31" s="54"/>
    </row>
    <row r="32" spans="1:10" ht="12" thickBot="1" x14ac:dyDescent="0.25">
      <c r="A32" s="45">
        <f t="shared" si="1"/>
        <v>16</v>
      </c>
      <c r="C32" s="61" t="s">
        <v>116</v>
      </c>
      <c r="D32" s="61"/>
      <c r="E32" s="112">
        <f>ROUND(+E30/13,2)</f>
        <v>0</v>
      </c>
      <c r="F32" s="110"/>
      <c r="G32" s="112">
        <f>ROUND(+G30/13,2)</f>
        <v>792056</v>
      </c>
      <c r="H32" s="110"/>
      <c r="I32" s="112">
        <f>ROUND(+I30/13,2)</f>
        <v>792056</v>
      </c>
      <c r="J32" s="60"/>
    </row>
    <row r="33" spans="1:10" ht="12" thickTop="1" x14ac:dyDescent="0.2">
      <c r="A33" s="45">
        <f t="shared" si="1"/>
        <v>17</v>
      </c>
      <c r="E33" s="110"/>
      <c r="F33" s="110"/>
      <c r="G33" s="110"/>
      <c r="H33" s="110"/>
      <c r="I33" s="110"/>
      <c r="J33" s="54"/>
    </row>
    <row r="34" spans="1:10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  <c r="J34" s="54"/>
    </row>
    <row r="35" spans="1:10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792056</v>
      </c>
      <c r="J35" s="54"/>
    </row>
    <row r="36" spans="1:10" ht="12" thickTop="1" x14ac:dyDescent="0.2">
      <c r="A36" s="45">
        <f t="shared" si="1"/>
        <v>20</v>
      </c>
      <c r="J36" s="54"/>
    </row>
    <row r="37" spans="1:10" x14ac:dyDescent="0.2">
      <c r="A37" s="45">
        <f t="shared" si="1"/>
        <v>21</v>
      </c>
      <c r="J37" s="54"/>
    </row>
    <row r="38" spans="1:10" x14ac:dyDescent="0.2">
      <c r="A38" s="45">
        <f t="shared" si="1"/>
        <v>22</v>
      </c>
      <c r="J38" s="54"/>
    </row>
    <row r="39" spans="1:10" x14ac:dyDescent="0.2">
      <c r="A39" s="45">
        <f t="shared" si="1"/>
        <v>23</v>
      </c>
      <c r="J39" s="54"/>
    </row>
    <row r="40" spans="1:10" x14ac:dyDescent="0.2">
      <c r="A40" s="45">
        <f t="shared" si="1"/>
        <v>24</v>
      </c>
      <c r="J40" s="54"/>
    </row>
    <row r="41" spans="1:10" x14ac:dyDescent="0.2">
      <c r="J41" s="54"/>
    </row>
    <row r="42" spans="1:10" x14ac:dyDescent="0.2">
      <c r="J42" s="54"/>
    </row>
    <row r="43" spans="1:10" x14ac:dyDescent="0.2">
      <c r="J43" s="54"/>
    </row>
    <row r="44" spans="1:10" x14ac:dyDescent="0.2">
      <c r="J44" s="54"/>
    </row>
    <row r="45" spans="1:10" x14ac:dyDescent="0.2">
      <c r="J45" s="54"/>
    </row>
    <row r="46" spans="1:10" x14ac:dyDescent="0.2">
      <c r="J46" s="54"/>
    </row>
    <row r="47" spans="1:10" x14ac:dyDescent="0.2">
      <c r="J47" s="54"/>
    </row>
    <row r="48" spans="1:10" x14ac:dyDescent="0.2">
      <c r="J48" s="54"/>
    </row>
    <row r="49" spans="10:10" x14ac:dyDescent="0.2">
      <c r="J49" s="54"/>
    </row>
    <row r="50" spans="10:10" x14ac:dyDescent="0.2">
      <c r="J50" s="54"/>
    </row>
    <row r="51" spans="10:10" x14ac:dyDescent="0.2">
      <c r="J51" s="54"/>
    </row>
    <row r="52" spans="10:10" x14ac:dyDescent="0.2">
      <c r="J52" s="54"/>
    </row>
    <row r="53" spans="10:10" x14ac:dyDescent="0.2">
      <c r="J53" s="54"/>
    </row>
    <row r="54" spans="10:10" x14ac:dyDescent="0.2">
      <c r="J54" s="54"/>
    </row>
    <row r="70" spans="10:10" x14ac:dyDescent="0.2">
      <c r="J70" s="44"/>
    </row>
    <row r="71" spans="10:10" x14ac:dyDescent="0.2">
      <c r="J71" s="44"/>
    </row>
    <row r="72" spans="10:10" x14ac:dyDescent="0.2">
      <c r="J72" s="44"/>
    </row>
    <row r="73" spans="10:10" x14ac:dyDescent="0.2">
      <c r="J73" s="44"/>
    </row>
    <row r="74" spans="10:10" x14ac:dyDescent="0.2">
      <c r="J74" s="44"/>
    </row>
    <row r="82" spans="10:10" x14ac:dyDescent="0.2">
      <c r="J82" s="60"/>
    </row>
    <row r="83" spans="10:10" x14ac:dyDescent="0.2">
      <c r="J83" s="54"/>
    </row>
    <row r="84" spans="10:10" x14ac:dyDescent="0.2">
      <c r="J84" s="54"/>
    </row>
    <row r="85" spans="10:10" x14ac:dyDescent="0.2">
      <c r="J85" s="54"/>
    </row>
    <row r="86" spans="10:10" x14ac:dyDescent="0.2">
      <c r="J86" s="54"/>
    </row>
    <row r="87" spans="10:10" x14ac:dyDescent="0.2">
      <c r="J87" s="54"/>
    </row>
    <row r="88" spans="10:10" x14ac:dyDescent="0.2">
      <c r="J88" s="54"/>
    </row>
    <row r="89" spans="10:10" x14ac:dyDescent="0.2">
      <c r="J89" s="54"/>
    </row>
    <row r="90" spans="10:10" x14ac:dyDescent="0.2">
      <c r="J90" s="54"/>
    </row>
    <row r="91" spans="10:10" x14ac:dyDescent="0.2">
      <c r="J91" s="54"/>
    </row>
    <row r="92" spans="10:10" x14ac:dyDescent="0.2">
      <c r="J92" s="54"/>
    </row>
    <row r="93" spans="10:10" x14ac:dyDescent="0.2">
      <c r="J93" s="54"/>
    </row>
    <row r="94" spans="10:10" x14ac:dyDescent="0.2">
      <c r="J94" s="54"/>
    </row>
    <row r="95" spans="10:10" x14ac:dyDescent="0.2">
      <c r="J95" s="60"/>
    </row>
    <row r="96" spans="10:10" x14ac:dyDescent="0.2">
      <c r="J96" s="54"/>
    </row>
    <row r="97" spans="10:10" x14ac:dyDescent="0.2">
      <c r="J97" s="54"/>
    </row>
    <row r="98" spans="10:10" x14ac:dyDescent="0.2">
      <c r="J98" s="54"/>
    </row>
    <row r="99" spans="10:10" x14ac:dyDescent="0.2">
      <c r="J99" s="54"/>
    </row>
    <row r="100" spans="10:10" x14ac:dyDescent="0.2">
      <c r="J100" s="54"/>
    </row>
    <row r="101" spans="10:10" x14ac:dyDescent="0.2">
      <c r="J101" s="54"/>
    </row>
    <row r="102" spans="10:10" x14ac:dyDescent="0.2">
      <c r="J102" s="54"/>
    </row>
    <row r="103" spans="10:10" x14ac:dyDescent="0.2">
      <c r="J103" s="54"/>
    </row>
    <row r="104" spans="10:10" x14ac:dyDescent="0.2">
      <c r="J104" s="54"/>
    </row>
    <row r="105" spans="10:10" x14ac:dyDescent="0.2">
      <c r="J105" s="54"/>
    </row>
    <row r="106" spans="10:10" x14ac:dyDescent="0.2">
      <c r="J106" s="54"/>
    </row>
    <row r="107" spans="10:10" x14ac:dyDescent="0.2">
      <c r="J107" s="54"/>
    </row>
    <row r="109" spans="10:10" x14ac:dyDescent="0.2">
      <c r="J109" s="54"/>
    </row>
    <row r="110" spans="10:10" x14ac:dyDescent="0.2">
      <c r="J110" s="54"/>
    </row>
    <row r="111" spans="10:10" x14ac:dyDescent="0.2">
      <c r="J111" s="54"/>
    </row>
    <row r="112" spans="10:10" x14ac:dyDescent="0.2">
      <c r="J112" s="54"/>
    </row>
    <row r="113" spans="10:10" x14ac:dyDescent="0.2">
      <c r="J113" s="54"/>
    </row>
    <row r="114" spans="10:10" x14ac:dyDescent="0.2">
      <c r="J114" s="54"/>
    </row>
    <row r="115" spans="10:10" x14ac:dyDescent="0.2">
      <c r="J115" s="54"/>
    </row>
    <row r="116" spans="10:10" x14ac:dyDescent="0.2">
      <c r="J116" s="54"/>
    </row>
    <row r="117" spans="10:10" x14ac:dyDescent="0.2">
      <c r="J117" s="54"/>
    </row>
    <row r="118" spans="10:10" x14ac:dyDescent="0.2">
      <c r="J118" s="54"/>
    </row>
    <row r="119" spans="10:10" x14ac:dyDescent="0.2">
      <c r="J119" s="54"/>
    </row>
    <row r="135" spans="10:10" x14ac:dyDescent="0.2">
      <c r="J135" s="44"/>
    </row>
    <row r="136" spans="10:10" x14ac:dyDescent="0.2">
      <c r="J136" s="44"/>
    </row>
    <row r="137" spans="10:10" x14ac:dyDescent="0.2">
      <c r="J137" s="44"/>
    </row>
    <row r="138" spans="10:10" x14ac:dyDescent="0.2">
      <c r="J138" s="44"/>
    </row>
    <row r="139" spans="10:10" x14ac:dyDescent="0.2">
      <c r="J139" s="44"/>
    </row>
    <row r="148" spans="10:10" x14ac:dyDescent="0.2">
      <c r="J148" s="54"/>
    </row>
    <row r="149" spans="10:10" x14ac:dyDescent="0.2">
      <c r="J149" s="54"/>
    </row>
    <row r="150" spans="10:10" x14ac:dyDescent="0.2">
      <c r="J150" s="54"/>
    </row>
    <row r="151" spans="10:10" x14ac:dyDescent="0.2">
      <c r="J151" s="54"/>
    </row>
    <row r="152" spans="10:10" x14ac:dyDescent="0.2">
      <c r="J152" s="54"/>
    </row>
    <row r="153" spans="10:10" x14ac:dyDescent="0.2">
      <c r="J153" s="54"/>
    </row>
    <row r="154" spans="10:10" x14ac:dyDescent="0.2">
      <c r="J154" s="54"/>
    </row>
    <row r="155" spans="10:10" x14ac:dyDescent="0.2">
      <c r="J155" s="54"/>
    </row>
    <row r="156" spans="10:10" x14ac:dyDescent="0.2">
      <c r="J156" s="54"/>
    </row>
    <row r="157" spans="10:10" x14ac:dyDescent="0.2">
      <c r="J157" s="54"/>
    </row>
    <row r="158" spans="10:10" x14ac:dyDescent="0.2">
      <c r="J158" s="54"/>
    </row>
    <row r="159" spans="10:10" x14ac:dyDescent="0.2">
      <c r="J159" s="54"/>
    </row>
    <row r="160" spans="10:10" x14ac:dyDescent="0.2">
      <c r="J160" s="54"/>
    </row>
    <row r="161" spans="10:10" x14ac:dyDescent="0.2">
      <c r="J161" s="60"/>
    </row>
    <row r="162" spans="10:10" x14ac:dyDescent="0.2">
      <c r="J162" s="54"/>
    </row>
    <row r="163" spans="10:10" x14ac:dyDescent="0.2">
      <c r="J163" s="54"/>
    </row>
    <row r="164" spans="10:10" x14ac:dyDescent="0.2">
      <c r="J164" s="54"/>
    </row>
    <row r="165" spans="10:10" x14ac:dyDescent="0.2">
      <c r="J165" s="54"/>
    </row>
    <row r="166" spans="10:10" x14ac:dyDescent="0.2">
      <c r="J166" s="54"/>
    </row>
    <row r="167" spans="10:10" x14ac:dyDescent="0.2">
      <c r="J167" s="54"/>
    </row>
    <row r="168" spans="10:10" x14ac:dyDescent="0.2">
      <c r="J168" s="54"/>
    </row>
    <row r="170" spans="10:10" x14ac:dyDescent="0.2">
      <c r="J170" s="54"/>
    </row>
    <row r="171" spans="10:10" x14ac:dyDescent="0.2">
      <c r="J171" s="54"/>
    </row>
    <row r="172" spans="10:10" x14ac:dyDescent="0.2">
      <c r="J172" s="54"/>
    </row>
    <row r="173" spans="10:10" x14ac:dyDescent="0.2">
      <c r="J173" s="54"/>
    </row>
    <row r="174" spans="10:10" x14ac:dyDescent="0.2">
      <c r="J174" s="54"/>
    </row>
    <row r="177" spans="10:10" x14ac:dyDescent="0.2">
      <c r="J177" s="54"/>
    </row>
    <row r="178" spans="10:10" x14ac:dyDescent="0.2">
      <c r="J178" s="54"/>
    </row>
    <row r="179" spans="10:10" x14ac:dyDescent="0.2">
      <c r="J179" s="54"/>
    </row>
    <row r="180" spans="10:10" x14ac:dyDescent="0.2">
      <c r="J180" s="54"/>
    </row>
    <row r="181" spans="10:10" x14ac:dyDescent="0.2">
      <c r="J181" s="54"/>
    </row>
    <row r="182" spans="10:10" x14ac:dyDescent="0.2">
      <c r="J182" s="54"/>
    </row>
    <row r="183" spans="10:10" x14ac:dyDescent="0.2">
      <c r="J183" s="54"/>
    </row>
    <row r="184" spans="10:10" x14ac:dyDescent="0.2">
      <c r="J184" s="54"/>
    </row>
    <row r="213" spans="10:10" x14ac:dyDescent="0.2">
      <c r="J213" s="54"/>
    </row>
    <row r="214" spans="10:10" x14ac:dyDescent="0.2">
      <c r="J214" s="54"/>
    </row>
    <row r="215" spans="10:10" x14ac:dyDescent="0.2">
      <c r="J215" s="54"/>
    </row>
    <row r="216" spans="10:10" x14ac:dyDescent="0.2">
      <c r="J216" s="54"/>
    </row>
    <row r="217" spans="10:10" x14ac:dyDescent="0.2">
      <c r="J217" s="54"/>
    </row>
    <row r="218" spans="10:10" x14ac:dyDescent="0.2">
      <c r="J218" s="54"/>
    </row>
    <row r="219" spans="10:10" x14ac:dyDescent="0.2">
      <c r="J219" s="54"/>
    </row>
    <row r="220" spans="10:10" x14ac:dyDescent="0.2">
      <c r="J220" s="54"/>
    </row>
    <row r="221" spans="10:10" x14ac:dyDescent="0.2">
      <c r="J221" s="54"/>
    </row>
    <row r="222" spans="10:10" x14ac:dyDescent="0.2">
      <c r="J222" s="54"/>
    </row>
    <row r="223" spans="10:10" x14ac:dyDescent="0.2">
      <c r="J223" s="54"/>
    </row>
    <row r="224" spans="10:10" x14ac:dyDescent="0.2">
      <c r="J224" s="54"/>
    </row>
    <row r="225" spans="10:10" x14ac:dyDescent="0.2">
      <c r="J225" s="54"/>
    </row>
    <row r="226" spans="10:10" x14ac:dyDescent="0.2">
      <c r="J226" s="60"/>
    </row>
    <row r="227" spans="10:10" x14ac:dyDescent="0.2">
      <c r="J227" s="54"/>
    </row>
    <row r="228" spans="10:10" x14ac:dyDescent="0.2">
      <c r="J228" s="54"/>
    </row>
    <row r="229" spans="10:10" x14ac:dyDescent="0.2">
      <c r="J229" s="54"/>
    </row>
    <row r="230" spans="10:10" x14ac:dyDescent="0.2">
      <c r="J230" s="54"/>
    </row>
    <row r="231" spans="10:10" x14ac:dyDescent="0.2">
      <c r="J231" s="54"/>
    </row>
    <row r="232" spans="10:10" x14ac:dyDescent="0.2">
      <c r="J232" s="54"/>
    </row>
    <row r="233" spans="10:10" x14ac:dyDescent="0.2">
      <c r="J233" s="54"/>
    </row>
    <row r="234" spans="10:10" x14ac:dyDescent="0.2">
      <c r="J234" s="54"/>
    </row>
    <row r="235" spans="10:10" x14ac:dyDescent="0.2">
      <c r="J235" s="54"/>
    </row>
    <row r="236" spans="10:10" x14ac:dyDescent="0.2">
      <c r="J236" s="54"/>
    </row>
    <row r="237" spans="10:10" x14ac:dyDescent="0.2">
      <c r="J237" s="54"/>
    </row>
    <row r="238" spans="10:10" x14ac:dyDescent="0.2">
      <c r="J238" s="54"/>
    </row>
    <row r="239" spans="10:10" x14ac:dyDescent="0.2">
      <c r="J239" s="54"/>
    </row>
    <row r="240" spans="10:10" x14ac:dyDescent="0.2">
      <c r="J240" s="54"/>
    </row>
    <row r="241" spans="10:10" x14ac:dyDescent="0.2">
      <c r="J241" s="54"/>
    </row>
    <row r="242" spans="10:10" x14ac:dyDescent="0.2">
      <c r="J242" s="54"/>
    </row>
    <row r="243" spans="10:10" x14ac:dyDescent="0.2">
      <c r="J243" s="54"/>
    </row>
    <row r="244" spans="10:10" x14ac:dyDescent="0.2">
      <c r="J244" s="54"/>
    </row>
    <row r="245" spans="10:10" x14ac:dyDescent="0.2">
      <c r="J245" s="54"/>
    </row>
    <row r="246" spans="10:10" x14ac:dyDescent="0.2">
      <c r="J246" s="54"/>
    </row>
    <row r="247" spans="10:10" x14ac:dyDescent="0.2">
      <c r="J247" s="54"/>
    </row>
    <row r="248" spans="10:10" x14ac:dyDescent="0.2">
      <c r="J248" s="54"/>
    </row>
    <row r="249" spans="10:10" x14ac:dyDescent="0.2">
      <c r="J249" s="54"/>
    </row>
    <row r="250" spans="10:10" x14ac:dyDescent="0.2">
      <c r="J250" s="54"/>
    </row>
    <row r="251" spans="10:10" x14ac:dyDescent="0.2">
      <c r="J251" s="54"/>
    </row>
    <row r="252" spans="10:10" x14ac:dyDescent="0.2">
      <c r="J252" s="54"/>
    </row>
    <row r="253" spans="10:10" x14ac:dyDescent="0.2">
      <c r="J253" s="54"/>
    </row>
    <row r="277" spans="3:10" x14ac:dyDescent="0.2">
      <c r="C277" s="52"/>
      <c r="D277" s="52"/>
      <c r="E277" s="60"/>
      <c r="F277" s="60"/>
      <c r="G277" s="60"/>
      <c r="H277" s="60"/>
      <c r="I277" s="60"/>
    </row>
    <row r="278" spans="3:10" x14ac:dyDescent="0.2">
      <c r="C278" s="52"/>
      <c r="D278" s="52"/>
      <c r="E278" s="54"/>
      <c r="F278" s="54"/>
      <c r="G278" s="54"/>
      <c r="H278" s="54"/>
      <c r="I278" s="54"/>
      <c r="J278" s="54"/>
    </row>
    <row r="279" spans="3:10" x14ac:dyDescent="0.2">
      <c r="C279" s="52"/>
      <c r="D279" s="52"/>
      <c r="E279" s="54"/>
      <c r="F279" s="54"/>
      <c r="G279" s="54"/>
      <c r="H279" s="54"/>
      <c r="I279" s="54"/>
      <c r="J279" s="54"/>
    </row>
    <row r="280" spans="3:10" x14ac:dyDescent="0.2">
      <c r="C280" s="52"/>
      <c r="D280" s="52"/>
      <c r="E280" s="54"/>
      <c r="F280" s="54"/>
      <c r="G280" s="54"/>
      <c r="H280" s="54"/>
      <c r="I280" s="54"/>
      <c r="J280" s="54"/>
    </row>
    <row r="281" spans="3:10" x14ac:dyDescent="0.2">
      <c r="C281" s="52"/>
      <c r="D281" s="52"/>
      <c r="E281" s="54"/>
      <c r="F281" s="54"/>
      <c r="G281" s="54"/>
      <c r="H281" s="54"/>
      <c r="I281" s="54"/>
      <c r="J281" s="54"/>
    </row>
    <row r="282" spans="3:10" x14ac:dyDescent="0.2">
      <c r="C282" s="52"/>
      <c r="D282" s="52"/>
      <c r="E282" s="54"/>
      <c r="F282" s="54"/>
      <c r="G282" s="54"/>
      <c r="H282" s="54"/>
      <c r="I282" s="54"/>
      <c r="J282" s="54"/>
    </row>
    <row r="283" spans="3:10" x14ac:dyDescent="0.2">
      <c r="C283" s="52"/>
      <c r="D283" s="52"/>
      <c r="E283" s="54"/>
      <c r="F283" s="54"/>
      <c r="G283" s="54"/>
      <c r="H283" s="54"/>
      <c r="I283" s="54"/>
      <c r="J283" s="54"/>
    </row>
    <row r="284" spans="3:10" x14ac:dyDescent="0.2">
      <c r="C284" s="52"/>
      <c r="D284" s="52"/>
      <c r="E284" s="54"/>
      <c r="F284" s="54"/>
      <c r="G284" s="54"/>
      <c r="H284" s="54"/>
      <c r="I284" s="54"/>
      <c r="J284" s="54"/>
    </row>
    <row r="285" spans="3:10" x14ac:dyDescent="0.2">
      <c r="C285" s="52"/>
      <c r="D285" s="52"/>
      <c r="E285" s="54"/>
      <c r="F285" s="54"/>
      <c r="G285" s="54"/>
      <c r="H285" s="54"/>
      <c r="I285" s="54"/>
      <c r="J285" s="54"/>
    </row>
    <row r="286" spans="3:10" x14ac:dyDescent="0.2">
      <c r="C286" s="52"/>
      <c r="D286" s="52"/>
      <c r="E286" s="54"/>
      <c r="F286" s="54"/>
      <c r="G286" s="54"/>
      <c r="H286" s="54"/>
      <c r="I286" s="54"/>
      <c r="J286" s="54"/>
    </row>
    <row r="287" spans="3:10" x14ac:dyDescent="0.2">
      <c r="C287" s="52"/>
      <c r="D287" s="52"/>
      <c r="E287" s="54"/>
      <c r="F287" s="54"/>
      <c r="G287" s="54"/>
      <c r="H287" s="54"/>
      <c r="I287" s="54"/>
      <c r="J287" s="54"/>
    </row>
    <row r="288" spans="3:10" x14ac:dyDescent="0.2">
      <c r="C288" s="52"/>
      <c r="D288" s="52"/>
      <c r="E288" s="54"/>
      <c r="F288" s="54"/>
      <c r="G288" s="54"/>
      <c r="H288" s="54"/>
      <c r="I288" s="54"/>
      <c r="J288" s="54"/>
    </row>
    <row r="289" spans="3:10" x14ac:dyDescent="0.2">
      <c r="C289" s="52"/>
      <c r="D289" s="52"/>
      <c r="E289" s="54"/>
      <c r="F289" s="54"/>
      <c r="G289" s="54"/>
      <c r="H289" s="54"/>
      <c r="I289" s="54"/>
      <c r="J289" s="54"/>
    </row>
    <row r="290" spans="3:10" x14ac:dyDescent="0.2">
      <c r="C290" s="52"/>
      <c r="D290" s="52"/>
      <c r="E290" s="54"/>
      <c r="F290" s="54"/>
      <c r="G290" s="54"/>
      <c r="H290" s="54"/>
      <c r="I290" s="54"/>
      <c r="J290" s="54"/>
    </row>
    <row r="291" spans="3:10" x14ac:dyDescent="0.2">
      <c r="E291" s="60"/>
      <c r="F291" s="60"/>
      <c r="G291" s="60"/>
      <c r="H291" s="60"/>
      <c r="I291" s="60"/>
      <c r="J291" s="60"/>
    </row>
    <row r="292" spans="3:10" x14ac:dyDescent="0.2">
      <c r="E292" s="54"/>
      <c r="F292" s="54"/>
      <c r="G292" s="54"/>
      <c r="H292" s="54"/>
      <c r="I292" s="54"/>
      <c r="J292" s="54"/>
    </row>
    <row r="293" spans="3:10" x14ac:dyDescent="0.2">
      <c r="E293" s="54"/>
      <c r="F293" s="54"/>
      <c r="G293" s="54"/>
      <c r="H293" s="54"/>
      <c r="I293" s="54"/>
      <c r="J293" s="54"/>
    </row>
    <row r="294" spans="3:10" x14ac:dyDescent="0.2">
      <c r="E294" s="60"/>
      <c r="F294" s="60"/>
      <c r="G294" s="60"/>
      <c r="H294" s="60"/>
      <c r="I294" s="60"/>
      <c r="J294" s="54"/>
    </row>
    <row r="295" spans="3:10" x14ac:dyDescent="0.2">
      <c r="E295" s="54"/>
      <c r="F295" s="54"/>
      <c r="G295" s="54"/>
      <c r="H295" s="54"/>
      <c r="I295" s="54"/>
      <c r="J295" s="54"/>
    </row>
    <row r="296" spans="3:10" x14ac:dyDescent="0.2">
      <c r="E296" s="54"/>
      <c r="F296" s="54"/>
      <c r="G296" s="54"/>
      <c r="H296" s="54"/>
      <c r="I296" s="54"/>
      <c r="J296" s="54"/>
    </row>
    <row r="297" spans="3:10" x14ac:dyDescent="0.2">
      <c r="E297" s="54"/>
      <c r="F297" s="54"/>
      <c r="G297" s="54"/>
      <c r="H297" s="54"/>
      <c r="I297" s="54"/>
      <c r="J297" s="54"/>
    </row>
    <row r="298" spans="3:10" x14ac:dyDescent="0.2">
      <c r="E298" s="54"/>
      <c r="F298" s="54"/>
      <c r="G298" s="54"/>
      <c r="H298" s="54"/>
      <c r="I298" s="54"/>
      <c r="J298" s="54"/>
    </row>
    <row r="299" spans="3:10" x14ac:dyDescent="0.2">
      <c r="E299" s="54"/>
      <c r="F299" s="54"/>
      <c r="G299" s="54"/>
      <c r="H299" s="54"/>
      <c r="I299" s="54"/>
      <c r="J299" s="54"/>
    </row>
    <row r="300" spans="3:10" x14ac:dyDescent="0.2">
      <c r="E300" s="54"/>
      <c r="F300" s="54"/>
      <c r="G300" s="54"/>
      <c r="H300" s="54"/>
      <c r="I300" s="54"/>
      <c r="J300" s="54"/>
    </row>
    <row r="301" spans="3:10" x14ac:dyDescent="0.2">
      <c r="E301" s="54"/>
      <c r="F301" s="54"/>
      <c r="G301" s="54"/>
      <c r="H301" s="54"/>
      <c r="I301" s="54"/>
      <c r="J301" s="54"/>
    </row>
    <row r="302" spans="3:10" x14ac:dyDescent="0.2">
      <c r="E302" s="54"/>
      <c r="F302" s="54"/>
      <c r="G302" s="54"/>
      <c r="H302" s="54"/>
      <c r="I302" s="54"/>
      <c r="J302" s="54"/>
    </row>
    <row r="303" spans="3:10" x14ac:dyDescent="0.2">
      <c r="E303" s="54"/>
      <c r="F303" s="54"/>
      <c r="G303" s="54"/>
      <c r="H303" s="54"/>
      <c r="I303" s="54"/>
      <c r="J303" s="54"/>
    </row>
    <row r="304" spans="3:10" x14ac:dyDescent="0.2">
      <c r="E304" s="54"/>
      <c r="F304" s="54"/>
      <c r="G304" s="54"/>
      <c r="H304" s="54"/>
      <c r="I304" s="54"/>
      <c r="J304" s="54"/>
    </row>
    <row r="305" spans="5:10" x14ac:dyDescent="0.2">
      <c r="E305" s="54"/>
      <c r="F305" s="54"/>
      <c r="G305" s="54"/>
      <c r="H305" s="54"/>
      <c r="I305" s="54"/>
      <c r="J305" s="54"/>
    </row>
    <row r="342" spans="3:10" x14ac:dyDescent="0.2">
      <c r="C342" s="52"/>
      <c r="D342" s="52"/>
      <c r="E342" s="60"/>
      <c r="F342" s="60"/>
      <c r="G342" s="60"/>
      <c r="H342" s="60"/>
      <c r="I342" s="60"/>
    </row>
    <row r="343" spans="3:10" x14ac:dyDescent="0.2">
      <c r="C343" s="52"/>
      <c r="D343" s="52"/>
      <c r="E343" s="54"/>
      <c r="F343" s="54"/>
      <c r="G343" s="54"/>
      <c r="H343" s="54"/>
      <c r="I343" s="54"/>
      <c r="J343" s="54"/>
    </row>
    <row r="344" spans="3:10" x14ac:dyDescent="0.2">
      <c r="C344" s="52"/>
      <c r="D344" s="52"/>
      <c r="E344" s="54"/>
      <c r="F344" s="54"/>
      <c r="G344" s="54"/>
      <c r="H344" s="54"/>
      <c r="I344" s="54"/>
      <c r="J344" s="54"/>
    </row>
    <row r="345" spans="3:10" x14ac:dyDescent="0.2">
      <c r="C345" s="52"/>
      <c r="D345" s="52"/>
      <c r="E345" s="54"/>
      <c r="F345" s="54"/>
      <c r="G345" s="54"/>
      <c r="H345" s="54"/>
      <c r="I345" s="54"/>
      <c r="J345" s="54"/>
    </row>
    <row r="346" spans="3:10" x14ac:dyDescent="0.2">
      <c r="C346" s="52"/>
      <c r="D346" s="52"/>
      <c r="E346" s="54"/>
      <c r="F346" s="54"/>
      <c r="G346" s="54"/>
      <c r="H346" s="54"/>
      <c r="I346" s="54"/>
      <c r="J346" s="54"/>
    </row>
    <row r="347" spans="3:10" x14ac:dyDescent="0.2">
      <c r="C347" s="52"/>
      <c r="D347" s="52"/>
      <c r="E347" s="54"/>
      <c r="F347" s="54"/>
      <c r="G347" s="54"/>
      <c r="H347" s="54"/>
      <c r="I347" s="54"/>
      <c r="J347" s="54"/>
    </row>
    <row r="348" spans="3:10" x14ac:dyDescent="0.2">
      <c r="C348" s="52"/>
      <c r="D348" s="52"/>
      <c r="E348" s="54"/>
      <c r="F348" s="54"/>
      <c r="G348" s="54"/>
      <c r="H348" s="54"/>
      <c r="I348" s="54"/>
      <c r="J348" s="54"/>
    </row>
    <row r="349" spans="3:10" x14ac:dyDescent="0.2">
      <c r="C349" s="52"/>
      <c r="D349" s="52"/>
      <c r="E349" s="54"/>
      <c r="F349" s="54"/>
      <c r="G349" s="54"/>
      <c r="H349" s="54"/>
      <c r="I349" s="54"/>
      <c r="J349" s="54"/>
    </row>
    <row r="350" spans="3:10" x14ac:dyDescent="0.2">
      <c r="C350" s="52"/>
      <c r="D350" s="52"/>
      <c r="E350" s="54"/>
      <c r="F350" s="54"/>
      <c r="G350" s="54"/>
      <c r="H350" s="54"/>
      <c r="I350" s="54"/>
      <c r="J350" s="54"/>
    </row>
    <row r="351" spans="3:10" x14ac:dyDescent="0.2">
      <c r="C351" s="52"/>
      <c r="D351" s="52"/>
      <c r="E351" s="54"/>
      <c r="F351" s="54"/>
      <c r="G351" s="54"/>
      <c r="H351" s="54"/>
      <c r="I351" s="54"/>
      <c r="J351" s="54"/>
    </row>
    <row r="352" spans="3:10" x14ac:dyDescent="0.2">
      <c r="C352" s="52"/>
      <c r="D352" s="52"/>
      <c r="E352" s="54"/>
      <c r="F352" s="54"/>
      <c r="G352" s="54"/>
      <c r="H352" s="54"/>
      <c r="I352" s="54"/>
      <c r="J352" s="54"/>
    </row>
    <row r="353" spans="3:10" x14ac:dyDescent="0.2">
      <c r="C353" s="52"/>
      <c r="D353" s="52"/>
      <c r="E353" s="54"/>
      <c r="F353" s="54"/>
      <c r="G353" s="54"/>
      <c r="H353" s="54"/>
      <c r="I353" s="54"/>
      <c r="J353" s="54"/>
    </row>
    <row r="354" spans="3:10" x14ac:dyDescent="0.2">
      <c r="C354" s="52"/>
      <c r="D354" s="52"/>
      <c r="E354" s="54"/>
      <c r="F354" s="54"/>
      <c r="G354" s="54"/>
      <c r="H354" s="54"/>
      <c r="I354" s="54"/>
      <c r="J354" s="54"/>
    </row>
    <row r="355" spans="3:10" x14ac:dyDescent="0.2">
      <c r="C355" s="52"/>
      <c r="D355" s="52"/>
      <c r="E355" s="54"/>
      <c r="F355" s="54"/>
      <c r="G355" s="54"/>
      <c r="H355" s="54"/>
      <c r="I355" s="54"/>
      <c r="J355" s="54"/>
    </row>
    <row r="356" spans="3:10" x14ac:dyDescent="0.2">
      <c r="E356" s="60"/>
      <c r="F356" s="60"/>
      <c r="G356" s="60"/>
      <c r="H356" s="60"/>
      <c r="I356" s="60"/>
      <c r="J356" s="60"/>
    </row>
    <row r="357" spans="3:10" x14ac:dyDescent="0.2">
      <c r="E357" s="54"/>
      <c r="F357" s="54"/>
      <c r="G357" s="54"/>
      <c r="H357" s="54"/>
      <c r="I357" s="54"/>
      <c r="J357" s="54"/>
    </row>
    <row r="358" spans="3:10" x14ac:dyDescent="0.2">
      <c r="E358" s="54"/>
      <c r="F358" s="54"/>
      <c r="G358" s="54"/>
      <c r="H358" s="54"/>
      <c r="I358" s="54"/>
      <c r="J358" s="54"/>
    </row>
    <row r="359" spans="3:10" x14ac:dyDescent="0.2">
      <c r="E359" s="60"/>
      <c r="F359" s="60"/>
      <c r="G359" s="60"/>
      <c r="H359" s="60"/>
      <c r="I359" s="60"/>
      <c r="J359" s="54"/>
    </row>
    <row r="360" spans="3:10" x14ac:dyDescent="0.2">
      <c r="E360" s="54"/>
      <c r="F360" s="54"/>
      <c r="G360" s="54"/>
      <c r="H360" s="54"/>
      <c r="I360" s="54"/>
      <c r="J360" s="54"/>
    </row>
    <row r="361" spans="3:10" x14ac:dyDescent="0.2">
      <c r="E361" s="54"/>
      <c r="F361" s="54"/>
      <c r="G361" s="54"/>
      <c r="H361" s="54"/>
      <c r="I361" s="54"/>
      <c r="J361" s="54"/>
    </row>
    <row r="362" spans="3:10" x14ac:dyDescent="0.2">
      <c r="E362" s="54"/>
      <c r="F362" s="54"/>
      <c r="G362" s="54"/>
      <c r="H362" s="54"/>
      <c r="I362" s="54"/>
      <c r="J362" s="54"/>
    </row>
    <row r="363" spans="3:10" x14ac:dyDescent="0.2">
      <c r="E363" s="54"/>
      <c r="F363" s="54"/>
      <c r="G363" s="54"/>
      <c r="H363" s="54"/>
      <c r="I363" s="54"/>
      <c r="J363" s="54"/>
    </row>
    <row r="364" spans="3:10" x14ac:dyDescent="0.2">
      <c r="E364" s="54"/>
      <c r="F364" s="54"/>
      <c r="G364" s="54"/>
      <c r="H364" s="54"/>
      <c r="I364" s="54"/>
      <c r="J364" s="54"/>
    </row>
    <row r="365" spans="3:10" x14ac:dyDescent="0.2">
      <c r="E365" s="54"/>
      <c r="F365" s="54"/>
      <c r="G365" s="54"/>
      <c r="H365" s="54"/>
      <c r="I365" s="54"/>
      <c r="J365" s="54"/>
    </row>
    <row r="366" spans="3:10" x14ac:dyDescent="0.2">
      <c r="E366" s="54"/>
      <c r="F366" s="54"/>
      <c r="G366" s="54"/>
      <c r="H366" s="54"/>
      <c r="I366" s="54"/>
      <c r="J366" s="54"/>
    </row>
    <row r="367" spans="3:10" x14ac:dyDescent="0.2">
      <c r="E367" s="54"/>
      <c r="F367" s="54"/>
      <c r="G367" s="54"/>
      <c r="H367" s="54"/>
      <c r="I367" s="54"/>
      <c r="J367" s="54"/>
    </row>
    <row r="368" spans="3:10" x14ac:dyDescent="0.2">
      <c r="E368" s="54"/>
      <c r="F368" s="54"/>
      <c r="G368" s="54"/>
      <c r="H368" s="54"/>
      <c r="I368" s="54"/>
      <c r="J368" s="54"/>
    </row>
    <row r="369" spans="5:10" x14ac:dyDescent="0.2">
      <c r="E369" s="54"/>
      <c r="F369" s="54"/>
      <c r="G369" s="54"/>
      <c r="H369" s="54"/>
      <c r="I369" s="54"/>
      <c r="J369" s="54"/>
    </row>
    <row r="370" spans="5:10" x14ac:dyDescent="0.2">
      <c r="E370" s="54"/>
      <c r="F370" s="54"/>
      <c r="G370" s="54"/>
      <c r="H370" s="54"/>
      <c r="I370" s="54"/>
      <c r="J370" s="54"/>
    </row>
    <row r="407" spans="3:10" x14ac:dyDescent="0.2">
      <c r="C407" s="52"/>
      <c r="D407" s="52"/>
      <c r="E407" s="60"/>
      <c r="F407" s="60"/>
      <c r="G407" s="60"/>
      <c r="H407" s="60"/>
      <c r="I407" s="60"/>
    </row>
    <row r="408" spans="3:10" x14ac:dyDescent="0.2">
      <c r="C408" s="52"/>
      <c r="D408" s="52"/>
      <c r="E408" s="54"/>
      <c r="F408" s="54"/>
      <c r="G408" s="54"/>
      <c r="H408" s="54"/>
      <c r="I408" s="54"/>
      <c r="J408" s="54"/>
    </row>
    <row r="409" spans="3:10" x14ac:dyDescent="0.2">
      <c r="C409" s="52"/>
      <c r="D409" s="52"/>
      <c r="E409" s="54"/>
      <c r="F409" s="54"/>
      <c r="G409" s="54"/>
      <c r="H409" s="54"/>
      <c r="I409" s="54"/>
      <c r="J409" s="54"/>
    </row>
    <row r="410" spans="3:10" x14ac:dyDescent="0.2">
      <c r="C410" s="52"/>
      <c r="D410" s="52"/>
      <c r="E410" s="54"/>
      <c r="F410" s="54"/>
      <c r="G410" s="54"/>
      <c r="H410" s="54"/>
      <c r="I410" s="54"/>
      <c r="J410" s="54"/>
    </row>
    <row r="411" spans="3:10" x14ac:dyDescent="0.2">
      <c r="C411" s="52"/>
      <c r="D411" s="52"/>
      <c r="E411" s="54"/>
      <c r="F411" s="54"/>
      <c r="G411" s="54"/>
      <c r="H411" s="54"/>
      <c r="I411" s="54"/>
      <c r="J411" s="54"/>
    </row>
    <row r="412" spans="3:10" x14ac:dyDescent="0.2">
      <c r="C412" s="52"/>
      <c r="D412" s="52"/>
      <c r="E412" s="54"/>
      <c r="F412" s="54"/>
      <c r="G412" s="54"/>
      <c r="H412" s="54"/>
      <c r="I412" s="54"/>
      <c r="J412" s="54"/>
    </row>
    <row r="413" spans="3:10" x14ac:dyDescent="0.2">
      <c r="C413" s="52"/>
      <c r="D413" s="52"/>
      <c r="E413" s="54"/>
      <c r="F413" s="54"/>
      <c r="G413" s="54"/>
      <c r="H413" s="54"/>
      <c r="I413" s="54"/>
      <c r="J413" s="54"/>
    </row>
    <row r="414" spans="3:10" x14ac:dyDescent="0.2">
      <c r="C414" s="52"/>
      <c r="D414" s="52"/>
      <c r="E414" s="54"/>
      <c r="F414" s="54"/>
      <c r="G414" s="54"/>
      <c r="H414" s="54"/>
      <c r="I414" s="54"/>
      <c r="J414" s="54"/>
    </row>
    <row r="415" spans="3:10" x14ac:dyDescent="0.2">
      <c r="C415" s="52"/>
      <c r="D415" s="52"/>
      <c r="E415" s="54"/>
      <c r="F415" s="54"/>
      <c r="G415" s="54"/>
      <c r="H415" s="54"/>
      <c r="I415" s="54"/>
      <c r="J415" s="54"/>
    </row>
    <row r="416" spans="3:10" x14ac:dyDescent="0.2">
      <c r="C416" s="52"/>
      <c r="D416" s="52"/>
      <c r="E416" s="54"/>
      <c r="F416" s="54"/>
      <c r="G416" s="54"/>
      <c r="H416" s="54"/>
      <c r="I416" s="54"/>
      <c r="J416" s="54"/>
    </row>
    <row r="417" spans="3:10" x14ac:dyDescent="0.2">
      <c r="C417" s="52"/>
      <c r="D417" s="52"/>
      <c r="E417" s="54"/>
      <c r="F417" s="54"/>
      <c r="G417" s="54"/>
      <c r="H417" s="54"/>
      <c r="I417" s="54"/>
      <c r="J417" s="54"/>
    </row>
    <row r="418" spans="3:10" x14ac:dyDescent="0.2">
      <c r="C418" s="52"/>
      <c r="D418" s="52"/>
      <c r="E418" s="54"/>
      <c r="F418" s="54"/>
      <c r="G418" s="54"/>
      <c r="H418" s="54"/>
      <c r="I418" s="54"/>
      <c r="J418" s="54"/>
    </row>
    <row r="419" spans="3:10" x14ac:dyDescent="0.2">
      <c r="C419" s="52"/>
      <c r="D419" s="52"/>
      <c r="E419" s="54"/>
      <c r="F419" s="54"/>
      <c r="G419" s="54"/>
      <c r="H419" s="54"/>
      <c r="I419" s="54"/>
      <c r="J419" s="54"/>
    </row>
    <row r="420" spans="3:10" x14ac:dyDescent="0.2">
      <c r="C420" s="52"/>
      <c r="D420" s="52"/>
      <c r="E420" s="54"/>
      <c r="F420" s="54"/>
      <c r="G420" s="54"/>
      <c r="H420" s="54"/>
      <c r="I420" s="54"/>
      <c r="J420" s="54"/>
    </row>
    <row r="421" spans="3:10" x14ac:dyDescent="0.2">
      <c r="E421" s="60"/>
      <c r="F421" s="60"/>
      <c r="G421" s="60"/>
      <c r="H421" s="60"/>
      <c r="I421" s="60"/>
      <c r="J421" s="60"/>
    </row>
    <row r="422" spans="3:10" x14ac:dyDescent="0.2">
      <c r="E422" s="54"/>
      <c r="F422" s="54"/>
      <c r="G422" s="54"/>
      <c r="H422" s="54"/>
      <c r="I422" s="54"/>
      <c r="J422" s="54"/>
    </row>
    <row r="423" spans="3:10" x14ac:dyDescent="0.2">
      <c r="E423" s="54"/>
      <c r="F423" s="54"/>
      <c r="G423" s="54"/>
      <c r="H423" s="54"/>
      <c r="I423" s="54"/>
      <c r="J423" s="54"/>
    </row>
    <row r="424" spans="3:10" x14ac:dyDescent="0.2">
      <c r="E424" s="60"/>
      <c r="F424" s="60"/>
      <c r="G424" s="60"/>
      <c r="H424" s="60"/>
      <c r="I424" s="60"/>
      <c r="J424" s="54"/>
    </row>
    <row r="425" spans="3:10" x14ac:dyDescent="0.2">
      <c r="E425" s="54"/>
      <c r="F425" s="54"/>
      <c r="G425" s="54"/>
      <c r="H425" s="54"/>
      <c r="I425" s="54"/>
      <c r="J425" s="54"/>
    </row>
    <row r="426" spans="3:10" x14ac:dyDescent="0.2">
      <c r="E426" s="54"/>
      <c r="F426" s="54"/>
      <c r="G426" s="54"/>
      <c r="H426" s="54"/>
      <c r="I426" s="54"/>
      <c r="J426" s="54"/>
    </row>
    <row r="427" spans="3:10" x14ac:dyDescent="0.2">
      <c r="E427" s="54"/>
      <c r="F427" s="54"/>
      <c r="G427" s="54"/>
      <c r="H427" s="54"/>
      <c r="I427" s="54"/>
      <c r="J427" s="54"/>
    </row>
    <row r="428" spans="3:10" x14ac:dyDescent="0.2">
      <c r="E428" s="54"/>
      <c r="F428" s="54"/>
      <c r="G428" s="54"/>
      <c r="H428" s="54"/>
      <c r="I428" s="54"/>
      <c r="J428" s="54"/>
    </row>
    <row r="429" spans="3:10" x14ac:dyDescent="0.2">
      <c r="E429" s="54"/>
      <c r="F429" s="54"/>
      <c r="G429" s="54"/>
      <c r="H429" s="54"/>
      <c r="I429" s="54"/>
      <c r="J429" s="54"/>
    </row>
    <row r="430" spans="3:10" x14ac:dyDescent="0.2">
      <c r="E430" s="54"/>
      <c r="F430" s="54"/>
      <c r="G430" s="54"/>
      <c r="H430" s="54"/>
      <c r="I430" s="54"/>
      <c r="J430" s="54"/>
    </row>
    <row r="431" spans="3:10" x14ac:dyDescent="0.2">
      <c r="E431" s="54"/>
      <c r="F431" s="54"/>
      <c r="G431" s="54"/>
      <c r="H431" s="54"/>
      <c r="I431" s="54"/>
      <c r="J431" s="54"/>
    </row>
    <row r="432" spans="3:10" x14ac:dyDescent="0.2">
      <c r="E432" s="54"/>
      <c r="F432" s="54"/>
      <c r="G432" s="54"/>
      <c r="H432" s="54"/>
      <c r="I432" s="54"/>
      <c r="J432" s="54"/>
    </row>
    <row r="433" spans="5:10" x14ac:dyDescent="0.2">
      <c r="E433" s="54"/>
      <c r="F433" s="54"/>
      <c r="G433" s="54"/>
      <c r="H433" s="54"/>
      <c r="I433" s="54"/>
      <c r="J433" s="54"/>
    </row>
    <row r="434" spans="5:10" x14ac:dyDescent="0.2">
      <c r="E434" s="54"/>
      <c r="F434" s="54"/>
      <c r="G434" s="54"/>
      <c r="H434" s="54"/>
      <c r="I434" s="54"/>
      <c r="J434" s="54"/>
    </row>
    <row r="435" spans="5:10" x14ac:dyDescent="0.2">
      <c r="E435" s="54"/>
      <c r="F435" s="54"/>
      <c r="G435" s="54"/>
      <c r="H435" s="54"/>
      <c r="I435" s="54"/>
      <c r="J435" s="54"/>
    </row>
  </sheetData>
  <mergeCells count="2">
    <mergeCell ref="A6:I6"/>
    <mergeCell ref="A8:I8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7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8"/>
  <sheetViews>
    <sheetView view="pageLayout" zoomScaleNormal="100" workbookViewId="0"/>
  </sheetViews>
  <sheetFormatPr defaultColWidth="10.28515625" defaultRowHeight="11.25" x14ac:dyDescent="0.2"/>
  <cols>
    <col min="1" max="1" width="4.85546875" style="45" customWidth="1"/>
    <col min="2" max="2" width="1" style="45" customWidth="1"/>
    <col min="3" max="3" width="13" style="45" customWidth="1"/>
    <col min="4" max="4" width="1" style="45" customWidth="1"/>
    <col min="5" max="5" width="15" style="45" customWidth="1"/>
    <col min="6" max="6" width="1" style="45" customWidth="1"/>
    <col min="7" max="7" width="15" style="45" customWidth="1"/>
    <col min="8" max="8" width="1" style="45" customWidth="1"/>
    <col min="9" max="9" width="15" style="45" customWidth="1"/>
    <col min="10" max="10" width="0.85546875" style="45" customWidth="1"/>
    <col min="11" max="11" width="11" style="45" customWidth="1"/>
    <col min="12" max="12" width="1.140625" style="45" customWidth="1"/>
    <col min="13" max="13" width="13.140625" style="45" customWidth="1"/>
    <col min="14" max="16384" width="10.28515625" style="45"/>
  </cols>
  <sheetData>
    <row r="1" spans="1:9" x14ac:dyDescent="0.2">
      <c r="A1" s="42"/>
      <c r="B1" s="42"/>
      <c r="C1" s="43"/>
      <c r="D1" s="43"/>
      <c r="E1" s="43"/>
      <c r="F1" s="43"/>
      <c r="G1" s="43"/>
      <c r="H1" s="43"/>
      <c r="I1" s="43"/>
    </row>
    <row r="2" spans="1:9" x14ac:dyDescent="0.2">
      <c r="A2" s="42"/>
      <c r="B2" s="42"/>
      <c r="C2" s="43"/>
      <c r="D2" s="43"/>
      <c r="E2" s="43"/>
      <c r="F2" s="43"/>
      <c r="G2" s="43"/>
      <c r="H2" s="43"/>
      <c r="I2" s="43"/>
    </row>
    <row r="3" spans="1:9" x14ac:dyDescent="0.2">
      <c r="A3" s="42"/>
      <c r="B3" s="42"/>
      <c r="C3" s="43"/>
      <c r="D3" s="43"/>
      <c r="E3" s="43"/>
      <c r="F3" s="43"/>
      <c r="G3" s="43"/>
      <c r="H3" s="43"/>
      <c r="I3" s="43"/>
    </row>
    <row r="4" spans="1:9" x14ac:dyDescent="0.2">
      <c r="A4" s="138"/>
      <c r="B4" s="138"/>
      <c r="C4" s="138"/>
      <c r="D4" s="138"/>
      <c r="E4" s="138"/>
      <c r="F4" s="138"/>
      <c r="G4" s="138"/>
      <c r="H4" s="138"/>
      <c r="I4" s="138"/>
    </row>
    <row r="5" spans="1:9" ht="23.25" customHeight="1" x14ac:dyDescent="0.2">
      <c r="A5" s="139" t="str">
        <f>'CAPGDS1000001236 Input'!A5:J5</f>
        <v>Pro-Forma Adjustment - System Reliability</v>
      </c>
      <c r="B5" s="138"/>
      <c r="C5" s="138"/>
      <c r="D5" s="138"/>
      <c r="E5" s="138"/>
      <c r="F5" s="138"/>
      <c r="G5" s="138"/>
      <c r="H5" s="138"/>
      <c r="I5" s="138"/>
    </row>
    <row r="6" spans="1:9" x14ac:dyDescent="0.2">
      <c r="A6" s="42"/>
      <c r="B6" s="42"/>
      <c r="C6" s="43"/>
      <c r="D6" s="43"/>
      <c r="E6" s="43"/>
      <c r="F6" s="43"/>
      <c r="G6" s="43"/>
      <c r="H6" s="43"/>
      <c r="I6" s="43"/>
    </row>
    <row r="7" spans="1:9" x14ac:dyDescent="0.2">
      <c r="A7" s="46"/>
      <c r="B7" s="46"/>
      <c r="C7" s="44"/>
      <c r="D7" s="44"/>
      <c r="E7" s="44"/>
      <c r="F7" s="44"/>
      <c r="G7" s="44"/>
      <c r="H7" s="44"/>
      <c r="I7" s="44"/>
    </row>
    <row r="8" spans="1:9" x14ac:dyDescent="0.2">
      <c r="A8" s="140" t="str">
        <f>'CAPGDS1000001236 Input'!F8</f>
        <v>Brandon-Holly (Rice) St 210 psig Serve Load</v>
      </c>
      <c r="B8" s="140"/>
      <c r="C8" s="140"/>
      <c r="D8" s="140"/>
      <c r="E8" s="140"/>
      <c r="F8" s="140"/>
      <c r="G8" s="140"/>
      <c r="H8" s="140"/>
      <c r="I8" s="140"/>
    </row>
    <row r="9" spans="1:9" x14ac:dyDescent="0.2">
      <c r="A9" s="91"/>
      <c r="B9" s="91"/>
      <c r="C9" s="91"/>
      <c r="D9" s="91"/>
      <c r="E9" s="91"/>
      <c r="F9" s="91"/>
      <c r="G9" s="91"/>
      <c r="H9" s="91"/>
      <c r="I9" s="91"/>
    </row>
    <row r="10" spans="1:9" x14ac:dyDescent="0.2">
      <c r="A10" s="46" t="str">
        <f>'CAPGDS1000001236 TotalWO'!A10</f>
        <v>PLANT IN SERVICE</v>
      </c>
      <c r="B10" s="46"/>
      <c r="C10" s="44"/>
      <c r="D10" s="44"/>
      <c r="E10" s="44"/>
      <c r="F10" s="44"/>
      <c r="G10" s="44"/>
      <c r="H10" s="44"/>
      <c r="I10" s="44"/>
    </row>
    <row r="11" spans="1:9" x14ac:dyDescent="0.2">
      <c r="A11" s="46" t="s">
        <v>10</v>
      </c>
      <c r="B11" s="46"/>
      <c r="C11" s="44"/>
      <c r="D11" s="44"/>
      <c r="E11" s="44" t="s">
        <v>10</v>
      </c>
      <c r="F11" s="44"/>
      <c r="G11" s="44"/>
      <c r="H11" s="44"/>
      <c r="I11" s="44"/>
    </row>
    <row r="13" spans="1:9" ht="12" thickBot="1" x14ac:dyDescent="0.25">
      <c r="A13" s="71" t="s">
        <v>79</v>
      </c>
      <c r="E13" s="48" t="str">
        <f>"Acct "&amp;'CAPGDS1000001236 Input'!F15</f>
        <v>Acct 2.376.00</v>
      </c>
      <c r="F13" s="48"/>
      <c r="G13" s="48"/>
      <c r="H13" s="48"/>
      <c r="I13" s="48"/>
    </row>
    <row r="14" spans="1:9" ht="12" thickBot="1" x14ac:dyDescent="0.25">
      <c r="A14" s="88" t="s">
        <v>81</v>
      </c>
      <c r="B14" s="50"/>
      <c r="C14" s="49" t="s">
        <v>82</v>
      </c>
      <c r="D14" s="50"/>
      <c r="E14" s="49" t="s">
        <v>83</v>
      </c>
      <c r="F14" s="50"/>
      <c r="G14" s="49" t="s">
        <v>84</v>
      </c>
      <c r="H14" s="50"/>
      <c r="I14" s="49" t="s">
        <v>85</v>
      </c>
    </row>
    <row r="15" spans="1:9" x14ac:dyDescent="0.2">
      <c r="A15" s="51"/>
      <c r="B15" s="50"/>
      <c r="C15" s="92" t="s">
        <v>6</v>
      </c>
      <c r="D15" s="51"/>
      <c r="E15" s="33" t="s">
        <v>7</v>
      </c>
      <c r="F15" s="51"/>
      <c r="G15" s="33" t="s">
        <v>8</v>
      </c>
      <c r="H15" s="89"/>
      <c r="I15" s="33" t="s">
        <v>42</v>
      </c>
    </row>
    <row r="16" spans="1:9" x14ac:dyDescent="0.2">
      <c r="A16" s="51"/>
      <c r="B16" s="50"/>
      <c r="C16" s="51"/>
      <c r="D16" s="50"/>
      <c r="E16" s="51"/>
      <c r="F16" s="50"/>
      <c r="G16" s="51"/>
      <c r="H16" s="50"/>
      <c r="I16" s="51"/>
    </row>
    <row r="17" spans="1:12" x14ac:dyDescent="0.2">
      <c r="A17" s="45">
        <v>1</v>
      </c>
      <c r="C17" s="52">
        <f>'CAPGDS1000001236 TotalWO'!C17</f>
        <v>45641</v>
      </c>
      <c r="D17" s="52"/>
      <c r="E17" s="109">
        <f>'CAPGDS1000001236 TotalWO'!E17*'CAPGDS1000001236 Input'!$H$15</f>
        <v>0</v>
      </c>
      <c r="F17" s="116"/>
      <c r="G17" s="109">
        <f>'CAPGDS1000001236 TotalWO'!G17*'CAPGDS1000001236 Input'!$H$15</f>
        <v>792056</v>
      </c>
      <c r="H17" s="110"/>
      <c r="I17" s="109">
        <f t="shared" ref="I17:I29" si="0">G17-E17</f>
        <v>792056</v>
      </c>
    </row>
    <row r="18" spans="1:12" x14ac:dyDescent="0.2">
      <c r="A18" s="45">
        <f t="shared" ref="A18:A40" si="1">1+A17</f>
        <v>2</v>
      </c>
      <c r="C18" s="52">
        <f>'CAPGDS1000001236 TotalWO'!C18</f>
        <v>45672</v>
      </c>
      <c r="D18" s="52"/>
      <c r="E18" s="80">
        <f>'CAPGDS1000001236 TotalWO'!E18*'CAPGDS1000001236 Input'!$H$15</f>
        <v>0</v>
      </c>
      <c r="F18" s="80"/>
      <c r="G18" s="80">
        <f>'CAPGDS1000001236 TotalWO'!G18*'CAPGDS1000001236 Input'!$H$15</f>
        <v>792056</v>
      </c>
      <c r="H18" s="7"/>
      <c r="I18" s="80">
        <f t="shared" si="0"/>
        <v>792056</v>
      </c>
      <c r="K18" s="80"/>
      <c r="L18" s="80"/>
    </row>
    <row r="19" spans="1:12" x14ac:dyDescent="0.2">
      <c r="A19" s="45">
        <f t="shared" si="1"/>
        <v>3</v>
      </c>
      <c r="C19" s="52">
        <f t="shared" ref="C19:C29" si="2">C18+31</f>
        <v>45703</v>
      </c>
      <c r="D19" s="52"/>
      <c r="E19" s="80">
        <f>'CAPGDS1000001236 TotalWO'!E19*'CAPGDS1000001236 Input'!$H$15</f>
        <v>0</v>
      </c>
      <c r="F19" s="80"/>
      <c r="G19" s="80">
        <f>'CAPGDS1000001236 TotalWO'!G19*'CAPGDS1000001236 Input'!$H$15</f>
        <v>792056</v>
      </c>
      <c r="H19" s="7"/>
      <c r="I19" s="7">
        <f t="shared" si="0"/>
        <v>792056</v>
      </c>
    </row>
    <row r="20" spans="1:12" x14ac:dyDescent="0.2">
      <c r="A20" s="45">
        <f t="shared" si="1"/>
        <v>4</v>
      </c>
      <c r="C20" s="52">
        <f t="shared" si="2"/>
        <v>45734</v>
      </c>
      <c r="D20" s="52"/>
      <c r="E20" s="80">
        <f>'CAPGDS1000001236 TotalWO'!E20*'CAPGDS1000001236 Input'!$H$15</f>
        <v>0</v>
      </c>
      <c r="F20" s="80"/>
      <c r="G20" s="80">
        <f>'CAPGDS1000001236 TotalWO'!G20*'CAPGDS1000001236 Input'!$H$15</f>
        <v>792056</v>
      </c>
      <c r="H20" s="7"/>
      <c r="I20" s="7">
        <f t="shared" si="0"/>
        <v>792056</v>
      </c>
    </row>
    <row r="21" spans="1:12" x14ac:dyDescent="0.2">
      <c r="A21" s="45">
        <f t="shared" si="1"/>
        <v>5</v>
      </c>
      <c r="C21" s="52">
        <f t="shared" si="2"/>
        <v>45765</v>
      </c>
      <c r="D21" s="52"/>
      <c r="E21" s="80">
        <f>'CAPGDS1000001236 TotalWO'!E21*'CAPGDS1000001236 Input'!$H$15</f>
        <v>0</v>
      </c>
      <c r="F21" s="80"/>
      <c r="G21" s="80">
        <f>'CAPGDS1000001236 TotalWO'!G21*'CAPGDS1000001236 Input'!$H$15</f>
        <v>792056</v>
      </c>
      <c r="H21" s="7"/>
      <c r="I21" s="7">
        <f t="shared" si="0"/>
        <v>792056</v>
      </c>
    </row>
    <row r="22" spans="1:12" x14ac:dyDescent="0.2">
      <c r="A22" s="45">
        <f t="shared" si="1"/>
        <v>6</v>
      </c>
      <c r="C22" s="52">
        <f t="shared" si="2"/>
        <v>45796</v>
      </c>
      <c r="D22" s="52"/>
      <c r="E22" s="80">
        <f>'CAPGDS1000001236 TotalWO'!E22*'CAPGDS1000001236 Input'!$H$15</f>
        <v>0</v>
      </c>
      <c r="F22" s="80"/>
      <c r="G22" s="80">
        <f>'CAPGDS1000001236 TotalWO'!G22*'CAPGDS1000001236 Input'!$H$15</f>
        <v>792056</v>
      </c>
      <c r="H22" s="7"/>
      <c r="I22" s="7">
        <f t="shared" si="0"/>
        <v>792056</v>
      </c>
    </row>
    <row r="23" spans="1:12" x14ac:dyDescent="0.2">
      <c r="A23" s="45">
        <f t="shared" si="1"/>
        <v>7</v>
      </c>
      <c r="C23" s="52">
        <f t="shared" si="2"/>
        <v>45827</v>
      </c>
      <c r="D23" s="52"/>
      <c r="E23" s="80">
        <f>'CAPGDS1000001236 TotalWO'!E23*'CAPGDS1000001236 Input'!$H$15</f>
        <v>0</v>
      </c>
      <c r="F23" s="80"/>
      <c r="G23" s="80">
        <f>'CAPGDS1000001236 TotalWO'!G23*'CAPGDS1000001236 Input'!$H$15</f>
        <v>792056</v>
      </c>
      <c r="H23" s="7"/>
      <c r="I23" s="7">
        <f t="shared" si="0"/>
        <v>792056</v>
      </c>
    </row>
    <row r="24" spans="1:12" x14ac:dyDescent="0.2">
      <c r="A24" s="45">
        <f t="shared" si="1"/>
        <v>8</v>
      </c>
      <c r="C24" s="52">
        <f t="shared" si="2"/>
        <v>45858</v>
      </c>
      <c r="D24" s="52"/>
      <c r="E24" s="80">
        <f>'CAPGDS1000001236 TotalWO'!E24*'CAPGDS1000001236 Input'!$H$15</f>
        <v>0</v>
      </c>
      <c r="F24" s="80"/>
      <c r="G24" s="80">
        <f>'CAPGDS1000001236 TotalWO'!G24*'CAPGDS1000001236 Input'!$H$15</f>
        <v>792056</v>
      </c>
      <c r="H24" s="7"/>
      <c r="I24" s="7">
        <f t="shared" si="0"/>
        <v>792056</v>
      </c>
    </row>
    <row r="25" spans="1:12" x14ac:dyDescent="0.2">
      <c r="A25" s="45">
        <f t="shared" si="1"/>
        <v>9</v>
      </c>
      <c r="C25" s="52">
        <f t="shared" si="2"/>
        <v>45889</v>
      </c>
      <c r="D25" s="52"/>
      <c r="E25" s="80">
        <f>'CAPGDS1000001236 TotalWO'!E25*'CAPGDS1000001236 Input'!$H$15</f>
        <v>0</v>
      </c>
      <c r="F25" s="80"/>
      <c r="G25" s="80">
        <f>'CAPGDS1000001236 TotalWO'!G25*'CAPGDS1000001236 Input'!$H$15</f>
        <v>792056</v>
      </c>
      <c r="H25" s="7"/>
      <c r="I25" s="7">
        <f t="shared" si="0"/>
        <v>792056</v>
      </c>
    </row>
    <row r="26" spans="1:12" x14ac:dyDescent="0.2">
      <c r="A26" s="45">
        <f t="shared" si="1"/>
        <v>10</v>
      </c>
      <c r="C26" s="52">
        <f t="shared" si="2"/>
        <v>45920</v>
      </c>
      <c r="D26" s="52"/>
      <c r="E26" s="80">
        <f>'CAPGDS1000001236 TotalWO'!E26*'CAPGDS1000001236 Input'!$H$15</f>
        <v>0</v>
      </c>
      <c r="F26" s="80"/>
      <c r="G26" s="80">
        <f>'CAPGDS1000001236 TotalWO'!G26*'CAPGDS1000001236 Input'!$H$15</f>
        <v>792056</v>
      </c>
      <c r="H26" s="7"/>
      <c r="I26" s="7">
        <f t="shared" si="0"/>
        <v>792056</v>
      </c>
    </row>
    <row r="27" spans="1:12" x14ac:dyDescent="0.2">
      <c r="A27" s="45">
        <f t="shared" si="1"/>
        <v>11</v>
      </c>
      <c r="C27" s="52">
        <f t="shared" si="2"/>
        <v>45951</v>
      </c>
      <c r="D27" s="52"/>
      <c r="E27" s="80">
        <f>'CAPGDS1000001236 TotalWO'!E27*'CAPGDS1000001236 Input'!$H$15</f>
        <v>0</v>
      </c>
      <c r="F27" s="80"/>
      <c r="G27" s="80">
        <f>'CAPGDS1000001236 TotalWO'!G27*'CAPGDS1000001236 Input'!$H$15</f>
        <v>792056</v>
      </c>
      <c r="H27" s="7"/>
      <c r="I27" s="7">
        <f t="shared" si="0"/>
        <v>792056</v>
      </c>
    </row>
    <row r="28" spans="1:12" x14ac:dyDescent="0.2">
      <c r="A28" s="45">
        <f t="shared" si="1"/>
        <v>12</v>
      </c>
      <c r="C28" s="52">
        <f t="shared" si="2"/>
        <v>45982</v>
      </c>
      <c r="D28" s="52"/>
      <c r="E28" s="80">
        <f>'CAPGDS1000001236 TotalWO'!E28*'CAPGDS1000001236 Input'!$H$15</f>
        <v>0</v>
      </c>
      <c r="F28" s="80"/>
      <c r="G28" s="80">
        <f>'CAPGDS1000001236 TotalWO'!G28*'CAPGDS1000001236 Input'!$H$15</f>
        <v>792056</v>
      </c>
      <c r="H28" s="7"/>
      <c r="I28" s="7">
        <f t="shared" si="0"/>
        <v>792056</v>
      </c>
    </row>
    <row r="29" spans="1:12" x14ac:dyDescent="0.2">
      <c r="A29" s="45">
        <f t="shared" si="1"/>
        <v>13</v>
      </c>
      <c r="C29" s="52">
        <f t="shared" si="2"/>
        <v>46013</v>
      </c>
      <c r="D29" s="52"/>
      <c r="E29" s="114">
        <f>'CAPGDS1000001236 TotalWO'!E29*'CAPGDS1000001236 Input'!$H$15</f>
        <v>0</v>
      </c>
      <c r="F29" s="80"/>
      <c r="G29" s="114">
        <f>'CAPGDS1000001236 TotalWO'!G29*'CAPGDS1000001236 Input'!$H$15</f>
        <v>792056</v>
      </c>
      <c r="H29" s="7"/>
      <c r="I29" s="115">
        <f t="shared" si="0"/>
        <v>792056</v>
      </c>
    </row>
    <row r="30" spans="1:12" x14ac:dyDescent="0.2">
      <c r="A30" s="45">
        <f t="shared" si="1"/>
        <v>14</v>
      </c>
      <c r="C30" s="58" t="s">
        <v>47</v>
      </c>
      <c r="D30" s="58"/>
      <c r="E30" s="110">
        <f>SUM(E17:E29)</f>
        <v>0</v>
      </c>
      <c r="F30" s="110"/>
      <c r="G30" s="110">
        <f>SUM(G17:G29)</f>
        <v>10296728</v>
      </c>
      <c r="H30" s="110"/>
      <c r="I30" s="110">
        <f>SUM(I17:I29)</f>
        <v>10296728</v>
      </c>
    </row>
    <row r="31" spans="1:12" x14ac:dyDescent="0.2">
      <c r="A31" s="45">
        <f t="shared" si="1"/>
        <v>15</v>
      </c>
      <c r="E31" s="110"/>
      <c r="F31" s="110"/>
      <c r="G31" s="110"/>
      <c r="H31" s="110"/>
      <c r="I31" s="110"/>
    </row>
    <row r="32" spans="1:12" ht="12" thickBot="1" x14ac:dyDescent="0.25">
      <c r="A32" s="45">
        <f t="shared" si="1"/>
        <v>16</v>
      </c>
      <c r="C32" s="61" t="s">
        <v>116</v>
      </c>
      <c r="D32" s="61"/>
      <c r="E32" s="112">
        <f>ROUND(+E30/13,2)</f>
        <v>0</v>
      </c>
      <c r="F32" s="110"/>
      <c r="G32" s="112">
        <f>ROUND(+G30/13,2)</f>
        <v>792056</v>
      </c>
      <c r="H32" s="110"/>
      <c r="I32" s="112">
        <f>ROUND(+I30/13,2)</f>
        <v>792056</v>
      </c>
    </row>
    <row r="33" spans="1:9" ht="12" thickTop="1" x14ac:dyDescent="0.2">
      <c r="A33" s="45">
        <f t="shared" si="1"/>
        <v>17</v>
      </c>
      <c r="E33" s="110"/>
      <c r="F33" s="110"/>
      <c r="G33" s="110"/>
      <c r="H33" s="110"/>
      <c r="I33" s="110"/>
    </row>
    <row r="34" spans="1:9" x14ac:dyDescent="0.2">
      <c r="A34" s="45">
        <f t="shared" si="1"/>
        <v>18</v>
      </c>
      <c r="E34" s="113" t="s">
        <v>10</v>
      </c>
      <c r="F34" s="113"/>
      <c r="G34" s="113" t="s">
        <v>10</v>
      </c>
      <c r="H34" s="113"/>
      <c r="I34" s="113" t="s">
        <v>10</v>
      </c>
    </row>
    <row r="35" spans="1:9" ht="12" thickBot="1" x14ac:dyDescent="0.25">
      <c r="A35" s="45">
        <f t="shared" si="1"/>
        <v>19</v>
      </c>
      <c r="C35" s="58" t="s">
        <v>87</v>
      </c>
      <c r="D35" s="58"/>
      <c r="E35" s="110"/>
      <c r="F35" s="110"/>
      <c r="G35" s="110"/>
      <c r="H35" s="110"/>
      <c r="I35" s="112">
        <f>I32</f>
        <v>792056</v>
      </c>
    </row>
    <row r="36" spans="1:9" ht="12" thickTop="1" x14ac:dyDescent="0.2">
      <c r="A36" s="45">
        <f t="shared" si="1"/>
        <v>20</v>
      </c>
    </row>
    <row r="37" spans="1:9" x14ac:dyDescent="0.2">
      <c r="A37" s="45">
        <f t="shared" si="1"/>
        <v>21</v>
      </c>
      <c r="I37" s="58" t="s">
        <v>88</v>
      </c>
    </row>
    <row r="38" spans="1:9" x14ac:dyDescent="0.2">
      <c r="A38" s="45">
        <f t="shared" si="1"/>
        <v>22</v>
      </c>
      <c r="I38" s="58" t="s">
        <v>109</v>
      </c>
    </row>
    <row r="39" spans="1:9" x14ac:dyDescent="0.2">
      <c r="A39" s="45">
        <f t="shared" si="1"/>
        <v>23</v>
      </c>
    </row>
    <row r="40" spans="1:9" x14ac:dyDescent="0.2">
      <c r="A40" s="45">
        <f t="shared" si="1"/>
        <v>24</v>
      </c>
    </row>
    <row r="41" spans="1:9" x14ac:dyDescent="0.2">
      <c r="A41" s="42"/>
      <c r="B41" s="42"/>
      <c r="C41" s="43"/>
      <c r="D41" s="43"/>
      <c r="E41" s="43"/>
      <c r="F41" s="43"/>
      <c r="G41" s="43"/>
      <c r="H41" s="43"/>
      <c r="I41" s="43"/>
    </row>
    <row r="42" spans="1:9" x14ac:dyDescent="0.2">
      <c r="A42" s="42"/>
      <c r="B42" s="42"/>
      <c r="C42" s="43"/>
      <c r="D42" s="43"/>
      <c r="E42" s="43"/>
      <c r="F42" s="43"/>
      <c r="G42" s="43"/>
      <c r="H42" s="43"/>
      <c r="I42" s="43"/>
    </row>
    <row r="43" spans="1:9" x14ac:dyDescent="0.2">
      <c r="A43" s="42"/>
      <c r="B43" s="42"/>
      <c r="C43" s="43"/>
      <c r="D43" s="43"/>
      <c r="E43" s="43"/>
      <c r="F43" s="43"/>
      <c r="G43" s="43"/>
      <c r="H43" s="43"/>
      <c r="I43" s="43"/>
    </row>
    <row r="44" spans="1:9" x14ac:dyDescent="0.2">
      <c r="A44" s="42"/>
      <c r="B44" s="42"/>
      <c r="C44" s="43"/>
      <c r="D44" s="43"/>
      <c r="E44" s="43"/>
      <c r="F44" s="43"/>
      <c r="G44" s="43"/>
      <c r="H44" s="43"/>
      <c r="I44" s="43"/>
    </row>
    <row r="45" spans="1:9" ht="23.25" customHeight="1" x14ac:dyDescent="0.2">
      <c r="A45" s="138" t="str">
        <f>A5</f>
        <v>Pro-Forma Adjustment - System Reliability</v>
      </c>
      <c r="B45" s="138"/>
      <c r="C45" s="138"/>
      <c r="D45" s="138"/>
      <c r="E45" s="138"/>
      <c r="F45" s="138"/>
      <c r="G45" s="138"/>
      <c r="H45" s="138"/>
      <c r="I45" s="138"/>
    </row>
    <row r="46" spans="1:9" x14ac:dyDescent="0.2">
      <c r="A46" s="138"/>
      <c r="B46" s="138"/>
      <c r="C46" s="138"/>
      <c r="D46" s="138"/>
      <c r="E46" s="138"/>
      <c r="F46" s="138"/>
      <c r="G46" s="138"/>
      <c r="H46" s="138"/>
      <c r="I46" s="138"/>
    </row>
    <row r="47" spans="1:9" x14ac:dyDescent="0.2">
      <c r="A47" s="46"/>
      <c r="B47" s="46"/>
      <c r="C47" s="44"/>
      <c r="D47" s="44"/>
      <c r="E47" s="44"/>
      <c r="F47" s="44"/>
      <c r="G47" s="44"/>
      <c r="H47" s="44"/>
      <c r="I47" s="44"/>
    </row>
    <row r="48" spans="1:9" x14ac:dyDescent="0.2">
      <c r="A48" s="46" t="str">
        <f>A8</f>
        <v>Brandon-Holly (Rice) St 210 psig Serve Load</v>
      </c>
      <c r="B48" s="46"/>
      <c r="C48" s="44"/>
      <c r="D48" s="44"/>
      <c r="E48" s="44"/>
      <c r="F48" s="44"/>
      <c r="G48" s="44"/>
      <c r="H48" s="44"/>
      <c r="I48" s="44"/>
    </row>
    <row r="49" spans="1:13" x14ac:dyDescent="0.2">
      <c r="A49" s="46"/>
      <c r="B49" s="46"/>
      <c r="C49" s="44"/>
      <c r="D49" s="44"/>
      <c r="E49" s="44"/>
      <c r="F49" s="44"/>
      <c r="G49" s="44"/>
      <c r="H49" s="44"/>
      <c r="I49" s="44"/>
    </row>
    <row r="50" spans="1:13" x14ac:dyDescent="0.2">
      <c r="A50" s="46" t="s">
        <v>90</v>
      </c>
      <c r="B50" s="46"/>
      <c r="C50" s="44"/>
      <c r="D50" s="44"/>
      <c r="E50" s="44"/>
      <c r="F50" s="44"/>
      <c r="G50" s="44"/>
      <c r="H50" s="44"/>
      <c r="I50" s="44"/>
    </row>
    <row r="51" spans="1:13" x14ac:dyDescent="0.2">
      <c r="A51" s="46" t="s">
        <v>10</v>
      </c>
      <c r="B51" s="46"/>
      <c r="C51" s="44"/>
      <c r="D51" s="44"/>
      <c r="E51" s="44"/>
      <c r="F51" s="44"/>
      <c r="G51" s="44"/>
      <c r="H51" s="44"/>
      <c r="I51" s="44"/>
    </row>
    <row r="52" spans="1:13" x14ac:dyDescent="0.2">
      <c r="K52" s="51" t="s">
        <v>91</v>
      </c>
      <c r="M52" s="51" t="s">
        <v>91</v>
      </c>
    </row>
    <row r="53" spans="1:13" ht="12" thickBot="1" x14ac:dyDescent="0.25">
      <c r="A53" s="71" t="s">
        <v>79</v>
      </c>
      <c r="E53" s="48" t="str">
        <f>E13</f>
        <v>Acct 2.376.00</v>
      </c>
      <c r="F53" s="48"/>
      <c r="G53" s="48"/>
      <c r="H53" s="48"/>
      <c r="I53" s="48"/>
      <c r="K53" s="51" t="s">
        <v>92</v>
      </c>
      <c r="M53" s="51" t="s">
        <v>93</v>
      </c>
    </row>
    <row r="54" spans="1:13" ht="12" thickBot="1" x14ac:dyDescent="0.25">
      <c r="A54" s="88" t="s">
        <v>81</v>
      </c>
      <c r="B54" s="51"/>
      <c r="C54" s="49" t="s">
        <v>82</v>
      </c>
      <c r="D54" s="51"/>
      <c r="E54" s="49" t="s">
        <v>83</v>
      </c>
      <c r="F54" s="51"/>
      <c r="G54" s="49" t="s">
        <v>84</v>
      </c>
      <c r="H54" s="51"/>
      <c r="I54" s="49" t="s">
        <v>85</v>
      </c>
      <c r="K54" s="49" t="s">
        <v>94</v>
      </c>
      <c r="M54" s="49" t="s">
        <v>95</v>
      </c>
    </row>
    <row r="55" spans="1:13" x14ac:dyDescent="0.2">
      <c r="A55" s="51"/>
      <c r="B55" s="51"/>
      <c r="C55" s="92" t="s">
        <v>6</v>
      </c>
      <c r="D55" s="51"/>
      <c r="E55" s="33" t="s">
        <v>7</v>
      </c>
      <c r="F55" s="51"/>
      <c r="G55" s="33" t="s">
        <v>8</v>
      </c>
      <c r="H55" s="89"/>
      <c r="I55" s="33" t="s">
        <v>42</v>
      </c>
      <c r="K55" s="16" t="s">
        <v>43</v>
      </c>
      <c r="M55" s="51" t="s">
        <v>44</v>
      </c>
    </row>
    <row r="56" spans="1:13" x14ac:dyDescent="0.2">
      <c r="A56" s="51"/>
      <c r="B56" s="51"/>
      <c r="C56" s="51"/>
      <c r="D56" s="51"/>
      <c r="E56" s="51"/>
      <c r="F56" s="51"/>
      <c r="G56" s="51"/>
      <c r="H56" s="51"/>
      <c r="I56" s="51"/>
    </row>
    <row r="57" spans="1:13" x14ac:dyDescent="0.2">
      <c r="A57" s="45">
        <v>1</v>
      </c>
      <c r="B57" s="51"/>
      <c r="C57" s="52">
        <f>C17</f>
        <v>45641</v>
      </c>
      <c r="D57" s="51"/>
      <c r="E57" s="109">
        <f>ROUND(E17*$G$78,2)</f>
        <v>0</v>
      </c>
      <c r="F57" s="110"/>
      <c r="G57" s="109">
        <f t="shared" ref="G57:G69" si="3">ROUND(+G17*$G$78,2)</f>
        <v>1343.99</v>
      </c>
      <c r="H57" s="110"/>
      <c r="I57" s="110">
        <f>G57-E57</f>
        <v>1343.99</v>
      </c>
      <c r="J57" s="110"/>
      <c r="K57" s="111"/>
      <c r="L57" s="110"/>
      <c r="M57" s="110">
        <f>+ROUND(I57/I$72*M$72,2)</f>
        <v>197.57</v>
      </c>
    </row>
    <row r="58" spans="1:13" x14ac:dyDescent="0.2">
      <c r="A58" s="45">
        <f t="shared" ref="A58:A82" si="4">1+A57</f>
        <v>2</v>
      </c>
      <c r="C58" s="52">
        <f>C18</f>
        <v>45672</v>
      </c>
      <c r="D58" s="52"/>
      <c r="E58" s="80">
        <f>ROUND(E18*$G$78,2)</f>
        <v>0</v>
      </c>
      <c r="F58" s="7"/>
      <c r="G58" s="80">
        <f t="shared" si="3"/>
        <v>1343.99</v>
      </c>
      <c r="H58" s="7"/>
      <c r="I58" s="7">
        <f t="shared" ref="I58:I69" si="5">G58-E58</f>
        <v>1343.99</v>
      </c>
      <c r="J58" s="7"/>
      <c r="K58" s="7"/>
      <c r="L58" s="7"/>
      <c r="M58" s="7">
        <f t="shared" ref="M58:M65" si="6">+ROUND(I58/I$72*M$72,2)</f>
        <v>197.57</v>
      </c>
    </row>
    <row r="59" spans="1:13" x14ac:dyDescent="0.2">
      <c r="A59" s="45">
        <f t="shared" si="4"/>
        <v>3</v>
      </c>
      <c r="C59" s="52">
        <f t="shared" ref="C59:C69" si="7">C58+31</f>
        <v>45703</v>
      </c>
      <c r="D59" s="52"/>
      <c r="E59" s="80">
        <f t="shared" ref="E59:E69" si="8">ROUND(E18*$G$78,2)</f>
        <v>0</v>
      </c>
      <c r="F59" s="80"/>
      <c r="G59" s="80">
        <f t="shared" si="3"/>
        <v>1343.99</v>
      </c>
      <c r="H59" s="7"/>
      <c r="I59" s="7">
        <f t="shared" si="5"/>
        <v>1343.99</v>
      </c>
      <c r="J59" s="7"/>
      <c r="K59" s="7"/>
      <c r="L59" s="7"/>
      <c r="M59" s="7">
        <f t="shared" si="6"/>
        <v>197.57</v>
      </c>
    </row>
    <row r="60" spans="1:13" x14ac:dyDescent="0.2">
      <c r="A60" s="45">
        <f t="shared" si="4"/>
        <v>4</v>
      </c>
      <c r="C60" s="52">
        <f t="shared" si="7"/>
        <v>45734</v>
      </c>
      <c r="D60" s="52"/>
      <c r="E60" s="80">
        <f t="shared" si="8"/>
        <v>0</v>
      </c>
      <c r="F60" s="80"/>
      <c r="G60" s="80">
        <f t="shared" si="3"/>
        <v>1343.99</v>
      </c>
      <c r="H60" s="7"/>
      <c r="I60" s="7">
        <f t="shared" si="5"/>
        <v>1343.99</v>
      </c>
      <c r="J60" s="7"/>
      <c r="K60" s="7"/>
      <c r="L60" s="7"/>
      <c r="M60" s="7">
        <f t="shared" si="6"/>
        <v>197.57</v>
      </c>
    </row>
    <row r="61" spans="1:13" x14ac:dyDescent="0.2">
      <c r="A61" s="45">
        <f t="shared" si="4"/>
        <v>5</v>
      </c>
      <c r="C61" s="52">
        <f t="shared" si="7"/>
        <v>45765</v>
      </c>
      <c r="D61" s="52"/>
      <c r="E61" s="80">
        <f t="shared" si="8"/>
        <v>0</v>
      </c>
      <c r="F61" s="80"/>
      <c r="G61" s="80">
        <f t="shared" si="3"/>
        <v>1343.99</v>
      </c>
      <c r="H61" s="7"/>
      <c r="I61" s="7">
        <f t="shared" si="5"/>
        <v>1343.99</v>
      </c>
      <c r="J61" s="7"/>
      <c r="K61" s="7"/>
      <c r="L61" s="7"/>
      <c r="M61" s="7">
        <f t="shared" si="6"/>
        <v>197.57</v>
      </c>
    </row>
    <row r="62" spans="1:13" x14ac:dyDescent="0.2">
      <c r="A62" s="45">
        <f t="shared" si="4"/>
        <v>6</v>
      </c>
      <c r="C62" s="52">
        <f t="shared" si="7"/>
        <v>45796</v>
      </c>
      <c r="D62" s="52"/>
      <c r="E62" s="80">
        <f t="shared" si="8"/>
        <v>0</v>
      </c>
      <c r="F62" s="80"/>
      <c r="G62" s="80">
        <f t="shared" si="3"/>
        <v>1343.99</v>
      </c>
      <c r="H62" s="7"/>
      <c r="I62" s="7">
        <f t="shared" si="5"/>
        <v>1343.99</v>
      </c>
      <c r="J62" s="7"/>
      <c r="K62" s="7"/>
      <c r="L62" s="7"/>
      <c r="M62" s="7">
        <f t="shared" si="6"/>
        <v>197.57</v>
      </c>
    </row>
    <row r="63" spans="1:13" x14ac:dyDescent="0.2">
      <c r="A63" s="45">
        <f t="shared" si="4"/>
        <v>7</v>
      </c>
      <c r="C63" s="52">
        <f t="shared" si="7"/>
        <v>45827</v>
      </c>
      <c r="D63" s="52"/>
      <c r="E63" s="80">
        <f t="shared" si="8"/>
        <v>0</v>
      </c>
      <c r="F63" s="80"/>
      <c r="G63" s="80">
        <f t="shared" si="3"/>
        <v>1343.99</v>
      </c>
      <c r="H63" s="7"/>
      <c r="I63" s="7">
        <f t="shared" si="5"/>
        <v>1343.99</v>
      </c>
      <c r="J63" s="7"/>
      <c r="K63" s="7"/>
      <c r="L63" s="7"/>
      <c r="M63" s="7">
        <f t="shared" si="6"/>
        <v>197.57</v>
      </c>
    </row>
    <row r="64" spans="1:13" x14ac:dyDescent="0.2">
      <c r="A64" s="45">
        <f t="shared" si="4"/>
        <v>8</v>
      </c>
      <c r="C64" s="52">
        <f t="shared" si="7"/>
        <v>45858</v>
      </c>
      <c r="D64" s="52"/>
      <c r="E64" s="80">
        <f t="shared" si="8"/>
        <v>0</v>
      </c>
      <c r="F64" s="80"/>
      <c r="G64" s="80">
        <f t="shared" si="3"/>
        <v>1343.99</v>
      </c>
      <c r="H64" s="7"/>
      <c r="I64" s="7">
        <f t="shared" si="5"/>
        <v>1343.99</v>
      </c>
      <c r="J64" s="7"/>
      <c r="K64" s="7"/>
      <c r="L64" s="7"/>
      <c r="M64" s="7">
        <f t="shared" si="6"/>
        <v>197.57</v>
      </c>
    </row>
    <row r="65" spans="1:13" x14ac:dyDescent="0.2">
      <c r="A65" s="45">
        <f t="shared" si="4"/>
        <v>9</v>
      </c>
      <c r="C65" s="52">
        <f t="shared" si="7"/>
        <v>45889</v>
      </c>
      <c r="D65" s="52"/>
      <c r="E65" s="80">
        <f t="shared" si="8"/>
        <v>0</v>
      </c>
      <c r="F65" s="80"/>
      <c r="G65" s="80">
        <f t="shared" si="3"/>
        <v>1343.99</v>
      </c>
      <c r="H65" s="7"/>
      <c r="I65" s="7">
        <f t="shared" si="5"/>
        <v>1343.99</v>
      </c>
      <c r="J65" s="7"/>
      <c r="K65" s="7"/>
      <c r="L65" s="7"/>
      <c r="M65" s="7">
        <f t="shared" si="6"/>
        <v>197.57</v>
      </c>
    </row>
    <row r="66" spans="1:13" x14ac:dyDescent="0.2">
      <c r="A66" s="45">
        <f t="shared" si="4"/>
        <v>10</v>
      </c>
      <c r="C66" s="52">
        <f t="shared" si="7"/>
        <v>45920</v>
      </c>
      <c r="D66" s="52"/>
      <c r="E66" s="80">
        <f t="shared" si="8"/>
        <v>0</v>
      </c>
      <c r="F66" s="80"/>
      <c r="G66" s="80">
        <f t="shared" si="3"/>
        <v>1343.99</v>
      </c>
      <c r="H66" s="7"/>
      <c r="I66" s="7">
        <f t="shared" si="5"/>
        <v>1343.99</v>
      </c>
      <c r="J66" s="7"/>
      <c r="K66" s="7"/>
      <c r="L66" s="7"/>
      <c r="M66" s="7">
        <f>+ROUND(I66/I$72*M$72,2)+0.01</f>
        <v>197.57999999999998</v>
      </c>
    </row>
    <row r="67" spans="1:13" x14ac:dyDescent="0.2">
      <c r="A67" s="45">
        <f t="shared" si="4"/>
        <v>11</v>
      </c>
      <c r="C67" s="52">
        <f t="shared" si="7"/>
        <v>45951</v>
      </c>
      <c r="D67" s="52"/>
      <c r="E67" s="80">
        <f t="shared" si="8"/>
        <v>0</v>
      </c>
      <c r="F67" s="80"/>
      <c r="G67" s="80">
        <f t="shared" si="3"/>
        <v>1343.99</v>
      </c>
      <c r="H67" s="7"/>
      <c r="I67" s="7">
        <f t="shared" si="5"/>
        <v>1343.99</v>
      </c>
      <c r="J67" s="7"/>
      <c r="K67" s="7"/>
      <c r="L67" s="7"/>
      <c r="M67" s="7">
        <f>+ROUND(I67/I$72*M$72,2)+0.01</f>
        <v>197.57999999999998</v>
      </c>
    </row>
    <row r="68" spans="1:13" x14ac:dyDescent="0.2">
      <c r="A68" s="45">
        <f t="shared" si="4"/>
        <v>12</v>
      </c>
      <c r="C68" s="52">
        <f t="shared" si="7"/>
        <v>45982</v>
      </c>
      <c r="D68" s="52"/>
      <c r="E68" s="80">
        <f t="shared" si="8"/>
        <v>0</v>
      </c>
      <c r="F68" s="80"/>
      <c r="G68" s="80">
        <f t="shared" si="3"/>
        <v>1343.99</v>
      </c>
      <c r="H68" s="7"/>
      <c r="I68" s="7">
        <f t="shared" si="5"/>
        <v>1343.99</v>
      </c>
      <c r="J68" s="7"/>
      <c r="K68" s="7"/>
      <c r="L68" s="7"/>
      <c r="M68" s="7">
        <f>+ROUND(I68/I$72*M$72,2)+0.01</f>
        <v>197.57999999999998</v>
      </c>
    </row>
    <row r="69" spans="1:13" x14ac:dyDescent="0.2">
      <c r="A69" s="45">
        <f t="shared" si="4"/>
        <v>13</v>
      </c>
      <c r="C69" s="52">
        <f t="shared" si="7"/>
        <v>46013</v>
      </c>
      <c r="D69" s="52"/>
      <c r="E69" s="114">
        <f t="shared" si="8"/>
        <v>0</v>
      </c>
      <c r="F69" s="80"/>
      <c r="G69" s="114">
        <f t="shared" si="3"/>
        <v>1343.99</v>
      </c>
      <c r="H69" s="7"/>
      <c r="I69" s="115">
        <f t="shared" si="5"/>
        <v>1343.99</v>
      </c>
      <c r="J69" s="7"/>
      <c r="K69" s="7"/>
      <c r="L69" s="7"/>
      <c r="M69" s="115">
        <f>+ROUND(I69/I$72*M$72,2)+0.01</f>
        <v>197.57999999999998</v>
      </c>
    </row>
    <row r="70" spans="1:13" x14ac:dyDescent="0.2">
      <c r="A70" s="45">
        <f t="shared" si="4"/>
        <v>14</v>
      </c>
      <c r="C70" s="58" t="s">
        <v>47</v>
      </c>
      <c r="D70" s="58"/>
      <c r="E70" s="110">
        <f>SUM(E57:E69)</f>
        <v>0</v>
      </c>
      <c r="F70" s="110"/>
      <c r="G70" s="110">
        <f>SUM(G57:G69)</f>
        <v>17471.87</v>
      </c>
      <c r="H70" s="110"/>
      <c r="I70" s="110">
        <f>SUM(I57:I69)</f>
        <v>17471.87</v>
      </c>
      <c r="J70" s="110"/>
      <c r="K70" s="110"/>
      <c r="L70" s="110"/>
      <c r="M70" s="110">
        <f>SUM(M57:M69)</f>
        <v>2568.4499999999994</v>
      </c>
    </row>
    <row r="71" spans="1:13" x14ac:dyDescent="0.2">
      <c r="A71" s="45">
        <f t="shared" si="4"/>
        <v>15</v>
      </c>
      <c r="E71" s="113" t="s">
        <v>10</v>
      </c>
      <c r="F71" s="113"/>
      <c r="G71" s="113" t="s">
        <v>10</v>
      </c>
      <c r="H71" s="113"/>
      <c r="I71" s="113" t="s">
        <v>10</v>
      </c>
      <c r="J71" s="110"/>
      <c r="K71" s="110"/>
      <c r="L71" s="110"/>
      <c r="M71" s="110"/>
    </row>
    <row r="72" spans="1:13" ht="12" thickBot="1" x14ac:dyDescent="0.25">
      <c r="A72" s="45">
        <f t="shared" si="4"/>
        <v>16</v>
      </c>
      <c r="C72" s="58" t="s">
        <v>87</v>
      </c>
      <c r="D72" s="58"/>
      <c r="E72" s="110"/>
      <c r="F72" s="110"/>
      <c r="G72" s="110"/>
      <c r="H72" s="110"/>
      <c r="I72" s="112">
        <f>I70</f>
        <v>17471.87</v>
      </c>
      <c r="J72" s="110"/>
      <c r="K72" s="112">
        <f>ROUND(G18*K78,2)</f>
        <v>29702.1</v>
      </c>
      <c r="L72" s="110"/>
      <c r="M72" s="112">
        <f>ROUND(+(K72-I72)*M78,2)</f>
        <v>2568.35</v>
      </c>
    </row>
    <row r="73" spans="1:13" ht="12" thickTop="1" x14ac:dyDescent="0.2">
      <c r="A73" s="45">
        <f t="shared" si="4"/>
        <v>17</v>
      </c>
      <c r="E73" s="54"/>
      <c r="F73" s="54"/>
      <c r="G73" s="54"/>
      <c r="H73" s="54"/>
      <c r="I73" s="58" t="s">
        <v>88</v>
      </c>
    </row>
    <row r="74" spans="1:13" x14ac:dyDescent="0.2">
      <c r="A74" s="45">
        <f t="shared" si="4"/>
        <v>18</v>
      </c>
      <c r="I74" s="58" t="s">
        <v>145</v>
      </c>
      <c r="M74" s="51" t="s">
        <v>91</v>
      </c>
    </row>
    <row r="75" spans="1:13" x14ac:dyDescent="0.2">
      <c r="A75" s="45">
        <f t="shared" si="4"/>
        <v>19</v>
      </c>
      <c r="K75" s="51" t="s">
        <v>96</v>
      </c>
      <c r="M75" s="51" t="s">
        <v>97</v>
      </c>
    </row>
    <row r="76" spans="1:13" x14ac:dyDescent="0.2">
      <c r="A76" s="45">
        <f t="shared" si="4"/>
        <v>20</v>
      </c>
      <c r="E76" s="69" t="s">
        <v>98</v>
      </c>
      <c r="F76" s="69"/>
      <c r="G76" s="69" t="s">
        <v>99</v>
      </c>
      <c r="K76" s="51" t="s">
        <v>100</v>
      </c>
      <c r="M76" s="51" t="s">
        <v>101</v>
      </c>
    </row>
    <row r="77" spans="1:13" ht="12" thickBot="1" x14ac:dyDescent="0.25">
      <c r="A77" s="45">
        <f t="shared" si="4"/>
        <v>21</v>
      </c>
      <c r="E77" s="70" t="s">
        <v>102</v>
      </c>
      <c r="F77" s="69"/>
      <c r="G77" s="70" t="s">
        <v>102</v>
      </c>
      <c r="K77" s="70" t="s">
        <v>103</v>
      </c>
      <c r="M77" s="70" t="s">
        <v>104</v>
      </c>
    </row>
    <row r="78" spans="1:13" x14ac:dyDescent="0.2">
      <c r="A78" s="45">
        <f t="shared" si="4"/>
        <v>22</v>
      </c>
      <c r="C78" s="71" t="str">
        <f>E53</f>
        <v>Acct 2.376.00</v>
      </c>
      <c r="D78" s="71"/>
      <c r="E78" s="72">
        <f>'CAPGDS1000001236 Input'!J15</f>
        <v>2.2058823529411766E-2</v>
      </c>
      <c r="F78" s="72"/>
      <c r="G78" s="72">
        <f>E78/13</f>
        <v>1.6968325791855204E-3</v>
      </c>
      <c r="K78" s="81">
        <f>+'CAPGDS1000001236 Input'!L15</f>
        <v>3.7499999999999999E-2</v>
      </c>
      <c r="M78" s="82">
        <f>+'CAPGDS1000001236 Input'!N15</f>
        <v>0.21</v>
      </c>
    </row>
    <row r="79" spans="1:13" x14ac:dyDescent="0.2">
      <c r="A79" s="45">
        <f t="shared" si="4"/>
        <v>23</v>
      </c>
      <c r="H79" s="63"/>
      <c r="I79" s="54"/>
      <c r="K79" s="51" t="s">
        <v>105</v>
      </c>
    </row>
    <row r="80" spans="1:13" x14ac:dyDescent="0.2">
      <c r="A80" s="45">
        <f t="shared" si="4"/>
        <v>24</v>
      </c>
      <c r="H80" s="72"/>
      <c r="I80" s="54"/>
    </row>
    <row r="81" spans="1:13" x14ac:dyDescent="0.2">
      <c r="A81" s="45">
        <f t="shared" si="4"/>
        <v>25</v>
      </c>
    </row>
    <row r="82" spans="1:13" x14ac:dyDescent="0.2">
      <c r="A82" s="45">
        <f t="shared" si="4"/>
        <v>26</v>
      </c>
      <c r="H82" s="72"/>
      <c r="I82" s="54"/>
    </row>
    <row r="83" spans="1:13" x14ac:dyDescent="0.2">
      <c r="A83" s="42"/>
      <c r="B83" s="42"/>
      <c r="C83" s="43"/>
      <c r="D83" s="43"/>
      <c r="E83" s="43"/>
      <c r="F83" s="43"/>
      <c r="G83" s="43"/>
      <c r="H83" s="43"/>
      <c r="I83" s="43"/>
    </row>
    <row r="84" spans="1:13" x14ac:dyDescent="0.2">
      <c r="A84" s="42"/>
      <c r="B84" s="42"/>
      <c r="C84" s="43"/>
      <c r="D84" s="43"/>
      <c r="E84" s="43"/>
      <c r="F84" s="43"/>
      <c r="G84" s="43"/>
      <c r="H84" s="43"/>
      <c r="I84" s="43"/>
    </row>
    <row r="85" spans="1:13" x14ac:dyDescent="0.2">
      <c r="A85" s="42"/>
      <c r="B85" s="42"/>
      <c r="C85" s="43"/>
      <c r="D85" s="43"/>
      <c r="E85" s="43"/>
      <c r="F85" s="43"/>
      <c r="G85" s="43"/>
      <c r="H85" s="43"/>
      <c r="I85" s="43"/>
    </row>
    <row r="86" spans="1:13" x14ac:dyDescent="0.2">
      <c r="A86" s="42"/>
      <c r="B86" s="42"/>
      <c r="C86" s="43"/>
      <c r="D86" s="43"/>
      <c r="E86" s="43"/>
      <c r="F86" s="43"/>
      <c r="G86" s="43"/>
      <c r="H86" s="43"/>
      <c r="I86" s="43"/>
    </row>
    <row r="87" spans="1:13" ht="22.5" customHeight="1" x14ac:dyDescent="0.2">
      <c r="A87" s="138" t="str">
        <f>A5</f>
        <v>Pro-Forma Adjustment - System Reliability</v>
      </c>
      <c r="B87" s="138"/>
      <c r="C87" s="138"/>
      <c r="D87" s="138"/>
      <c r="E87" s="138"/>
      <c r="F87" s="138"/>
      <c r="G87" s="138"/>
      <c r="H87" s="138"/>
      <c r="I87" s="138"/>
    </row>
    <row r="88" spans="1:13" x14ac:dyDescent="0.2">
      <c r="A88" s="138"/>
      <c r="B88" s="138"/>
      <c r="C88" s="138"/>
      <c r="D88" s="138"/>
      <c r="E88" s="138"/>
      <c r="F88" s="138"/>
      <c r="G88" s="138"/>
      <c r="H88" s="138"/>
      <c r="I88" s="138"/>
    </row>
    <row r="89" spans="1:13" x14ac:dyDescent="0.2">
      <c r="A89" s="46"/>
      <c r="B89" s="46"/>
      <c r="C89" s="44"/>
      <c r="D89" s="44"/>
      <c r="E89" s="44"/>
      <c r="F89" s="44"/>
      <c r="G89" s="44"/>
      <c r="H89" s="44"/>
      <c r="I89" s="44"/>
    </row>
    <row r="90" spans="1:13" x14ac:dyDescent="0.2">
      <c r="A90" s="46" t="str">
        <f>A8</f>
        <v>Brandon-Holly (Rice) St 210 psig Serve Load</v>
      </c>
      <c r="B90" s="46"/>
      <c r="C90" s="44"/>
      <c r="D90" s="44"/>
      <c r="E90" s="44"/>
      <c r="F90" s="44"/>
      <c r="G90" s="44"/>
      <c r="H90" s="44"/>
      <c r="I90" s="44"/>
    </row>
    <row r="91" spans="1:13" x14ac:dyDescent="0.2">
      <c r="A91" s="46"/>
      <c r="B91" s="46"/>
      <c r="C91" s="44"/>
      <c r="D91" s="44"/>
      <c r="E91" s="44"/>
      <c r="F91" s="44"/>
      <c r="G91" s="44"/>
      <c r="H91" s="44"/>
      <c r="I91" s="44"/>
    </row>
    <row r="92" spans="1:13" x14ac:dyDescent="0.2">
      <c r="A92" s="46" t="s">
        <v>106</v>
      </c>
      <c r="B92" s="46"/>
      <c r="C92" s="44"/>
      <c r="D92" s="44"/>
      <c r="E92" s="44"/>
      <c r="F92" s="44"/>
      <c r="G92" s="44"/>
      <c r="H92" s="44"/>
      <c r="I92" s="44"/>
    </row>
    <row r="93" spans="1:13" x14ac:dyDescent="0.2">
      <c r="A93" s="46" t="s">
        <v>10</v>
      </c>
      <c r="B93" s="46"/>
      <c r="C93" s="44"/>
      <c r="D93" s="44"/>
      <c r="E93" s="44"/>
      <c r="F93" s="44"/>
      <c r="G93" s="44"/>
      <c r="H93" s="44"/>
      <c r="I93" s="44"/>
    </row>
    <row r="95" spans="1:13" ht="12" thickBot="1" x14ac:dyDescent="0.25">
      <c r="A95" s="71" t="s">
        <v>79</v>
      </c>
      <c r="E95" s="48" t="str">
        <f>E13</f>
        <v>Acct 2.376.00</v>
      </c>
      <c r="F95" s="48"/>
      <c r="G95" s="48"/>
      <c r="H95" s="48"/>
      <c r="I95" s="48"/>
      <c r="M95" s="51" t="s">
        <v>107</v>
      </c>
    </row>
    <row r="96" spans="1:13" ht="12" thickBot="1" x14ac:dyDescent="0.25">
      <c r="A96" s="88" t="s">
        <v>81</v>
      </c>
      <c r="B96" s="51"/>
      <c r="C96" s="49" t="s">
        <v>82</v>
      </c>
      <c r="D96" s="51"/>
      <c r="E96" s="49" t="s">
        <v>83</v>
      </c>
      <c r="F96" s="51"/>
      <c r="G96" s="49" t="s">
        <v>84</v>
      </c>
      <c r="H96" s="51"/>
      <c r="I96" s="49" t="s">
        <v>85</v>
      </c>
      <c r="M96" s="49" t="s">
        <v>108</v>
      </c>
    </row>
    <row r="97" spans="1:13" x14ac:dyDescent="0.2">
      <c r="A97" s="51"/>
      <c r="B97" s="51"/>
      <c r="C97" s="92" t="s">
        <v>6</v>
      </c>
      <c r="D97" s="51"/>
      <c r="E97" s="33" t="s">
        <v>7</v>
      </c>
      <c r="F97" s="51"/>
      <c r="G97" s="33" t="s">
        <v>8</v>
      </c>
      <c r="H97" s="89"/>
      <c r="I97" s="33" t="s">
        <v>42</v>
      </c>
      <c r="K97" s="16" t="s">
        <v>43</v>
      </c>
      <c r="M97" s="51" t="s">
        <v>44</v>
      </c>
    </row>
    <row r="98" spans="1:13" x14ac:dyDescent="0.2">
      <c r="A98" s="51"/>
      <c r="B98" s="51"/>
      <c r="C98" s="51"/>
      <c r="D98" s="51"/>
      <c r="E98" s="51"/>
      <c r="F98" s="51"/>
      <c r="G98" s="51"/>
      <c r="H98" s="51"/>
      <c r="I98" s="51"/>
    </row>
    <row r="99" spans="1:13" x14ac:dyDescent="0.2">
      <c r="A99" s="45">
        <v>1</v>
      </c>
      <c r="C99" s="52">
        <f>C17</f>
        <v>45641</v>
      </c>
      <c r="D99" s="52"/>
      <c r="E99" s="109">
        <v>0</v>
      </c>
      <c r="F99" s="110"/>
      <c r="G99" s="109">
        <f>G57</f>
        <v>1343.99</v>
      </c>
      <c r="H99" s="110"/>
      <c r="I99" s="109">
        <f t="shared" ref="I99:I111" si="9">G99-E99</f>
        <v>1343.99</v>
      </c>
      <c r="J99" s="110"/>
      <c r="K99" s="110"/>
      <c r="L99" s="110"/>
      <c r="M99" s="109">
        <f>M57</f>
        <v>197.57</v>
      </c>
    </row>
    <row r="100" spans="1:13" x14ac:dyDescent="0.2">
      <c r="A100" s="45">
        <f t="shared" ref="A100:A128" si="10">1+A99</f>
        <v>2</v>
      </c>
      <c r="C100" s="52">
        <f>C18</f>
        <v>45672</v>
      </c>
      <c r="D100" s="52"/>
      <c r="E100" s="80">
        <f>E57</f>
        <v>0</v>
      </c>
      <c r="F100" s="7"/>
      <c r="G100" s="80">
        <f>G57+G58</f>
        <v>2687.98</v>
      </c>
      <c r="H100" s="7"/>
      <c r="I100" s="80">
        <f t="shared" si="9"/>
        <v>2687.98</v>
      </c>
      <c r="J100" s="7"/>
      <c r="K100" s="7"/>
      <c r="L100" s="7"/>
      <c r="M100" s="80">
        <f>+M58+M57</f>
        <v>395.14</v>
      </c>
    </row>
    <row r="101" spans="1:13" x14ac:dyDescent="0.2">
      <c r="A101" s="45">
        <f t="shared" si="10"/>
        <v>3</v>
      </c>
      <c r="C101" s="52">
        <f t="shared" ref="C101:C111" si="11">C100+31</f>
        <v>45703</v>
      </c>
      <c r="D101" s="52"/>
      <c r="E101" s="7">
        <f t="shared" ref="E101:E111" si="12">E100+E59</f>
        <v>0</v>
      </c>
      <c r="F101" s="7"/>
      <c r="G101" s="7">
        <f t="shared" ref="G101:G111" si="13">G100+G59</f>
        <v>4031.9700000000003</v>
      </c>
      <c r="H101" s="7"/>
      <c r="I101" s="7">
        <f t="shared" si="9"/>
        <v>4031.9700000000003</v>
      </c>
      <c r="J101" s="7"/>
      <c r="K101" s="7"/>
      <c r="L101" s="7"/>
      <c r="M101" s="7">
        <f t="shared" ref="M101:M111" si="14">+M100+M59</f>
        <v>592.71</v>
      </c>
    </row>
    <row r="102" spans="1:13" x14ac:dyDescent="0.2">
      <c r="A102" s="45">
        <f t="shared" si="10"/>
        <v>4</v>
      </c>
      <c r="C102" s="52">
        <f t="shared" si="11"/>
        <v>45734</v>
      </c>
      <c r="D102" s="52"/>
      <c r="E102" s="7">
        <f t="shared" si="12"/>
        <v>0</v>
      </c>
      <c r="F102" s="7"/>
      <c r="G102" s="7">
        <f t="shared" si="13"/>
        <v>5375.96</v>
      </c>
      <c r="H102" s="7"/>
      <c r="I102" s="7">
        <f t="shared" si="9"/>
        <v>5375.96</v>
      </c>
      <c r="J102" s="7"/>
      <c r="K102" s="7"/>
      <c r="L102" s="7"/>
      <c r="M102" s="7">
        <f t="shared" si="14"/>
        <v>790.28</v>
      </c>
    </row>
    <row r="103" spans="1:13" x14ac:dyDescent="0.2">
      <c r="A103" s="45">
        <f t="shared" si="10"/>
        <v>5</v>
      </c>
      <c r="C103" s="52">
        <f t="shared" si="11"/>
        <v>45765</v>
      </c>
      <c r="D103" s="52"/>
      <c r="E103" s="7">
        <f t="shared" si="12"/>
        <v>0</v>
      </c>
      <c r="F103" s="7"/>
      <c r="G103" s="7">
        <f t="shared" si="13"/>
        <v>6719.95</v>
      </c>
      <c r="H103" s="7"/>
      <c r="I103" s="7">
        <f t="shared" si="9"/>
        <v>6719.95</v>
      </c>
      <c r="J103" s="7"/>
      <c r="K103" s="7"/>
      <c r="L103" s="7"/>
      <c r="M103" s="7">
        <f t="shared" si="14"/>
        <v>987.84999999999991</v>
      </c>
    </row>
    <row r="104" spans="1:13" x14ac:dyDescent="0.2">
      <c r="A104" s="45">
        <f t="shared" si="10"/>
        <v>6</v>
      </c>
      <c r="C104" s="52">
        <f t="shared" si="11"/>
        <v>45796</v>
      </c>
      <c r="D104" s="52"/>
      <c r="E104" s="7">
        <f t="shared" si="12"/>
        <v>0</v>
      </c>
      <c r="F104" s="7"/>
      <c r="G104" s="7">
        <f t="shared" si="13"/>
        <v>8063.94</v>
      </c>
      <c r="H104" s="7"/>
      <c r="I104" s="7">
        <f t="shared" si="9"/>
        <v>8063.94</v>
      </c>
      <c r="J104" s="7"/>
      <c r="K104" s="7"/>
      <c r="L104" s="7"/>
      <c r="M104" s="7">
        <f t="shared" si="14"/>
        <v>1185.4199999999998</v>
      </c>
    </row>
    <row r="105" spans="1:13" x14ac:dyDescent="0.2">
      <c r="A105" s="45">
        <f t="shared" si="10"/>
        <v>7</v>
      </c>
      <c r="C105" s="52">
        <f t="shared" si="11"/>
        <v>45827</v>
      </c>
      <c r="D105" s="52"/>
      <c r="E105" s="7">
        <f t="shared" si="12"/>
        <v>0</v>
      </c>
      <c r="F105" s="7"/>
      <c r="G105" s="7">
        <f t="shared" si="13"/>
        <v>9407.93</v>
      </c>
      <c r="H105" s="7"/>
      <c r="I105" s="7">
        <f t="shared" si="9"/>
        <v>9407.93</v>
      </c>
      <c r="J105" s="7"/>
      <c r="K105" s="7"/>
      <c r="L105" s="7"/>
      <c r="M105" s="7">
        <f t="shared" si="14"/>
        <v>1382.9899999999998</v>
      </c>
    </row>
    <row r="106" spans="1:13" x14ac:dyDescent="0.2">
      <c r="A106" s="45">
        <f t="shared" si="10"/>
        <v>8</v>
      </c>
      <c r="C106" s="52">
        <f t="shared" si="11"/>
        <v>45858</v>
      </c>
      <c r="D106" s="52"/>
      <c r="E106" s="7">
        <f t="shared" si="12"/>
        <v>0</v>
      </c>
      <c r="F106" s="7"/>
      <c r="G106" s="7">
        <f t="shared" si="13"/>
        <v>10751.92</v>
      </c>
      <c r="H106" s="7"/>
      <c r="I106" s="7">
        <f t="shared" si="9"/>
        <v>10751.92</v>
      </c>
      <c r="J106" s="7"/>
      <c r="K106" s="7"/>
      <c r="L106" s="7"/>
      <c r="M106" s="7">
        <f t="shared" si="14"/>
        <v>1580.5599999999997</v>
      </c>
    </row>
    <row r="107" spans="1:13" x14ac:dyDescent="0.2">
      <c r="A107" s="45">
        <f t="shared" si="10"/>
        <v>9</v>
      </c>
      <c r="C107" s="52">
        <f t="shared" si="11"/>
        <v>45889</v>
      </c>
      <c r="D107" s="52"/>
      <c r="E107" s="7">
        <f t="shared" si="12"/>
        <v>0</v>
      </c>
      <c r="F107" s="7"/>
      <c r="G107" s="7">
        <f t="shared" si="13"/>
        <v>12095.91</v>
      </c>
      <c r="H107" s="7"/>
      <c r="I107" s="7">
        <f t="shared" si="9"/>
        <v>12095.91</v>
      </c>
      <c r="J107" s="7"/>
      <c r="K107" s="7"/>
      <c r="L107" s="7"/>
      <c r="M107" s="7">
        <f t="shared" si="14"/>
        <v>1778.1299999999997</v>
      </c>
    </row>
    <row r="108" spans="1:13" x14ac:dyDescent="0.2">
      <c r="A108" s="45">
        <f t="shared" si="10"/>
        <v>10</v>
      </c>
      <c r="C108" s="52">
        <f t="shared" si="11"/>
        <v>45920</v>
      </c>
      <c r="D108" s="52"/>
      <c r="E108" s="7">
        <f t="shared" si="12"/>
        <v>0</v>
      </c>
      <c r="F108" s="7"/>
      <c r="G108" s="7">
        <f t="shared" si="13"/>
        <v>13439.9</v>
      </c>
      <c r="H108" s="7"/>
      <c r="I108" s="7">
        <f t="shared" si="9"/>
        <v>13439.9</v>
      </c>
      <c r="J108" s="7"/>
      <c r="K108" s="7"/>
      <c r="L108" s="7"/>
      <c r="M108" s="7">
        <f t="shared" si="14"/>
        <v>1975.7099999999996</v>
      </c>
    </row>
    <row r="109" spans="1:13" x14ac:dyDescent="0.2">
      <c r="A109" s="45">
        <f t="shared" si="10"/>
        <v>11</v>
      </c>
      <c r="C109" s="52">
        <f t="shared" si="11"/>
        <v>45951</v>
      </c>
      <c r="D109" s="52"/>
      <c r="E109" s="7">
        <f t="shared" si="12"/>
        <v>0</v>
      </c>
      <c r="F109" s="7"/>
      <c r="G109" s="7">
        <f t="shared" si="13"/>
        <v>14783.89</v>
      </c>
      <c r="H109" s="7"/>
      <c r="I109" s="7">
        <f t="shared" si="9"/>
        <v>14783.89</v>
      </c>
      <c r="J109" s="7"/>
      <c r="K109" s="7"/>
      <c r="L109" s="7"/>
      <c r="M109" s="7">
        <f t="shared" si="14"/>
        <v>2173.2899999999995</v>
      </c>
    </row>
    <row r="110" spans="1:13" x14ac:dyDescent="0.2">
      <c r="A110" s="45">
        <f t="shared" si="10"/>
        <v>12</v>
      </c>
      <c r="C110" s="52">
        <f t="shared" si="11"/>
        <v>45982</v>
      </c>
      <c r="D110" s="52"/>
      <c r="E110" s="7">
        <f t="shared" si="12"/>
        <v>0</v>
      </c>
      <c r="F110" s="7"/>
      <c r="G110" s="7">
        <f t="shared" si="13"/>
        <v>16127.88</v>
      </c>
      <c r="H110" s="7"/>
      <c r="I110" s="7">
        <f t="shared" si="9"/>
        <v>16127.88</v>
      </c>
      <c r="J110" s="7"/>
      <c r="K110" s="7"/>
      <c r="L110" s="7"/>
      <c r="M110" s="7">
        <f t="shared" si="14"/>
        <v>2370.8699999999994</v>
      </c>
    </row>
    <row r="111" spans="1:13" x14ac:dyDescent="0.2">
      <c r="A111" s="45">
        <f t="shared" si="10"/>
        <v>13</v>
      </c>
      <c r="C111" s="52">
        <f t="shared" si="11"/>
        <v>46013</v>
      </c>
      <c r="D111" s="52"/>
      <c r="E111" s="115">
        <f t="shared" si="12"/>
        <v>0</v>
      </c>
      <c r="F111" s="7"/>
      <c r="G111" s="115">
        <f t="shared" si="13"/>
        <v>17471.87</v>
      </c>
      <c r="H111" s="7"/>
      <c r="I111" s="115">
        <f t="shared" si="9"/>
        <v>17471.87</v>
      </c>
      <c r="J111" s="7"/>
      <c r="K111" s="7"/>
      <c r="L111" s="7"/>
      <c r="M111" s="115">
        <f t="shared" si="14"/>
        <v>2568.4499999999994</v>
      </c>
    </row>
    <row r="112" spans="1:13" x14ac:dyDescent="0.2">
      <c r="A112" s="45">
        <f t="shared" si="10"/>
        <v>14</v>
      </c>
      <c r="C112" s="58" t="s">
        <v>47</v>
      </c>
      <c r="D112" s="58"/>
      <c r="E112" s="110">
        <f>SUM(E99:E111)</f>
        <v>0</v>
      </c>
      <c r="F112" s="110"/>
      <c r="G112" s="110">
        <f>SUM(G99:G111)</f>
        <v>122303.09</v>
      </c>
      <c r="H112" s="110"/>
      <c r="I112" s="110">
        <f>SUM(I99:I111)</f>
        <v>122303.09</v>
      </c>
      <c r="J112" s="110"/>
      <c r="K112" s="110"/>
      <c r="L112" s="110"/>
      <c r="M112" s="110">
        <f>SUM(M99:M111)</f>
        <v>17978.969999999998</v>
      </c>
    </row>
    <row r="113" spans="1:13" x14ac:dyDescent="0.2">
      <c r="A113" s="45">
        <f t="shared" si="10"/>
        <v>15</v>
      </c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ht="12" thickBot="1" x14ac:dyDescent="0.25">
      <c r="A114" s="45">
        <f t="shared" si="10"/>
        <v>16</v>
      </c>
      <c r="C114" s="73" t="s">
        <v>139</v>
      </c>
      <c r="D114" s="73"/>
      <c r="E114" s="112">
        <f>ROUND(+E112/12,2)</f>
        <v>0</v>
      </c>
      <c r="F114" s="110"/>
      <c r="G114" s="112">
        <f>ROUND(+G112/13,2)</f>
        <v>9407.93</v>
      </c>
      <c r="H114" s="110"/>
      <c r="I114" s="112">
        <f>ROUND(+I112/13,2)</f>
        <v>9407.93</v>
      </c>
      <c r="J114" s="110"/>
      <c r="K114" s="110"/>
      <c r="L114" s="110"/>
      <c r="M114" s="112">
        <f>ROUND(+M112/13,2)</f>
        <v>1383</v>
      </c>
    </row>
    <row r="115" spans="1:13" ht="12" thickTop="1" x14ac:dyDescent="0.2">
      <c r="A115" s="45">
        <f t="shared" si="10"/>
        <v>17</v>
      </c>
      <c r="E115" s="113" t="s">
        <v>10</v>
      </c>
      <c r="F115" s="113"/>
      <c r="G115" s="113" t="s">
        <v>10</v>
      </c>
      <c r="H115" s="113"/>
      <c r="I115" s="113" t="s">
        <v>10</v>
      </c>
      <c r="J115" s="110"/>
      <c r="K115" s="110"/>
      <c r="L115" s="110"/>
      <c r="M115" s="110"/>
    </row>
    <row r="116" spans="1:13" x14ac:dyDescent="0.2">
      <c r="A116" s="45">
        <f t="shared" si="10"/>
        <v>18</v>
      </c>
      <c r="E116" s="110"/>
      <c r="F116" s="110"/>
      <c r="G116" s="110"/>
      <c r="H116" s="110"/>
      <c r="I116" s="110"/>
      <c r="J116" s="110"/>
      <c r="K116" s="110"/>
      <c r="L116" s="110"/>
      <c r="M116" s="110"/>
    </row>
    <row r="117" spans="1:13" ht="12" thickBot="1" x14ac:dyDescent="0.25">
      <c r="A117" s="45">
        <f t="shared" si="10"/>
        <v>19</v>
      </c>
      <c r="C117" s="58" t="s">
        <v>87</v>
      </c>
      <c r="D117" s="58"/>
      <c r="E117" s="110"/>
      <c r="F117" s="110"/>
      <c r="G117" s="110"/>
      <c r="H117" s="110"/>
      <c r="I117" s="118">
        <f>I114</f>
        <v>9407.93</v>
      </c>
      <c r="J117" s="110"/>
      <c r="K117" s="110"/>
      <c r="L117" s="110"/>
      <c r="M117" s="118">
        <f>+M114</f>
        <v>1383</v>
      </c>
    </row>
    <row r="118" spans="1:13" ht="12" thickTop="1" x14ac:dyDescent="0.2">
      <c r="A118" s="45">
        <f t="shared" si="10"/>
        <v>20</v>
      </c>
      <c r="E118" s="54"/>
      <c r="F118" s="54"/>
      <c r="G118" s="54"/>
      <c r="H118" s="54"/>
      <c r="I118" s="58" t="s">
        <v>88</v>
      </c>
      <c r="M118" s="58" t="s">
        <v>88</v>
      </c>
    </row>
    <row r="119" spans="1:13" x14ac:dyDescent="0.2">
      <c r="A119" s="45">
        <f t="shared" si="10"/>
        <v>21</v>
      </c>
      <c r="I119" s="58" t="s">
        <v>146</v>
      </c>
      <c r="M119" s="58" t="s">
        <v>147</v>
      </c>
    </row>
    <row r="120" spans="1:13" x14ac:dyDescent="0.2">
      <c r="A120" s="45">
        <f t="shared" si="10"/>
        <v>22</v>
      </c>
    </row>
    <row r="121" spans="1:13" x14ac:dyDescent="0.2">
      <c r="A121" s="45">
        <f t="shared" si="10"/>
        <v>23</v>
      </c>
      <c r="E121" s="69" t="s">
        <v>98</v>
      </c>
      <c r="F121" s="69"/>
      <c r="G121" s="69" t="s">
        <v>99</v>
      </c>
    </row>
    <row r="122" spans="1:13" ht="12" thickBot="1" x14ac:dyDescent="0.25">
      <c r="A122" s="45">
        <f t="shared" si="10"/>
        <v>24</v>
      </c>
      <c r="E122" s="70" t="s">
        <v>102</v>
      </c>
      <c r="F122" s="69"/>
      <c r="G122" s="70" t="s">
        <v>102</v>
      </c>
    </row>
    <row r="123" spans="1:13" x14ac:dyDescent="0.2">
      <c r="A123" s="45">
        <f t="shared" si="10"/>
        <v>25</v>
      </c>
      <c r="C123" s="71" t="str">
        <f>C78</f>
        <v>Acct 2.376.00</v>
      </c>
      <c r="D123" s="71"/>
      <c r="E123" s="75">
        <f>E78</f>
        <v>2.2058823529411766E-2</v>
      </c>
      <c r="F123" s="75"/>
      <c r="G123" s="75">
        <f>G78</f>
        <v>1.6968325791855204E-3</v>
      </c>
    </row>
    <row r="124" spans="1:13" x14ac:dyDescent="0.2">
      <c r="A124" s="45">
        <f t="shared" si="10"/>
        <v>26</v>
      </c>
      <c r="E124" s="54"/>
      <c r="F124" s="54"/>
      <c r="G124" s="54"/>
      <c r="H124" s="54"/>
      <c r="I124" s="54"/>
    </row>
    <row r="125" spans="1:13" x14ac:dyDescent="0.2">
      <c r="A125" s="45">
        <f t="shared" si="10"/>
        <v>27</v>
      </c>
      <c r="H125" s="54"/>
      <c r="I125" s="54"/>
    </row>
    <row r="126" spans="1:13" x14ac:dyDescent="0.2">
      <c r="A126" s="45">
        <f t="shared" si="10"/>
        <v>28</v>
      </c>
    </row>
    <row r="127" spans="1:13" x14ac:dyDescent="0.2">
      <c r="A127" s="45">
        <f t="shared" si="10"/>
        <v>29</v>
      </c>
    </row>
    <row r="128" spans="1:13" x14ac:dyDescent="0.2">
      <c r="A128" s="45">
        <f t="shared" si="10"/>
        <v>30</v>
      </c>
    </row>
  </sheetData>
  <mergeCells count="7">
    <mergeCell ref="A88:I88"/>
    <mergeCell ref="A4:I4"/>
    <mergeCell ref="A5:I5"/>
    <mergeCell ref="A8:I8"/>
    <mergeCell ref="A45:I45"/>
    <mergeCell ref="A46:I46"/>
    <mergeCell ref="A87:I87"/>
  </mergeCells>
  <pageMargins left="0.75" right="0.75" top="1" bottom="1" header="0.5" footer="0.5"/>
  <pageSetup scale="90" orientation="portrait" r:id="rId1"/>
  <headerFooter alignWithMargins="0">
    <oddHeader>&amp;C&amp;"Times New Roman,Regular"MIDAMERICAN ENERGY COMPANY
2026 SOUTH DAKOTA GAS RATE CASE
Docket No. NG26-___
FOR THE YEAR ENDING DECEMBER 31, 2025
Individual Responsible: Aimee S. Rooney&amp;R&amp;"Times New Roman,Regular"Exhibit ASR 1.1  WP C
Page &amp;P of &amp;N</oddHeader>
  </headerFooter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28</vt:i4>
      </vt:variant>
    </vt:vector>
  </HeadingPairs>
  <TitlesOfParts>
    <vt:vector size="64" baseType="lpstr">
      <vt:lpstr>WP C, pg 1</vt:lpstr>
      <vt:lpstr>WP C, pg 2 &amp; 3</vt:lpstr>
      <vt:lpstr>CAPGDS1000001240 Input</vt:lpstr>
      <vt:lpstr>CAPGDS1000001240 TotalWO</vt:lpstr>
      <vt:lpstr>CAPGDS1000001240 Acct1</vt:lpstr>
      <vt:lpstr>CAPGDS1000001240 Support</vt:lpstr>
      <vt:lpstr>CAPGDS1000001236 Input</vt:lpstr>
      <vt:lpstr>CAPGDS1000001236 TotalWO</vt:lpstr>
      <vt:lpstr>CAPGDS1000001236 Acct1</vt:lpstr>
      <vt:lpstr>CAPGDS1000001236 Support</vt:lpstr>
      <vt:lpstr>CAPGDS1000001150 Input</vt:lpstr>
      <vt:lpstr>CAPGDS1000001150 TotalWO</vt:lpstr>
      <vt:lpstr>CAPGDS1000001150 Acct1</vt:lpstr>
      <vt:lpstr>CAPGDS1000001150 Acct2</vt:lpstr>
      <vt:lpstr>CAPGDS1000001150 Support</vt:lpstr>
      <vt:lpstr>CAPGDS1000001243 Input</vt:lpstr>
      <vt:lpstr>CAPGDS1000001243 TotalWO</vt:lpstr>
      <vt:lpstr>CAPGDS1000001243 Acct1</vt:lpstr>
      <vt:lpstr>CAPGDS1000001243 Support</vt:lpstr>
      <vt:lpstr>CAPGDS1000001239 Input</vt:lpstr>
      <vt:lpstr>CAPGDS1000001239 TotalWO</vt:lpstr>
      <vt:lpstr>CAPGDS1000001239 Acct1</vt:lpstr>
      <vt:lpstr>CAPGDS1000001239 Support</vt:lpstr>
      <vt:lpstr>CAPGDS1000001184 Input</vt:lpstr>
      <vt:lpstr>CAPGDS1000001184 TotalWO</vt:lpstr>
      <vt:lpstr>CAPGDS1000001184 Acct1 </vt:lpstr>
      <vt:lpstr>CAPGDS1000001184 Support</vt:lpstr>
      <vt:lpstr>CAPGDS1000001253 Input</vt:lpstr>
      <vt:lpstr>CAPGDS1000001253 TotalWO</vt:lpstr>
      <vt:lpstr>CAPGDS1000001253 Acct1</vt:lpstr>
      <vt:lpstr>CAPGDS1000001253 Support</vt:lpstr>
      <vt:lpstr>CAPGDS1000001244 Input</vt:lpstr>
      <vt:lpstr>CAPGDS1000001244 TotalWO</vt:lpstr>
      <vt:lpstr>CAPGDS1000001244  Acct1</vt:lpstr>
      <vt:lpstr>CAPGDS1000001244  Acct2</vt:lpstr>
      <vt:lpstr>CAPGDS1000001244  Support</vt:lpstr>
      <vt:lpstr>'CAPGDS1000001150 Acct1'!Print_Area</vt:lpstr>
      <vt:lpstr>'CAPGDS1000001150 Acct2'!Print_Area</vt:lpstr>
      <vt:lpstr>'CAPGDS1000001150 Support'!Print_Area</vt:lpstr>
      <vt:lpstr>'CAPGDS1000001150 TotalWO'!Print_Area</vt:lpstr>
      <vt:lpstr>'CAPGDS1000001184 Acct1 '!Print_Area</vt:lpstr>
      <vt:lpstr>'CAPGDS1000001184 Support'!Print_Area</vt:lpstr>
      <vt:lpstr>'CAPGDS1000001184 TotalWO'!Print_Area</vt:lpstr>
      <vt:lpstr>'CAPGDS1000001236 Acct1'!Print_Area</vt:lpstr>
      <vt:lpstr>'CAPGDS1000001236 Support'!Print_Area</vt:lpstr>
      <vt:lpstr>'CAPGDS1000001236 TotalWO'!Print_Area</vt:lpstr>
      <vt:lpstr>'CAPGDS1000001239 Acct1'!Print_Area</vt:lpstr>
      <vt:lpstr>'CAPGDS1000001239 Support'!Print_Area</vt:lpstr>
      <vt:lpstr>'CAPGDS1000001239 TotalWO'!Print_Area</vt:lpstr>
      <vt:lpstr>'CAPGDS1000001240 Acct1'!Print_Area</vt:lpstr>
      <vt:lpstr>'CAPGDS1000001240 Support'!Print_Area</vt:lpstr>
      <vt:lpstr>'CAPGDS1000001240 TotalWO'!Print_Area</vt:lpstr>
      <vt:lpstr>'CAPGDS1000001243 Acct1'!Print_Area</vt:lpstr>
      <vt:lpstr>'CAPGDS1000001243 Support'!Print_Area</vt:lpstr>
      <vt:lpstr>'CAPGDS1000001243 TotalWO'!Print_Area</vt:lpstr>
      <vt:lpstr>'CAPGDS1000001244  Acct1'!Print_Area</vt:lpstr>
      <vt:lpstr>'CAPGDS1000001244  Acct2'!Print_Area</vt:lpstr>
      <vt:lpstr>'CAPGDS1000001244  Support'!Print_Area</vt:lpstr>
      <vt:lpstr>'CAPGDS1000001244 TotalWO'!Print_Area</vt:lpstr>
      <vt:lpstr>'CAPGDS1000001253 Acct1'!Print_Area</vt:lpstr>
      <vt:lpstr>'CAPGDS1000001253 Support'!Print_Area</vt:lpstr>
      <vt:lpstr>'CAPGDS1000001253 TotalWO'!Print_Area</vt:lpstr>
      <vt:lpstr>'WP C, pg 1'!Print_Area</vt:lpstr>
      <vt:lpstr>'WP C, pg 2 &amp;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2026-08-18T15:38:32Z</dcterms:created>
  <dcterms:modified xsi:type="dcterms:W3CDTF">2026-08-18T15:38:41Z</dcterms:modified>
  <cp:category/>
  <cp:contentStatus/>
</cp:coreProperties>
</file>