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80E4590E-62B7-4DC5-B3F4-ADC65844CFBD}" xr6:coauthVersionLast="47" xr6:coauthVersionMax="47" xr10:uidLastSave="{00000000-0000-0000-0000-000000000000}"/>
  <bookViews>
    <workbookView xWindow="-120" yWindow="-120" windowWidth="29040" windowHeight="15720" xr2:uid="{1923496C-CDB4-49D5-8A4B-FB05241BC149}"/>
  </bookViews>
  <sheets>
    <sheet name="WP B, pg 1" sheetId="1" r:id="rId1"/>
    <sheet name="WP B, pg 2 &amp; 3" sheetId="2" r:id="rId2"/>
    <sheet name="CAPGDS1000000935 Input" sheetId="3" r:id="rId3"/>
    <sheet name="CAPGDS1000000935 TotalWO" sheetId="4" r:id="rId4"/>
    <sheet name="CAPGDS1000000935 Acct1" sheetId="5" r:id="rId5"/>
    <sheet name="CAPGDS1000000935 Support" sheetId="6" r:id="rId6"/>
    <sheet name="CAPGDS1000000166 Input" sheetId="7" r:id="rId7"/>
    <sheet name="CAPGDS1000000166 TotalWO" sheetId="9" r:id="rId8"/>
    <sheet name="CAPGDS1000000166 Acct1" sheetId="10" r:id="rId9"/>
    <sheet name="CAPGDS1000000166 Acct2" sheetId="13" r:id="rId10"/>
    <sheet name="CAPGDS1000000166 Support" sheetId="8" r:id="rId11"/>
    <sheet name="CAPGDS1000000782 Input" sheetId="11" r:id="rId12"/>
    <sheet name="CAPGDS1000000782 TotalWO" sheetId="15" r:id="rId13"/>
    <sheet name="CAPGDS1000000782 Acct1" sheetId="14" r:id="rId14"/>
    <sheet name="CAPGDS1000000782 Acct2" sheetId="16" r:id="rId15"/>
    <sheet name="CAPGDS1000000782 Acct3" sheetId="17" r:id="rId16"/>
    <sheet name="CAPGDS1000000782 Support" sheetId="12" r:id="rId17"/>
    <sheet name="CAPCIT1000000678 Input" sheetId="18" r:id="rId18"/>
    <sheet name="CAPCIT1000000678 TotalWO" sheetId="20" r:id="rId19"/>
    <sheet name="CAPCIT1000000678 Acct1" sheetId="24" r:id="rId20"/>
    <sheet name="CAPCIT1000000678 Support" sheetId="19" r:id="rId21"/>
  </sheets>
  <definedNames>
    <definedName name="\a">#REF!</definedName>
    <definedName name="\b">#REF!</definedName>
    <definedName name="_a1">#REF!</definedName>
    <definedName name="_Key1" localSheetId="18" hidden="1">#REF!</definedName>
    <definedName name="_Key1" localSheetId="7" hidden="1">#REF!</definedName>
    <definedName name="_Key1" localSheetId="12" hidden="1">#REF!</definedName>
    <definedName name="_Key1" localSheetId="3" hidden="1">#REF!</definedName>
    <definedName name="_Order1" localSheetId="18" hidden="1">255</definedName>
    <definedName name="_Order1" localSheetId="7" hidden="1">255</definedName>
    <definedName name="_Order1" localSheetId="12" hidden="1">255</definedName>
    <definedName name="_Order1" localSheetId="3" hidden="1">255</definedName>
    <definedName name="_Regression_Int" localSheetId="18" hidden="1">1</definedName>
    <definedName name="_Regression_Int" localSheetId="7" hidden="1">1</definedName>
    <definedName name="_Regression_Int" localSheetId="12" hidden="1">1</definedName>
    <definedName name="_Regression_Int" localSheetId="3" hidden="1">1</definedName>
    <definedName name="_Sort" localSheetId="18" hidden="1">#REF!</definedName>
    <definedName name="_Sort" localSheetId="7" hidden="1">#REF!</definedName>
    <definedName name="_Sort" localSheetId="12" hidden="1">#REF!</definedName>
    <definedName name="_Sort" localSheetId="3" hidden="1">#REF!</definedName>
    <definedName name="ab">#REF!</definedName>
    <definedName name="b">#REF!</definedName>
    <definedName name="LINE">#REF!</definedName>
    <definedName name="_xlnm.Print_Area" localSheetId="19">'CAPCIT1000000678 Acct1'!$A$1:$M$127</definedName>
    <definedName name="_xlnm.Print_Area" localSheetId="17">'CAPCIT1000000678 Input'!$A$1:$N$43</definedName>
    <definedName name="_xlnm.Print_Area" localSheetId="20">'CAPCIT1000000678 Support'!$A$1:$J$207</definedName>
    <definedName name="_xlnm.Print_Area" localSheetId="18">'CAPCIT1000000678 TotalWO'!$A$1:$I$40</definedName>
    <definedName name="_xlnm.Print_Area" localSheetId="8">'CAPGDS1000000166 Acct1'!$A$1:$M$128</definedName>
    <definedName name="_xlnm.Print_Area" localSheetId="9">'CAPGDS1000000166 Acct2'!$A$1:$M$128</definedName>
    <definedName name="_xlnm.Print_Area" localSheetId="6">'CAPGDS1000000166 Input'!$A$1:$N$43</definedName>
    <definedName name="_xlnm.Print_Area" localSheetId="10">'CAPGDS1000000166 Support'!$A$1:$K$262</definedName>
    <definedName name="_xlnm.Print_Area" localSheetId="7">'CAPGDS1000000166 TotalWO'!$A$1:$I$40</definedName>
    <definedName name="_xlnm.Print_Area" localSheetId="13">'CAPGDS1000000782 Acct1'!$A$1:$M$128</definedName>
    <definedName name="_xlnm.Print_Area" localSheetId="14">'CAPGDS1000000782 Acct2'!$A$1:$M$128</definedName>
    <definedName name="_xlnm.Print_Area" localSheetId="15">'CAPGDS1000000782 Acct3'!$A$1:$M$128</definedName>
    <definedName name="_xlnm.Print_Area" localSheetId="11">'CAPGDS1000000782 Input'!$A$1:$N$43</definedName>
    <definedName name="_xlnm.Print_Area" localSheetId="16">'CAPGDS1000000782 Support'!$A$1:$J$376</definedName>
    <definedName name="_xlnm.Print_Area" localSheetId="12">'CAPGDS1000000782 TotalWO'!$A$1:$I$40</definedName>
    <definedName name="_xlnm.Print_Area" localSheetId="4">'CAPGDS1000000935 Acct1'!$A$1:$M$128</definedName>
    <definedName name="_xlnm.Print_Area" localSheetId="2">'CAPGDS1000000935 Input'!$A$1:$N$43</definedName>
    <definedName name="_xlnm.Print_Area" localSheetId="5">'CAPGDS1000000935 Support'!$A$1:$J$233</definedName>
    <definedName name="_xlnm.Print_Area" localSheetId="3">'CAPGDS1000000935 TotalWO'!$A$1:$I$40</definedName>
    <definedName name="_xlnm.Print_Area" localSheetId="0">'WP B, pg 1'!$A$1:$H$35</definedName>
    <definedName name="_xlnm.Print_Area" localSheetId="1">'WP B, pg 2 &amp; 3'!$A$1:$T$56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1" l="1"/>
  <c r="M77" i="24" l="1"/>
  <c r="K77" i="24"/>
  <c r="E11" i="24"/>
  <c r="A8" i="24"/>
  <c r="A6" i="24"/>
  <c r="A5" i="24"/>
  <c r="A88" i="24" s="1"/>
  <c r="A99" i="24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C58" i="24"/>
  <c r="C59" i="24" s="1"/>
  <c r="C60" i="24" s="1"/>
  <c r="C61" i="24" s="1"/>
  <c r="C62" i="24" s="1"/>
  <c r="C63" i="24" s="1"/>
  <c r="C64" i="24" s="1"/>
  <c r="C65" i="24" s="1"/>
  <c r="C66" i="24" s="1"/>
  <c r="C67" i="24" s="1"/>
  <c r="C68" i="24" s="1"/>
  <c r="A57" i="24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16" i="24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C18" i="20"/>
  <c r="C16" i="24" s="1"/>
  <c r="C99" i="24" s="1"/>
  <c r="C100" i="24" s="1"/>
  <c r="C101" i="24" s="1"/>
  <c r="C102" i="24" s="1"/>
  <c r="C103" i="24" s="1"/>
  <c r="C104" i="24" s="1"/>
  <c r="C105" i="24" s="1"/>
  <c r="C106" i="24" s="1"/>
  <c r="C107" i="24" s="1"/>
  <c r="C108" i="24" s="1"/>
  <c r="C109" i="24" s="1"/>
  <c r="C110" i="24" s="1"/>
  <c r="C17" i="20"/>
  <c r="C15" i="24" s="1"/>
  <c r="A8" i="20"/>
  <c r="A7" i="20"/>
  <c r="A89" i="24" l="1"/>
  <c r="A47" i="24"/>
  <c r="E52" i="24"/>
  <c r="C77" i="24" s="1"/>
  <c r="C122" i="24" s="1"/>
  <c r="E94" i="24"/>
  <c r="C98" i="24"/>
  <c r="C56" i="24"/>
  <c r="A46" i="24"/>
  <c r="C17" i="24"/>
  <c r="C18" i="24" s="1"/>
  <c r="C19" i="24" s="1"/>
  <c r="C20" i="24" s="1"/>
  <c r="C21" i="24" s="1"/>
  <c r="C22" i="24" s="1"/>
  <c r="C23" i="24" s="1"/>
  <c r="C24" i="24" s="1"/>
  <c r="C25" i="24" s="1"/>
  <c r="C26" i="24" s="1"/>
  <c r="C27" i="24" s="1"/>
  <c r="A18" i="20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J16" i="18"/>
  <c r="E77" i="24" s="1"/>
  <c r="E122" i="24" s="1"/>
  <c r="G77" i="24" l="1"/>
  <c r="G122" i="24" s="1"/>
  <c r="H10" i="18"/>
  <c r="D10" i="18"/>
  <c r="B170" i="19"/>
  <c r="A6" i="19"/>
  <c r="A163" i="19" s="1"/>
  <c r="A5" i="19"/>
  <c r="A162" i="19" s="1"/>
  <c r="D183" i="19"/>
  <c r="A171" i="19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E20" i="20" l="1"/>
  <c r="E18" i="24" s="1"/>
  <c r="E59" i="24" s="1"/>
  <c r="G17" i="20"/>
  <c r="E17" i="20"/>
  <c r="E15" i="24" s="1"/>
  <c r="E56" i="24" s="1"/>
  <c r="E98" i="24" s="1"/>
  <c r="E19" i="20"/>
  <c r="E17" i="24" s="1"/>
  <c r="E58" i="24" s="1"/>
  <c r="E18" i="20"/>
  <c r="A104" i="19"/>
  <c r="A105" i="19"/>
  <c r="E99" i="24" l="1"/>
  <c r="G15" i="24"/>
  <c r="G24" i="20"/>
  <c r="G21" i="20"/>
  <c r="I17" i="20"/>
  <c r="G18" i="20"/>
  <c r="G22" i="20"/>
  <c r="G26" i="20"/>
  <c r="G19" i="20"/>
  <c r="G28" i="20"/>
  <c r="G29" i="20"/>
  <c r="G25" i="20"/>
  <c r="G27" i="20"/>
  <c r="G23" i="20"/>
  <c r="G20" i="20"/>
  <c r="E16" i="24"/>
  <c r="D20" i="18"/>
  <c r="B18" i="18"/>
  <c r="G18" i="17"/>
  <c r="G17" i="17"/>
  <c r="E13" i="17"/>
  <c r="A100" i="17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M78" i="17"/>
  <c r="K78" i="17"/>
  <c r="C59" i="17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A58" i="17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18" i="17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E17" i="17"/>
  <c r="C17" i="17"/>
  <c r="C57" i="17" s="1"/>
  <c r="E53" i="17"/>
  <c r="C78" i="17" s="1"/>
  <c r="C123" i="17" s="1"/>
  <c r="A10" i="17"/>
  <c r="A8" i="17"/>
  <c r="A90" i="17" s="1"/>
  <c r="A7" i="17"/>
  <c r="A89" i="17" s="1"/>
  <c r="E13" i="16"/>
  <c r="E95" i="16" s="1"/>
  <c r="A100" i="16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M78" i="16"/>
  <c r="K78" i="16"/>
  <c r="E78" i="16"/>
  <c r="E123" i="16" s="1"/>
  <c r="C59" i="16"/>
  <c r="C60" i="16" s="1"/>
  <c r="C61" i="16" s="1"/>
  <c r="C62" i="16" s="1"/>
  <c r="C63" i="16" s="1"/>
  <c r="C64" i="16" s="1"/>
  <c r="C65" i="16" s="1"/>
  <c r="C66" i="16" s="1"/>
  <c r="C67" i="16" s="1"/>
  <c r="C68" i="16" s="1"/>
  <c r="C69" i="16" s="1"/>
  <c r="A58" i="16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18" i="16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E17" i="16"/>
  <c r="C17" i="16"/>
  <c r="C99" i="16" s="1"/>
  <c r="A10" i="16"/>
  <c r="A8" i="16"/>
  <c r="A7" i="16"/>
  <c r="A10" i="14"/>
  <c r="M78" i="14"/>
  <c r="K78" i="14"/>
  <c r="E78" i="14"/>
  <c r="E123" i="14" s="1"/>
  <c r="C17" i="14"/>
  <c r="C99" i="14" s="1"/>
  <c r="E13" i="14"/>
  <c r="E95" i="14" s="1"/>
  <c r="C29" i="15"/>
  <c r="C28" i="15"/>
  <c r="C27" i="15"/>
  <c r="C26" i="15"/>
  <c r="C25" i="15"/>
  <c r="E20" i="15"/>
  <c r="E20" i="14" s="1"/>
  <c r="C20" i="15"/>
  <c r="E19" i="15"/>
  <c r="E19" i="14" s="1"/>
  <c r="C19" i="15"/>
  <c r="E18" i="15"/>
  <c r="E18" i="14" s="1"/>
  <c r="C18" i="15"/>
  <c r="C18" i="14" s="1"/>
  <c r="G17" i="15"/>
  <c r="G17" i="14" s="1"/>
  <c r="E17" i="15"/>
  <c r="E17" i="14" s="1"/>
  <c r="C17" i="15"/>
  <c r="A8" i="15"/>
  <c r="A7" i="15"/>
  <c r="A18" i="15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G24" i="15"/>
  <c r="G25" i="16" s="1"/>
  <c r="A8" i="14"/>
  <c r="A90" i="14" s="1"/>
  <c r="A7" i="14"/>
  <c r="A89" i="14" s="1"/>
  <c r="A100" i="14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C59" i="14"/>
  <c r="C60" i="14" s="1"/>
  <c r="C61" i="14" s="1"/>
  <c r="C62" i="14" s="1"/>
  <c r="C63" i="14" s="1"/>
  <c r="C64" i="14" s="1"/>
  <c r="C65" i="14" s="1"/>
  <c r="C66" i="14" s="1"/>
  <c r="C67" i="14" s="1"/>
  <c r="C68" i="14" s="1"/>
  <c r="C69" i="14" s="1"/>
  <c r="A58" i="14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18" i="14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E13" i="13"/>
  <c r="E53" i="13" s="1"/>
  <c r="C78" i="13" s="1"/>
  <c r="C123" i="13" s="1"/>
  <c r="G18" i="13"/>
  <c r="A100" i="13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M78" i="13"/>
  <c r="K78" i="13"/>
  <c r="E78" i="13"/>
  <c r="E123" i="13" s="1"/>
  <c r="C59" i="13"/>
  <c r="C60" i="13" s="1"/>
  <c r="C61" i="13" s="1"/>
  <c r="C62" i="13" s="1"/>
  <c r="C63" i="13" s="1"/>
  <c r="C64" i="13" s="1"/>
  <c r="C65" i="13" s="1"/>
  <c r="C66" i="13" s="1"/>
  <c r="C67" i="13" s="1"/>
  <c r="C68" i="13" s="1"/>
  <c r="C69" i="13" s="1"/>
  <c r="A58" i="13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E18" i="13"/>
  <c r="C18" i="13"/>
  <c r="A18" i="13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E17" i="13"/>
  <c r="C17" i="13"/>
  <c r="C57" i="13" s="1"/>
  <c r="A10" i="13"/>
  <c r="A8" i="13"/>
  <c r="A48" i="13" s="1"/>
  <c r="A7" i="13"/>
  <c r="A47" i="13" s="1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A8" i="12"/>
  <c r="A225" i="12" s="1"/>
  <c r="A7" i="12"/>
  <c r="A324" i="12" s="1"/>
  <c r="D345" i="12"/>
  <c r="A333" i="12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D20" i="11"/>
  <c r="D21" i="11" s="1"/>
  <c r="D22" i="11" s="1"/>
  <c r="D23" i="11" s="1"/>
  <c r="D24" i="11" s="1"/>
  <c r="D25" i="11" s="1"/>
  <c r="D26" i="11" s="1"/>
  <c r="D27" i="11" s="1"/>
  <c r="D28" i="11" s="1"/>
  <c r="E29" i="15" s="1"/>
  <c r="B18" i="1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J17" i="11"/>
  <c r="J16" i="11"/>
  <c r="E78" i="17" s="1"/>
  <c r="E123" i="17" s="1"/>
  <c r="B233" i="8"/>
  <c r="B232" i="8"/>
  <c r="B231" i="8"/>
  <c r="B225" i="8"/>
  <c r="A6" i="8"/>
  <c r="A218" i="8" s="1"/>
  <c r="A5" i="8"/>
  <c r="A217" i="8" s="1"/>
  <c r="M78" i="10"/>
  <c r="K78" i="10"/>
  <c r="E13" i="10"/>
  <c r="A10" i="10"/>
  <c r="A8" i="10"/>
  <c r="A7" i="10"/>
  <c r="A100" i="10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C59" i="10"/>
  <c r="C60" i="10" s="1"/>
  <c r="C61" i="10" s="1"/>
  <c r="C62" i="10" s="1"/>
  <c r="C63" i="10" s="1"/>
  <c r="C64" i="10" s="1"/>
  <c r="C65" i="10" s="1"/>
  <c r="C66" i="10" s="1"/>
  <c r="C67" i="10" s="1"/>
  <c r="C68" i="10" s="1"/>
  <c r="C69" i="10" s="1"/>
  <c r="A58" i="10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18" i="10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C22" i="9"/>
  <c r="C21" i="9"/>
  <c r="E20" i="9"/>
  <c r="E20" i="13" s="1"/>
  <c r="C20" i="9"/>
  <c r="E19" i="9"/>
  <c r="E19" i="13" s="1"/>
  <c r="E18" i="9"/>
  <c r="E18" i="10" s="1"/>
  <c r="C18" i="9"/>
  <c r="C18" i="10" s="1"/>
  <c r="C100" i="10" s="1"/>
  <c r="C101" i="10" s="1"/>
  <c r="C102" i="10" s="1"/>
  <c r="C103" i="10" s="1"/>
  <c r="C104" i="10" s="1"/>
  <c r="C105" i="10" s="1"/>
  <c r="C106" i="10" s="1"/>
  <c r="C107" i="10" s="1"/>
  <c r="C108" i="10" s="1"/>
  <c r="C109" i="10" s="1"/>
  <c r="C110" i="10" s="1"/>
  <c r="C111" i="10" s="1"/>
  <c r="G17" i="9"/>
  <c r="G17" i="13" s="1"/>
  <c r="E17" i="9"/>
  <c r="E17" i="10" s="1"/>
  <c r="C17" i="9"/>
  <c r="C17" i="10" s="1"/>
  <c r="A8" i="9"/>
  <c r="A7" i="9"/>
  <c r="A18" i="9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D234" i="8"/>
  <c r="D238" i="8" s="1"/>
  <c r="A226" i="8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J16" i="7"/>
  <c r="E78" i="10" s="1"/>
  <c r="G78" i="10" s="1"/>
  <c r="J17" i="7"/>
  <c r="D20" i="7"/>
  <c r="D21" i="7" s="1"/>
  <c r="D22" i="7" s="1"/>
  <c r="D23" i="7" s="1"/>
  <c r="D24" i="7" s="1"/>
  <c r="D25" i="7" s="1"/>
  <c r="E26" i="9" s="1"/>
  <c r="B18" i="7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C29" i="9" s="1"/>
  <c r="C59" i="5"/>
  <c r="B19" i="18" l="1"/>
  <c r="C19" i="20"/>
  <c r="B171" i="19"/>
  <c r="C18" i="16"/>
  <c r="C100" i="16" s="1"/>
  <c r="C101" i="16" s="1"/>
  <c r="C102" i="16" s="1"/>
  <c r="C103" i="16" s="1"/>
  <c r="C104" i="16" s="1"/>
  <c r="C105" i="16" s="1"/>
  <c r="C106" i="16" s="1"/>
  <c r="C107" i="16" s="1"/>
  <c r="C108" i="16" s="1"/>
  <c r="C109" i="16" s="1"/>
  <c r="C110" i="16" s="1"/>
  <c r="C111" i="16" s="1"/>
  <c r="E18" i="16"/>
  <c r="C18" i="17"/>
  <c r="C100" i="17" s="1"/>
  <c r="C101" i="17" s="1"/>
  <c r="C102" i="17" s="1"/>
  <c r="C103" i="17" s="1"/>
  <c r="C104" i="17" s="1"/>
  <c r="C105" i="17" s="1"/>
  <c r="C106" i="17" s="1"/>
  <c r="C107" i="17" s="1"/>
  <c r="C108" i="17" s="1"/>
  <c r="C109" i="17" s="1"/>
  <c r="C110" i="17" s="1"/>
  <c r="C111" i="17" s="1"/>
  <c r="E19" i="16"/>
  <c r="E18" i="17"/>
  <c r="I18" i="17" s="1"/>
  <c r="E20" i="16"/>
  <c r="E19" i="17"/>
  <c r="E20" i="17"/>
  <c r="I17" i="15"/>
  <c r="G78" i="16"/>
  <c r="C21" i="15"/>
  <c r="C22" i="15"/>
  <c r="C23" i="15"/>
  <c r="C24" i="15"/>
  <c r="E19" i="10"/>
  <c r="B234" i="8"/>
  <c r="C24" i="9"/>
  <c r="C28" i="9"/>
  <c r="C23" i="9"/>
  <c r="C26" i="9"/>
  <c r="B226" i="8"/>
  <c r="E20" i="10"/>
  <c r="B227" i="8"/>
  <c r="B236" i="8"/>
  <c r="C25" i="9"/>
  <c r="C27" i="9"/>
  <c r="B228" i="8"/>
  <c r="C19" i="9"/>
  <c r="B229" i="8"/>
  <c r="B235" i="8"/>
  <c r="B230" i="8"/>
  <c r="E26" i="15"/>
  <c r="E26" i="16" s="1"/>
  <c r="E21" i="15"/>
  <c r="E21" i="16" s="1"/>
  <c r="E61" i="16" s="1"/>
  <c r="E23" i="15"/>
  <c r="E22" i="9"/>
  <c r="E22" i="10" s="1"/>
  <c r="E62" i="10" s="1"/>
  <c r="E25" i="15"/>
  <c r="E25" i="16" s="1"/>
  <c r="I25" i="16" s="1"/>
  <c r="E22" i="15"/>
  <c r="E22" i="14" s="1"/>
  <c r="E21" i="14"/>
  <c r="E21" i="17"/>
  <c r="E26" i="10"/>
  <c r="E66" i="10" s="1"/>
  <c r="E26" i="13"/>
  <c r="E66" i="13" s="1"/>
  <c r="D21" i="18"/>
  <c r="E21" i="20"/>
  <c r="I21" i="20" s="1"/>
  <c r="E26" i="17"/>
  <c r="E23" i="16"/>
  <c r="E25" i="9"/>
  <c r="E22" i="13"/>
  <c r="E62" i="13" s="1"/>
  <c r="E25" i="17"/>
  <c r="E25" i="14"/>
  <c r="E23" i="9"/>
  <c r="E24" i="9"/>
  <c r="E24" i="15"/>
  <c r="E26" i="14"/>
  <c r="E21" i="9"/>
  <c r="E57" i="24"/>
  <c r="G21" i="24"/>
  <c r="G27" i="24"/>
  <c r="G25" i="24"/>
  <c r="G23" i="24"/>
  <c r="G24" i="24"/>
  <c r="G22" i="24"/>
  <c r="I15" i="24"/>
  <c r="G56" i="24"/>
  <c r="I20" i="20"/>
  <c r="G18" i="24"/>
  <c r="G26" i="24"/>
  <c r="I19" i="20"/>
  <c r="G17" i="24"/>
  <c r="G20" i="24"/>
  <c r="I18" i="20"/>
  <c r="G16" i="24"/>
  <c r="G30" i="20"/>
  <c r="G32" i="20" s="1"/>
  <c r="G19" i="24"/>
  <c r="G17" i="16"/>
  <c r="I17" i="16" s="1"/>
  <c r="G18" i="16"/>
  <c r="G58" i="16" s="1"/>
  <c r="G24" i="14"/>
  <c r="G25" i="17"/>
  <c r="I17" i="17"/>
  <c r="G28" i="9"/>
  <c r="G18" i="10"/>
  <c r="E27" i="15"/>
  <c r="E29" i="16"/>
  <c r="E29" i="14"/>
  <c r="E28" i="15"/>
  <c r="E28" i="17" s="1"/>
  <c r="E29" i="17"/>
  <c r="G78" i="17"/>
  <c r="A47" i="17"/>
  <c r="A48" i="17"/>
  <c r="G57" i="17"/>
  <c r="E95" i="17"/>
  <c r="C99" i="17"/>
  <c r="G123" i="16"/>
  <c r="E66" i="16"/>
  <c r="E57" i="16"/>
  <c r="G57" i="16"/>
  <c r="G65" i="16"/>
  <c r="A47" i="16"/>
  <c r="A89" i="16"/>
  <c r="A48" i="16"/>
  <c r="A90" i="16"/>
  <c r="E53" i="16"/>
  <c r="C78" i="16" s="1"/>
  <c r="C123" i="16" s="1"/>
  <c r="C57" i="16"/>
  <c r="G21" i="15"/>
  <c r="G23" i="15"/>
  <c r="G28" i="15"/>
  <c r="G29" i="15"/>
  <c r="G18" i="15"/>
  <c r="G26" i="15"/>
  <c r="G27" i="15"/>
  <c r="G20" i="15"/>
  <c r="G25" i="15"/>
  <c r="G22" i="15"/>
  <c r="G19" i="15"/>
  <c r="A47" i="14"/>
  <c r="E53" i="14"/>
  <c r="C78" i="14" s="1"/>
  <c r="C123" i="14" s="1"/>
  <c r="G78" i="14"/>
  <c r="G64" i="14" s="1"/>
  <c r="C57" i="14"/>
  <c r="I17" i="14"/>
  <c r="A48" i="14"/>
  <c r="C100" i="14"/>
  <c r="C101" i="14" s="1"/>
  <c r="C102" i="14" s="1"/>
  <c r="C103" i="14" s="1"/>
  <c r="C104" i="14" s="1"/>
  <c r="C105" i="14" s="1"/>
  <c r="C106" i="14" s="1"/>
  <c r="C107" i="14" s="1"/>
  <c r="C108" i="14" s="1"/>
  <c r="C109" i="14" s="1"/>
  <c r="C110" i="14" s="1"/>
  <c r="C111" i="14" s="1"/>
  <c r="C19" i="14"/>
  <c r="C20" i="14" s="1"/>
  <c r="C21" i="14" s="1"/>
  <c r="C22" i="14" s="1"/>
  <c r="C23" i="14" s="1"/>
  <c r="C24" i="14" s="1"/>
  <c r="C25" i="14" s="1"/>
  <c r="C26" i="14" s="1"/>
  <c r="C27" i="14" s="1"/>
  <c r="C28" i="14" s="1"/>
  <c r="C29" i="14" s="1"/>
  <c r="E95" i="13"/>
  <c r="C99" i="13"/>
  <c r="A90" i="13"/>
  <c r="E60" i="13"/>
  <c r="C100" i="13"/>
  <c r="C101" i="13" s="1"/>
  <c r="C102" i="13" s="1"/>
  <c r="C103" i="13" s="1"/>
  <c r="C104" i="13" s="1"/>
  <c r="C105" i="13" s="1"/>
  <c r="C106" i="13" s="1"/>
  <c r="C107" i="13" s="1"/>
  <c r="C108" i="13" s="1"/>
  <c r="C109" i="13" s="1"/>
  <c r="C110" i="13" s="1"/>
  <c r="C111" i="13" s="1"/>
  <c r="C19" i="13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G78" i="13"/>
  <c r="G58" i="13" s="1"/>
  <c r="A89" i="13"/>
  <c r="I17" i="13"/>
  <c r="I18" i="13"/>
  <c r="A325" i="12"/>
  <c r="A224" i="12"/>
  <c r="D26" i="7"/>
  <c r="E123" i="10"/>
  <c r="C99" i="10"/>
  <c r="C57" i="10"/>
  <c r="G58" i="10"/>
  <c r="G123" i="10"/>
  <c r="E57" i="10"/>
  <c r="E58" i="10"/>
  <c r="E60" i="10"/>
  <c r="E59" i="10"/>
  <c r="A89" i="10"/>
  <c r="A47" i="10"/>
  <c r="A90" i="10"/>
  <c r="A48" i="10"/>
  <c r="E53" i="10"/>
  <c r="C78" i="10" s="1"/>
  <c r="C123" i="10" s="1"/>
  <c r="E95" i="10"/>
  <c r="I18" i="10"/>
  <c r="C19" i="10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G29" i="9"/>
  <c r="G29" i="10" s="1"/>
  <c r="G69" i="10" s="1"/>
  <c r="G19" i="9"/>
  <c r="G23" i="9"/>
  <c r="G27" i="9"/>
  <c r="G25" i="9"/>
  <c r="I17" i="9"/>
  <c r="G21" i="9"/>
  <c r="G18" i="9"/>
  <c r="G22" i="9"/>
  <c r="G26" i="9"/>
  <c r="G20" i="9"/>
  <c r="G24" i="9"/>
  <c r="A138" i="8"/>
  <c r="A139" i="8"/>
  <c r="B20" i="18" l="1"/>
  <c r="C20" i="20"/>
  <c r="B172" i="19"/>
  <c r="I25" i="17"/>
  <c r="C19" i="16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E59" i="16"/>
  <c r="E65" i="16"/>
  <c r="E60" i="16"/>
  <c r="E69" i="16"/>
  <c r="E58" i="16"/>
  <c r="E63" i="16"/>
  <c r="C19" i="17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I18" i="16"/>
  <c r="E22" i="17"/>
  <c r="I65" i="16"/>
  <c r="E23" i="14"/>
  <c r="E23" i="17"/>
  <c r="E22" i="16"/>
  <c r="E62" i="16" s="1"/>
  <c r="E24" i="10"/>
  <c r="E64" i="10" s="1"/>
  <c r="E24" i="13"/>
  <c r="E64" i="13" s="1"/>
  <c r="E24" i="14"/>
  <c r="I24" i="14" s="1"/>
  <c r="E24" i="17"/>
  <c r="E64" i="17" s="1"/>
  <c r="E24" i="16"/>
  <c r="E64" i="16" s="1"/>
  <c r="E23" i="10"/>
  <c r="E63" i="10" s="1"/>
  <c r="E23" i="13"/>
  <c r="E63" i="13" s="1"/>
  <c r="E25" i="10"/>
  <c r="E65" i="10" s="1"/>
  <c r="E25" i="13"/>
  <c r="E65" i="13" s="1"/>
  <c r="E19" i="24"/>
  <c r="I19" i="24" s="1"/>
  <c r="E21" i="13"/>
  <c r="E61" i="13" s="1"/>
  <c r="E21" i="10"/>
  <c r="E61" i="10" s="1"/>
  <c r="D22" i="18"/>
  <c r="E22" i="20"/>
  <c r="I24" i="15"/>
  <c r="G67" i="24"/>
  <c r="I18" i="24"/>
  <c r="G59" i="24"/>
  <c r="I59" i="24" s="1"/>
  <c r="I56" i="24"/>
  <c r="G98" i="24"/>
  <c r="G63" i="24"/>
  <c r="G61" i="24"/>
  <c r="G65" i="24"/>
  <c r="G60" i="24"/>
  <c r="G64" i="24"/>
  <c r="G66" i="24"/>
  <c r="G28" i="24"/>
  <c r="G30" i="24" s="1"/>
  <c r="I16" i="24"/>
  <c r="G57" i="24"/>
  <c r="I57" i="24" s="1"/>
  <c r="G68" i="24"/>
  <c r="G62" i="24"/>
  <c r="I17" i="24"/>
  <c r="G58" i="24"/>
  <c r="I58" i="24" s="1"/>
  <c r="E100" i="24"/>
  <c r="E30" i="15"/>
  <c r="E32" i="15" s="1"/>
  <c r="E27" i="17"/>
  <c r="I29" i="15"/>
  <c r="G29" i="14"/>
  <c r="G69" i="14" s="1"/>
  <c r="I27" i="15"/>
  <c r="G28" i="16"/>
  <c r="G68" i="16" s="1"/>
  <c r="G28" i="17"/>
  <c r="I28" i="17" s="1"/>
  <c r="G27" i="14"/>
  <c r="I26" i="15"/>
  <c r="G27" i="16"/>
  <c r="G67" i="16" s="1"/>
  <c r="G27" i="17"/>
  <c r="G67" i="17" s="1"/>
  <c r="G26" i="14"/>
  <c r="I26" i="14" s="1"/>
  <c r="I18" i="15"/>
  <c r="G19" i="16"/>
  <c r="G19" i="17"/>
  <c r="G18" i="14"/>
  <c r="G29" i="16"/>
  <c r="G69" i="16" s="1"/>
  <c r="G29" i="17"/>
  <c r="G69" i="17" s="1"/>
  <c r="G28" i="14"/>
  <c r="G68" i="14" s="1"/>
  <c r="I23" i="15"/>
  <c r="G24" i="17"/>
  <c r="G23" i="14"/>
  <c r="G24" i="16"/>
  <c r="I21" i="15"/>
  <c r="G22" i="16"/>
  <c r="G22" i="17"/>
  <c r="I22" i="17" s="1"/>
  <c r="G21" i="14"/>
  <c r="I21" i="14" s="1"/>
  <c r="G61" i="17"/>
  <c r="I19" i="15"/>
  <c r="G20" i="16"/>
  <c r="G20" i="17"/>
  <c r="I20" i="17" s="1"/>
  <c r="G19" i="14"/>
  <c r="I19" i="14" s="1"/>
  <c r="I22" i="15"/>
  <c r="G23" i="17"/>
  <c r="G23" i="16"/>
  <c r="G22" i="14"/>
  <c r="I22" i="14" s="1"/>
  <c r="G30" i="15"/>
  <c r="G32" i="15" s="1"/>
  <c r="I25" i="15"/>
  <c r="G26" i="16"/>
  <c r="G26" i="17"/>
  <c r="I26" i="17" s="1"/>
  <c r="G25" i="14"/>
  <c r="I20" i="15"/>
  <c r="G21" i="17"/>
  <c r="I21" i="17" s="1"/>
  <c r="G20" i="14"/>
  <c r="I20" i="14" s="1"/>
  <c r="G21" i="16"/>
  <c r="I23" i="9"/>
  <c r="G24" i="13"/>
  <c r="G23" i="10"/>
  <c r="I24" i="9"/>
  <c r="G25" i="13"/>
  <c r="G24" i="10"/>
  <c r="I20" i="9"/>
  <c r="G20" i="10"/>
  <c r="G21" i="13"/>
  <c r="I22" i="9"/>
  <c r="G22" i="10"/>
  <c r="G17" i="10"/>
  <c r="G30" i="10" s="1"/>
  <c r="G23" i="13"/>
  <c r="I19" i="9"/>
  <c r="G20" i="13"/>
  <c r="G19" i="10"/>
  <c r="I18" i="9"/>
  <c r="G19" i="13"/>
  <c r="I21" i="9"/>
  <c r="G21" i="10"/>
  <c r="G22" i="13"/>
  <c r="I22" i="13" s="1"/>
  <c r="I26" i="9"/>
  <c r="G26" i="10"/>
  <c r="G27" i="13"/>
  <c r="G28" i="10"/>
  <c r="G68" i="10" s="1"/>
  <c r="G29" i="13"/>
  <c r="G28" i="13"/>
  <c r="G27" i="10"/>
  <c r="G67" i="10" s="1"/>
  <c r="I25" i="9"/>
  <c r="G26" i="13"/>
  <c r="G25" i="10"/>
  <c r="I28" i="15"/>
  <c r="E27" i="16"/>
  <c r="E27" i="14"/>
  <c r="E67" i="14" s="1"/>
  <c r="E28" i="16"/>
  <c r="E28" i="14"/>
  <c r="E68" i="17"/>
  <c r="E65" i="17"/>
  <c r="G99" i="17"/>
  <c r="E62" i="17"/>
  <c r="E63" i="17"/>
  <c r="E59" i="17"/>
  <c r="G123" i="17"/>
  <c r="E66" i="17"/>
  <c r="E69" i="17"/>
  <c r="G58" i="17"/>
  <c r="E58" i="17"/>
  <c r="G65" i="17"/>
  <c r="E61" i="17"/>
  <c r="E60" i="17"/>
  <c r="E57" i="17"/>
  <c r="E99" i="16"/>
  <c r="E100" i="16"/>
  <c r="G99" i="16"/>
  <c r="I57" i="16"/>
  <c r="I58" i="16"/>
  <c r="E65" i="14"/>
  <c r="E58" i="14"/>
  <c r="G123" i="14"/>
  <c r="E59" i="14"/>
  <c r="E63" i="14"/>
  <c r="G67" i="14"/>
  <c r="E60" i="14"/>
  <c r="E66" i="14"/>
  <c r="E62" i="14"/>
  <c r="E69" i="14"/>
  <c r="E57" i="14"/>
  <c r="E61" i="14"/>
  <c r="G57" i="14"/>
  <c r="G123" i="13"/>
  <c r="G59" i="13"/>
  <c r="G63" i="13"/>
  <c r="G57" i="13"/>
  <c r="E59" i="13"/>
  <c r="E57" i="13"/>
  <c r="E58" i="13"/>
  <c r="I58" i="13" s="1"/>
  <c r="E27" i="9"/>
  <c r="D27" i="7"/>
  <c r="E99" i="10"/>
  <c r="E100" i="10"/>
  <c r="I58" i="10"/>
  <c r="G30" i="9"/>
  <c r="G32" i="9" s="1"/>
  <c r="B196" i="6"/>
  <c r="B21" i="18" l="1"/>
  <c r="C21" i="20"/>
  <c r="B173" i="19"/>
  <c r="I69" i="16"/>
  <c r="G68" i="17"/>
  <c r="I68" i="17" s="1"/>
  <c r="I23" i="17"/>
  <c r="G62" i="17"/>
  <c r="G62" i="14"/>
  <c r="I24" i="17"/>
  <c r="G30" i="13"/>
  <c r="I23" i="14"/>
  <c r="E30" i="17"/>
  <c r="E32" i="17" s="1"/>
  <c r="I23" i="13"/>
  <c r="E20" i="24"/>
  <c r="I22" i="20"/>
  <c r="I65" i="17"/>
  <c r="D23" i="18"/>
  <c r="E23" i="20"/>
  <c r="E60" i="24"/>
  <c r="E64" i="14"/>
  <c r="I64" i="14" s="1"/>
  <c r="E27" i="13"/>
  <c r="E67" i="17"/>
  <c r="E70" i="17" s="1"/>
  <c r="E101" i="24"/>
  <c r="G69" i="24"/>
  <c r="I98" i="24"/>
  <c r="G99" i="24"/>
  <c r="E30" i="14"/>
  <c r="E32" i="14" s="1"/>
  <c r="E30" i="16"/>
  <c r="E32" i="16" s="1"/>
  <c r="I29" i="17"/>
  <c r="I27" i="14"/>
  <c r="I29" i="14"/>
  <c r="G63" i="14"/>
  <c r="I63" i="14" s="1"/>
  <c r="G64" i="17"/>
  <c r="I64" i="17" s="1"/>
  <c r="G60" i="17"/>
  <c r="I60" i="17" s="1"/>
  <c r="I61" i="17"/>
  <c r="G30" i="14"/>
  <c r="G32" i="14" s="1"/>
  <c r="G58" i="14"/>
  <c r="I58" i="14" s="1"/>
  <c r="I18" i="14"/>
  <c r="G30" i="16"/>
  <c r="G32" i="16" s="1"/>
  <c r="I19" i="16"/>
  <c r="G59" i="16"/>
  <c r="I30" i="15"/>
  <c r="I32" i="15" s="1"/>
  <c r="I35" i="15" s="1"/>
  <c r="I20" i="16"/>
  <c r="G60" i="16"/>
  <c r="I60" i="16" s="1"/>
  <c r="G59" i="14"/>
  <c r="I59" i="14" s="1"/>
  <c r="G61" i="16"/>
  <c r="I61" i="16" s="1"/>
  <c r="I21" i="16"/>
  <c r="I29" i="16"/>
  <c r="G61" i="14"/>
  <c r="I61" i="14" s="1"/>
  <c r="G65" i="14"/>
  <c r="I65" i="14" s="1"/>
  <c r="I25" i="14"/>
  <c r="I22" i="16"/>
  <c r="G62" i="16"/>
  <c r="I62" i="16" s="1"/>
  <c r="I19" i="17"/>
  <c r="G30" i="17"/>
  <c r="G32" i="17" s="1"/>
  <c r="I69" i="14"/>
  <c r="I26" i="16"/>
  <c r="G66" i="16"/>
  <c r="I66" i="16" s="1"/>
  <c r="G64" i="16"/>
  <c r="I64" i="16" s="1"/>
  <c r="I24" i="16"/>
  <c r="I27" i="17"/>
  <c r="G59" i="17"/>
  <c r="I59" i="17" s="1"/>
  <c r="G66" i="14"/>
  <c r="I66" i="14" s="1"/>
  <c r="G66" i="17"/>
  <c r="I66" i="17" s="1"/>
  <c r="G63" i="17"/>
  <c r="I63" i="17" s="1"/>
  <c r="G60" i="14"/>
  <c r="I60" i="14" s="1"/>
  <c r="I23" i="16"/>
  <c r="G63" i="16"/>
  <c r="I63" i="16" s="1"/>
  <c r="G61" i="10"/>
  <c r="I61" i="10" s="1"/>
  <c r="I21" i="10"/>
  <c r="I19" i="13"/>
  <c r="G32" i="13"/>
  <c r="I24" i="10"/>
  <c r="G64" i="10"/>
  <c r="I64" i="10" s="1"/>
  <c r="I20" i="10"/>
  <c r="G60" i="10"/>
  <c r="I60" i="10" s="1"/>
  <c r="G65" i="13"/>
  <c r="I65" i="13" s="1"/>
  <c r="I25" i="13"/>
  <c r="I22" i="10"/>
  <c r="G62" i="10"/>
  <c r="I62" i="10" s="1"/>
  <c r="G62" i="13"/>
  <c r="I62" i="13" s="1"/>
  <c r="I20" i="13"/>
  <c r="G60" i="13"/>
  <c r="I60" i="13" s="1"/>
  <c r="I23" i="10"/>
  <c r="G63" i="10"/>
  <c r="I63" i="10" s="1"/>
  <c r="I17" i="10"/>
  <c r="G57" i="10"/>
  <c r="I21" i="13"/>
  <c r="G61" i="13"/>
  <c r="I61" i="13" s="1"/>
  <c r="G65" i="10"/>
  <c r="I65" i="10" s="1"/>
  <c r="I25" i="10"/>
  <c r="I26" i="13"/>
  <c r="G66" i="13"/>
  <c r="I66" i="13" s="1"/>
  <c r="I19" i="10"/>
  <c r="G59" i="10"/>
  <c r="I59" i="10" s="1"/>
  <c r="G32" i="10"/>
  <c r="G67" i="13"/>
  <c r="G68" i="13"/>
  <c r="G69" i="13"/>
  <c r="I24" i="13"/>
  <c r="G64" i="13"/>
  <c r="I64" i="13" s="1"/>
  <c r="I26" i="10"/>
  <c r="G66" i="10"/>
  <c r="I66" i="10" s="1"/>
  <c r="I27" i="16"/>
  <c r="E67" i="16"/>
  <c r="I67" i="16" s="1"/>
  <c r="I28" i="14"/>
  <c r="E68" i="14"/>
  <c r="I68" i="14" s="1"/>
  <c r="E68" i="16"/>
  <c r="I28" i="16"/>
  <c r="I69" i="17"/>
  <c r="E100" i="17"/>
  <c r="E99" i="17"/>
  <c r="I57" i="17"/>
  <c r="I99" i="17"/>
  <c r="G100" i="17"/>
  <c r="I58" i="17"/>
  <c r="I62" i="17"/>
  <c r="I99" i="16"/>
  <c r="G100" i="16"/>
  <c r="E101" i="16"/>
  <c r="E102" i="16" s="1"/>
  <c r="E103" i="16" s="1"/>
  <c r="E104" i="16" s="1"/>
  <c r="E105" i="16" s="1"/>
  <c r="E106" i="16" s="1"/>
  <c r="E107" i="16" s="1"/>
  <c r="E108" i="16" s="1"/>
  <c r="I62" i="14"/>
  <c r="I67" i="14"/>
  <c r="G99" i="14"/>
  <c r="I57" i="14"/>
  <c r="E99" i="14"/>
  <c r="E100" i="14"/>
  <c r="I63" i="13"/>
  <c r="E99" i="13"/>
  <c r="E100" i="13"/>
  <c r="G99" i="13"/>
  <c r="I57" i="13"/>
  <c r="I59" i="13"/>
  <c r="D28" i="7"/>
  <c r="E29" i="9" s="1"/>
  <c r="E29" i="13" s="1"/>
  <c r="E69" i="13" s="1"/>
  <c r="E28" i="9"/>
  <c r="E28" i="13" s="1"/>
  <c r="E68" i="13" s="1"/>
  <c r="E27" i="10"/>
  <c r="I27" i="9"/>
  <c r="E101" i="10"/>
  <c r="E102" i="10" s="1"/>
  <c r="E103" i="10" s="1"/>
  <c r="E104" i="10" s="1"/>
  <c r="E105" i="10" s="1"/>
  <c r="E106" i="10" s="1"/>
  <c r="E107" i="10" s="1"/>
  <c r="E108" i="10" s="1"/>
  <c r="B40" i="2"/>
  <c r="A37" i="2"/>
  <c r="B22" i="18" l="1"/>
  <c r="C22" i="20"/>
  <c r="B174" i="19"/>
  <c r="E109" i="16"/>
  <c r="E110" i="16" s="1"/>
  <c r="E111" i="16" s="1"/>
  <c r="I67" i="17"/>
  <c r="D24" i="18"/>
  <c r="E24" i="20"/>
  <c r="I60" i="24"/>
  <c r="E102" i="24"/>
  <c r="E61" i="24"/>
  <c r="I61" i="24" s="1"/>
  <c r="I20" i="24"/>
  <c r="E70" i="14"/>
  <c r="E21" i="24"/>
  <c r="I23" i="20"/>
  <c r="I29" i="13"/>
  <c r="I28" i="13"/>
  <c r="I69" i="13"/>
  <c r="E30" i="9"/>
  <c r="E32" i="9" s="1"/>
  <c r="E30" i="13"/>
  <c r="E32" i="13" s="1"/>
  <c r="E67" i="13"/>
  <c r="E70" i="13" s="1"/>
  <c r="I68" i="13"/>
  <c r="I27" i="13"/>
  <c r="I30" i="13" s="1"/>
  <c r="I32" i="13" s="1"/>
  <c r="I35" i="13" s="1"/>
  <c r="G100" i="24"/>
  <c r="I99" i="24"/>
  <c r="G70" i="17"/>
  <c r="G70" i="14"/>
  <c r="I30" i="17"/>
  <c r="I32" i="17" s="1"/>
  <c r="I35" i="17" s="1"/>
  <c r="I59" i="16"/>
  <c r="G70" i="16"/>
  <c r="I30" i="16"/>
  <c r="I32" i="16" s="1"/>
  <c r="I35" i="16" s="1"/>
  <c r="I30" i="14"/>
  <c r="I32" i="14" s="1"/>
  <c r="I35" i="14" s="1"/>
  <c r="G99" i="10"/>
  <c r="G70" i="10"/>
  <c r="I57" i="10"/>
  <c r="G70" i="13"/>
  <c r="I68" i="16"/>
  <c r="E70" i="16"/>
  <c r="I70" i="14"/>
  <c r="I72" i="14" s="1"/>
  <c r="I70" i="17"/>
  <c r="I72" i="17" s="1"/>
  <c r="M72" i="17" s="1"/>
  <c r="M57" i="17" s="1"/>
  <c r="G101" i="17"/>
  <c r="I100" i="17"/>
  <c r="E101" i="17"/>
  <c r="E102" i="17" s="1"/>
  <c r="E103" i="17" s="1"/>
  <c r="E104" i="17" s="1"/>
  <c r="E105" i="17" s="1"/>
  <c r="E106" i="17" s="1"/>
  <c r="E107" i="17" s="1"/>
  <c r="E108" i="17" s="1"/>
  <c r="E109" i="17" s="1"/>
  <c r="E110" i="17" s="1"/>
  <c r="E111" i="17" s="1"/>
  <c r="E112" i="17" s="1"/>
  <c r="E114" i="17" s="1"/>
  <c r="G101" i="16"/>
  <c r="I100" i="16"/>
  <c r="E101" i="14"/>
  <c r="E102" i="14" s="1"/>
  <c r="E103" i="14" s="1"/>
  <c r="E104" i="14" s="1"/>
  <c r="E105" i="14" s="1"/>
  <c r="E106" i="14" s="1"/>
  <c r="E107" i="14" s="1"/>
  <c r="E108" i="14" s="1"/>
  <c r="E109" i="14" s="1"/>
  <c r="E110" i="14" s="1"/>
  <c r="E111" i="14" s="1"/>
  <c r="I99" i="14"/>
  <c r="G100" i="14"/>
  <c r="I99" i="13"/>
  <c r="G100" i="13"/>
  <c r="E101" i="13"/>
  <c r="E102" i="13" s="1"/>
  <c r="E103" i="13" s="1"/>
  <c r="E104" i="13" s="1"/>
  <c r="E105" i="13" s="1"/>
  <c r="E106" i="13" s="1"/>
  <c r="E107" i="13" s="1"/>
  <c r="E108" i="13" s="1"/>
  <c r="E67" i="10"/>
  <c r="E109" i="10" s="1"/>
  <c r="I27" i="10"/>
  <c r="E28" i="10"/>
  <c r="I28" i="9"/>
  <c r="E29" i="10"/>
  <c r="I29" i="9"/>
  <c r="J16" i="3"/>
  <c r="B23" i="18" l="1"/>
  <c r="C23" i="20"/>
  <c r="B175" i="19"/>
  <c r="E103" i="24"/>
  <c r="E112" i="16"/>
  <c r="E114" i="16" s="1"/>
  <c r="E22" i="24"/>
  <c r="I24" i="20"/>
  <c r="D25" i="18"/>
  <c r="E25" i="20"/>
  <c r="E62" i="24"/>
  <c r="I62" i="24" s="1"/>
  <c r="I21" i="24"/>
  <c r="I67" i="13"/>
  <c r="I70" i="13" s="1"/>
  <c r="I72" i="13" s="1"/>
  <c r="M72" i="13" s="1"/>
  <c r="M57" i="13" s="1"/>
  <c r="M99" i="13" s="1"/>
  <c r="E30" i="10"/>
  <c r="E32" i="10" s="1"/>
  <c r="E109" i="13"/>
  <c r="E110" i="13" s="1"/>
  <c r="E111" i="13" s="1"/>
  <c r="G101" i="24"/>
  <c r="I100" i="24"/>
  <c r="L14" i="2"/>
  <c r="P14" i="2" s="1"/>
  <c r="I70" i="16"/>
  <c r="I72" i="16" s="1"/>
  <c r="M72" i="16" s="1"/>
  <c r="M57" i="16" s="1"/>
  <c r="I30" i="9"/>
  <c r="I32" i="9" s="1"/>
  <c r="I35" i="9" s="1"/>
  <c r="I99" i="10"/>
  <c r="G100" i="10"/>
  <c r="M72" i="14"/>
  <c r="M57" i="14" s="1"/>
  <c r="R39" i="2"/>
  <c r="I101" i="17"/>
  <c r="G102" i="17"/>
  <c r="M58" i="17"/>
  <c r="M59" i="17" s="1"/>
  <c r="M60" i="17" s="1"/>
  <c r="M61" i="17" s="1"/>
  <c r="M62" i="17" s="1"/>
  <c r="M63" i="17" s="1"/>
  <c r="M64" i="17" s="1"/>
  <c r="M65" i="17" s="1"/>
  <c r="M66" i="17" s="1"/>
  <c r="M67" i="17" s="1"/>
  <c r="M68" i="17" s="1"/>
  <c r="M69" i="17" s="1"/>
  <c r="M99" i="17"/>
  <c r="I101" i="16"/>
  <c r="G102" i="16"/>
  <c r="G101" i="14"/>
  <c r="I100" i="14"/>
  <c r="E112" i="14"/>
  <c r="E114" i="14" s="1"/>
  <c r="I100" i="13"/>
  <c r="G101" i="13"/>
  <c r="E68" i="10"/>
  <c r="I68" i="10" s="1"/>
  <c r="I28" i="10"/>
  <c r="I29" i="10"/>
  <c r="E69" i="10"/>
  <c r="I69" i="10" s="1"/>
  <c r="I67" i="10"/>
  <c r="A38" i="2"/>
  <c r="A39" i="2" s="1"/>
  <c r="A40" i="2" s="1"/>
  <c r="B38" i="2"/>
  <c r="B39" i="2"/>
  <c r="D38" i="2"/>
  <c r="D39" i="2"/>
  <c r="D40" i="2"/>
  <c r="B24" i="18" l="1"/>
  <c r="C24" i="20"/>
  <c r="B176" i="19"/>
  <c r="E112" i="13"/>
  <c r="E114" i="13" s="1"/>
  <c r="E23" i="24"/>
  <c r="I25" i="20"/>
  <c r="D26" i="18"/>
  <c r="E26" i="20"/>
  <c r="E63" i="24"/>
  <c r="I22" i="24"/>
  <c r="E104" i="24"/>
  <c r="I30" i="10"/>
  <c r="I32" i="10" s="1"/>
  <c r="I35" i="10" s="1"/>
  <c r="L13" i="2" s="1"/>
  <c r="P13" i="2" s="1"/>
  <c r="E70" i="10"/>
  <c r="M58" i="13"/>
  <c r="M59" i="13" s="1"/>
  <c r="M60" i="13" s="1"/>
  <c r="M61" i="13" s="1"/>
  <c r="M62" i="13" s="1"/>
  <c r="M63" i="13" s="1"/>
  <c r="M64" i="13" s="1"/>
  <c r="M65" i="13" s="1"/>
  <c r="M66" i="13" s="1"/>
  <c r="M67" i="13" s="1"/>
  <c r="M68" i="13" s="1"/>
  <c r="M69" i="13" s="1"/>
  <c r="G102" i="24"/>
  <c r="I101" i="24"/>
  <c r="M99" i="16"/>
  <c r="M58" i="16"/>
  <c r="I70" i="10"/>
  <c r="I72" i="10" s="1"/>
  <c r="G101" i="10"/>
  <c r="I100" i="10"/>
  <c r="M99" i="14"/>
  <c r="M58" i="14"/>
  <c r="M59" i="14" s="1"/>
  <c r="M60" i="14" s="1"/>
  <c r="M61" i="14" s="1"/>
  <c r="M62" i="14" s="1"/>
  <c r="M63" i="14" s="1"/>
  <c r="M64" i="14" s="1"/>
  <c r="M65" i="14" s="1"/>
  <c r="M66" i="14" s="1"/>
  <c r="M67" i="14" s="1"/>
  <c r="M68" i="14" s="1"/>
  <c r="M69" i="14" s="1"/>
  <c r="G103" i="17"/>
  <c r="I102" i="17"/>
  <c r="M100" i="17"/>
  <c r="M101" i="17" s="1"/>
  <c r="M102" i="17" s="1"/>
  <c r="M103" i="17" s="1"/>
  <c r="M104" i="17" s="1"/>
  <c r="M105" i="17" s="1"/>
  <c r="M106" i="17" s="1"/>
  <c r="M107" i="17" s="1"/>
  <c r="M108" i="17" s="1"/>
  <c r="M109" i="17" s="1"/>
  <c r="M110" i="17" s="1"/>
  <c r="M111" i="17" s="1"/>
  <c r="M70" i="17"/>
  <c r="G103" i="16"/>
  <c r="I102" i="16"/>
  <c r="G102" i="14"/>
  <c r="I101" i="14"/>
  <c r="I101" i="13"/>
  <c r="G102" i="13"/>
  <c r="E110" i="10"/>
  <c r="D20" i="3"/>
  <c r="D21" i="3" s="1"/>
  <c r="D22" i="3" s="1"/>
  <c r="D23" i="3" s="1"/>
  <c r="D24" i="3" s="1"/>
  <c r="D25" i="3" s="1"/>
  <c r="D26" i="3" s="1"/>
  <c r="D27" i="3" s="1"/>
  <c r="D28" i="3" s="1"/>
  <c r="D209" i="6"/>
  <c r="A197" i="6"/>
  <c r="B25" i="18" l="1"/>
  <c r="C25" i="20"/>
  <c r="B177" i="19"/>
  <c r="D27" i="18"/>
  <c r="E27" i="20"/>
  <c r="E105" i="24"/>
  <c r="M70" i="13"/>
  <c r="I63" i="24"/>
  <c r="E24" i="24"/>
  <c r="I26" i="20"/>
  <c r="E64" i="24"/>
  <c r="I64" i="24" s="1"/>
  <c r="I23" i="24"/>
  <c r="M100" i="13"/>
  <c r="M101" i="13" s="1"/>
  <c r="M102" i="13" s="1"/>
  <c r="M103" i="13" s="1"/>
  <c r="M104" i="13" s="1"/>
  <c r="M105" i="13" s="1"/>
  <c r="M106" i="13" s="1"/>
  <c r="M107" i="13" s="1"/>
  <c r="M108" i="13" s="1"/>
  <c r="M109" i="13" s="1"/>
  <c r="M110" i="13" s="1"/>
  <c r="M111" i="13" s="1"/>
  <c r="I102" i="24"/>
  <c r="G103" i="24"/>
  <c r="M59" i="16"/>
  <c r="M60" i="16" s="1"/>
  <c r="M61" i="16" s="1"/>
  <c r="M62" i="16" s="1"/>
  <c r="M63" i="16" s="1"/>
  <c r="M64" i="16" s="1"/>
  <c r="M65" i="16" s="1"/>
  <c r="M66" i="16" s="1"/>
  <c r="M67" i="16" s="1"/>
  <c r="M68" i="16" s="1"/>
  <c r="M69" i="16" s="1"/>
  <c r="M100" i="16"/>
  <c r="I101" i="10"/>
  <c r="G102" i="10"/>
  <c r="M72" i="10"/>
  <c r="M57" i="10" s="1"/>
  <c r="R38" i="2"/>
  <c r="M70" i="14"/>
  <c r="M100" i="14"/>
  <c r="M112" i="17"/>
  <c r="M114" i="17" s="1"/>
  <c r="M117" i="17" s="1"/>
  <c r="I103" i="17"/>
  <c r="G104" i="17"/>
  <c r="G104" i="16"/>
  <c r="I103" i="16"/>
  <c r="G103" i="14"/>
  <c r="I102" i="14"/>
  <c r="G103" i="13"/>
  <c r="I102" i="13"/>
  <c r="E111" i="10"/>
  <c r="E112" i="10" s="1"/>
  <c r="E114" i="10" s="1"/>
  <c r="M78" i="5"/>
  <c r="K78" i="5"/>
  <c r="B26" i="18" l="1"/>
  <c r="C26" i="20"/>
  <c r="B178" i="19"/>
  <c r="M112" i="13"/>
  <c r="M114" i="13" s="1"/>
  <c r="M117" i="13" s="1"/>
  <c r="E65" i="24"/>
  <c r="I65" i="24" s="1"/>
  <c r="I24" i="24"/>
  <c r="E25" i="24"/>
  <c r="I27" i="20"/>
  <c r="D28" i="18"/>
  <c r="E29" i="20" s="1"/>
  <c r="E28" i="20"/>
  <c r="E106" i="24"/>
  <c r="G104" i="24"/>
  <c r="I103" i="24"/>
  <c r="M101" i="16"/>
  <c r="M102" i="16" s="1"/>
  <c r="M103" i="16" s="1"/>
  <c r="M104" i="16" s="1"/>
  <c r="M105" i="16" s="1"/>
  <c r="M106" i="16" s="1"/>
  <c r="M107" i="16" s="1"/>
  <c r="M108" i="16" s="1"/>
  <c r="M109" i="16" s="1"/>
  <c r="M110" i="16" s="1"/>
  <c r="M111" i="16" s="1"/>
  <c r="M70" i="16"/>
  <c r="M58" i="10"/>
  <c r="M59" i="10" s="1"/>
  <c r="M60" i="10" s="1"/>
  <c r="M61" i="10" s="1"/>
  <c r="M62" i="10" s="1"/>
  <c r="M63" i="10" s="1"/>
  <c r="M64" i="10" s="1"/>
  <c r="M65" i="10" s="1"/>
  <c r="M66" i="10" s="1"/>
  <c r="M67" i="10" s="1"/>
  <c r="M68" i="10" s="1"/>
  <c r="M69" i="10" s="1"/>
  <c r="M99" i="10"/>
  <c r="G103" i="10"/>
  <c r="I102" i="10"/>
  <c r="M101" i="14"/>
  <c r="M102" i="14" s="1"/>
  <c r="M103" i="14" s="1"/>
  <c r="M104" i="14" s="1"/>
  <c r="M105" i="14" s="1"/>
  <c r="M106" i="14" s="1"/>
  <c r="M107" i="14" s="1"/>
  <c r="M108" i="14" s="1"/>
  <c r="M109" i="14" s="1"/>
  <c r="M110" i="14" s="1"/>
  <c r="M111" i="14" s="1"/>
  <c r="G105" i="17"/>
  <c r="I104" i="17"/>
  <c r="I104" i="16"/>
  <c r="G105" i="16"/>
  <c r="G104" i="14"/>
  <c r="I103" i="14"/>
  <c r="I103" i="13"/>
  <c r="G104" i="13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8" i="6"/>
  <c r="A187" i="6" s="1"/>
  <c r="A7" i="6"/>
  <c r="A186" i="6" s="1"/>
  <c r="A100" i="5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58" i="5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E13" i="5"/>
  <c r="A10" i="5"/>
  <c r="A8" i="5"/>
  <c r="A7" i="5"/>
  <c r="E27" i="4"/>
  <c r="E26" i="4"/>
  <c r="E25" i="4"/>
  <c r="E24" i="4"/>
  <c r="E23" i="4"/>
  <c r="E22" i="4"/>
  <c r="E21" i="4"/>
  <c r="E20" i="4"/>
  <c r="E19" i="4"/>
  <c r="G17" i="4"/>
  <c r="E18" i="4"/>
  <c r="C18" i="4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E17" i="4"/>
  <c r="C17" i="4"/>
  <c r="A8" i="4"/>
  <c r="A7" i="4"/>
  <c r="E28" i="4"/>
  <c r="B18" i="3"/>
  <c r="E78" i="5"/>
  <c r="G78" i="5" s="1"/>
  <c r="B27" i="18" l="1"/>
  <c r="C27" i="20"/>
  <c r="B179" i="19"/>
  <c r="E107" i="24"/>
  <c r="E26" i="24"/>
  <c r="I28" i="20"/>
  <c r="E27" i="24"/>
  <c r="I29" i="20"/>
  <c r="I30" i="20" s="1"/>
  <c r="I32" i="20" s="1"/>
  <c r="I35" i="20" s="1"/>
  <c r="E30" i="20"/>
  <c r="E32" i="20" s="1"/>
  <c r="E66" i="24"/>
  <c r="I66" i="24" s="1"/>
  <c r="I25" i="24"/>
  <c r="E28" i="24"/>
  <c r="E30" i="24" s="1"/>
  <c r="C19" i="4"/>
  <c r="B197" i="6"/>
  <c r="G18" i="4"/>
  <c r="I18" i="4" s="1"/>
  <c r="M100" i="10"/>
  <c r="M101" i="10" s="1"/>
  <c r="M102" i="10" s="1"/>
  <c r="M103" i="10" s="1"/>
  <c r="M104" i="10" s="1"/>
  <c r="M105" i="10" s="1"/>
  <c r="M106" i="10" s="1"/>
  <c r="M107" i="10" s="1"/>
  <c r="M108" i="10" s="1"/>
  <c r="M109" i="10" s="1"/>
  <c r="M110" i="10" s="1"/>
  <c r="M111" i="10" s="1"/>
  <c r="M70" i="10"/>
  <c r="I104" i="24"/>
  <c r="G105" i="24"/>
  <c r="M112" i="14"/>
  <c r="M114" i="14" s="1"/>
  <c r="M117" i="14" s="1"/>
  <c r="M112" i="16"/>
  <c r="M114" i="16" s="1"/>
  <c r="M117" i="16" s="1"/>
  <c r="I103" i="10"/>
  <c r="G104" i="10"/>
  <c r="G106" i="17"/>
  <c r="I105" i="17"/>
  <c r="G106" i="16"/>
  <c r="I105" i="16"/>
  <c r="G105" i="14"/>
  <c r="I104" i="14"/>
  <c r="G105" i="13"/>
  <c r="I104" i="13"/>
  <c r="E18" i="5"/>
  <c r="E58" i="5" s="1"/>
  <c r="E19" i="5"/>
  <c r="E59" i="5" s="1"/>
  <c r="G18" i="5"/>
  <c r="G58" i="5" s="1"/>
  <c r="C17" i="5"/>
  <c r="E20" i="5"/>
  <c r="E60" i="5" s="1"/>
  <c r="E17" i="5"/>
  <c r="C18" i="5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E24" i="5"/>
  <c r="E64" i="5" s="1"/>
  <c r="E21" i="5"/>
  <c r="E61" i="5" s="1"/>
  <c r="E25" i="5"/>
  <c r="E65" i="5" s="1"/>
  <c r="E23" i="5"/>
  <c r="E63" i="5" s="1"/>
  <c r="E27" i="5"/>
  <c r="E67" i="5" s="1"/>
  <c r="E28" i="5"/>
  <c r="E68" i="5" s="1"/>
  <c r="E22" i="5"/>
  <c r="E62" i="5" s="1"/>
  <c r="E26" i="5"/>
  <c r="E66" i="5" s="1"/>
  <c r="C60" i="5"/>
  <c r="C61" i="5" s="1"/>
  <c r="C62" i="5" s="1"/>
  <c r="C63" i="5" s="1"/>
  <c r="C64" i="5" s="1"/>
  <c r="C65" i="5" s="1"/>
  <c r="C66" i="5" s="1"/>
  <c r="C67" i="5" s="1"/>
  <c r="C68" i="5" s="1"/>
  <c r="C69" i="5" s="1"/>
  <c r="E29" i="4"/>
  <c r="G20" i="4"/>
  <c r="G22" i="4"/>
  <c r="G17" i="5" s="1"/>
  <c r="G24" i="4"/>
  <c r="G26" i="4"/>
  <c r="G28" i="4"/>
  <c r="A89" i="5"/>
  <c r="A47" i="5"/>
  <c r="A90" i="5"/>
  <c r="A48" i="5"/>
  <c r="E95" i="5"/>
  <c r="E53" i="5"/>
  <c r="C78" i="5" s="1"/>
  <c r="C123" i="5" s="1"/>
  <c r="E123" i="5"/>
  <c r="G123" i="5"/>
  <c r="B19" i="3"/>
  <c r="B198" i="6" s="1"/>
  <c r="I17" i="4"/>
  <c r="G19" i="4"/>
  <c r="G21" i="4"/>
  <c r="G23" i="4"/>
  <c r="G25" i="4"/>
  <c r="G27" i="4"/>
  <c r="G29" i="4"/>
  <c r="A128" i="6"/>
  <c r="A129" i="6"/>
  <c r="B28" i="18" l="1"/>
  <c r="C28" i="20"/>
  <c r="B180" i="19"/>
  <c r="M112" i="10"/>
  <c r="M114" i="10" s="1"/>
  <c r="M117" i="10" s="1"/>
  <c r="T38" i="2" s="1"/>
  <c r="T39" i="2"/>
  <c r="E68" i="24"/>
  <c r="I27" i="24"/>
  <c r="E67" i="24"/>
  <c r="I67" i="24" s="1"/>
  <c r="I26" i="24"/>
  <c r="E108" i="24"/>
  <c r="G30" i="4"/>
  <c r="G32" i="4" s="1"/>
  <c r="E57" i="5"/>
  <c r="C99" i="5"/>
  <c r="C57" i="5"/>
  <c r="G57" i="5"/>
  <c r="G99" i="5" s="1"/>
  <c r="I105" i="24"/>
  <c r="G106" i="24"/>
  <c r="G105" i="10"/>
  <c r="I104" i="10"/>
  <c r="I106" i="17"/>
  <c r="G107" i="17"/>
  <c r="G107" i="16"/>
  <c r="I106" i="16"/>
  <c r="G106" i="14"/>
  <c r="I105" i="14"/>
  <c r="G106" i="13"/>
  <c r="I105" i="13"/>
  <c r="C100" i="5"/>
  <c r="C101" i="5" s="1"/>
  <c r="C102" i="5" s="1"/>
  <c r="C103" i="5" s="1"/>
  <c r="C104" i="5" s="1"/>
  <c r="C105" i="5" s="1"/>
  <c r="C106" i="5" s="1"/>
  <c r="C107" i="5" s="1"/>
  <c r="C108" i="5" s="1"/>
  <c r="C109" i="5" s="1"/>
  <c r="C110" i="5" s="1"/>
  <c r="C111" i="5" s="1"/>
  <c r="I17" i="5"/>
  <c r="I18" i="5"/>
  <c r="E29" i="5"/>
  <c r="E30" i="5" s="1"/>
  <c r="E30" i="4"/>
  <c r="E32" i="4" s="1"/>
  <c r="G27" i="5"/>
  <c r="G67" i="5" s="1"/>
  <c r="I67" i="5" s="1"/>
  <c r="I27" i="4"/>
  <c r="G25" i="5"/>
  <c r="G65" i="5" s="1"/>
  <c r="I65" i="5" s="1"/>
  <c r="I25" i="4"/>
  <c r="G23" i="5"/>
  <c r="G63" i="5" s="1"/>
  <c r="I63" i="5" s="1"/>
  <c r="I23" i="4"/>
  <c r="G21" i="5"/>
  <c r="G61" i="5" s="1"/>
  <c r="I61" i="5" s="1"/>
  <c r="I21" i="4"/>
  <c r="G19" i="5"/>
  <c r="G59" i="5" s="1"/>
  <c r="I59" i="5" s="1"/>
  <c r="I19" i="4"/>
  <c r="C20" i="4"/>
  <c r="B20" i="3"/>
  <c r="B199" i="6" s="1"/>
  <c r="G28" i="5"/>
  <c r="G68" i="5" s="1"/>
  <c r="I68" i="5" s="1"/>
  <c r="I28" i="4"/>
  <c r="I24" i="4"/>
  <c r="G24" i="5"/>
  <c r="G64" i="5" s="1"/>
  <c r="I64" i="5" s="1"/>
  <c r="I20" i="4"/>
  <c r="G20" i="5"/>
  <c r="G60" i="5" s="1"/>
  <c r="I60" i="5" s="1"/>
  <c r="G29" i="5"/>
  <c r="I29" i="4"/>
  <c r="G26" i="5"/>
  <c r="G66" i="5" s="1"/>
  <c r="I66" i="5" s="1"/>
  <c r="I26" i="4"/>
  <c r="G22" i="5"/>
  <c r="G62" i="5" s="1"/>
  <c r="I62" i="5" s="1"/>
  <c r="I22" i="4"/>
  <c r="C29" i="20" l="1"/>
  <c r="B181" i="19"/>
  <c r="I68" i="24"/>
  <c r="I69" i="24" s="1"/>
  <c r="I71" i="24" s="1"/>
  <c r="E69" i="24"/>
  <c r="E109" i="24"/>
  <c r="E110" i="24" s="1"/>
  <c r="E111" i="24"/>
  <c r="E113" i="24" s="1"/>
  <c r="I28" i="24"/>
  <c r="I30" i="24" s="1"/>
  <c r="I33" i="24" s="1"/>
  <c r="F15" i="2" s="1"/>
  <c r="P15" i="2" s="1"/>
  <c r="I29" i="5"/>
  <c r="G69" i="5"/>
  <c r="I30" i="4"/>
  <c r="I32" i="4" s="1"/>
  <c r="I35" i="4" s="1"/>
  <c r="G100" i="5"/>
  <c r="G30" i="5"/>
  <c r="I57" i="5"/>
  <c r="E100" i="5"/>
  <c r="I106" i="24"/>
  <c r="G107" i="24"/>
  <c r="I105" i="10"/>
  <c r="G106" i="10"/>
  <c r="G108" i="17"/>
  <c r="I107" i="17"/>
  <c r="I107" i="16"/>
  <c r="G108" i="16"/>
  <c r="I106" i="14"/>
  <c r="G107" i="14"/>
  <c r="I106" i="13"/>
  <c r="G107" i="13"/>
  <c r="E32" i="5"/>
  <c r="E69" i="5"/>
  <c r="I58" i="5"/>
  <c r="I22" i="5"/>
  <c r="I26" i="5"/>
  <c r="E99" i="5"/>
  <c r="I20" i="5"/>
  <c r="I24" i="5"/>
  <c r="C21" i="4"/>
  <c r="B21" i="3"/>
  <c r="I28" i="5"/>
  <c r="I19" i="5"/>
  <c r="G32" i="5"/>
  <c r="I21" i="5"/>
  <c r="I23" i="5"/>
  <c r="I25" i="5"/>
  <c r="I27" i="5"/>
  <c r="M71" i="24" l="1"/>
  <c r="M56" i="24" s="1"/>
  <c r="R40" i="2"/>
  <c r="I69" i="5"/>
  <c r="I70" i="5" s="1"/>
  <c r="I72" i="5" s="1"/>
  <c r="R37" i="2" s="1"/>
  <c r="I30" i="5"/>
  <c r="I100" i="5"/>
  <c r="G101" i="5"/>
  <c r="G102" i="5" s="1"/>
  <c r="G103" i="5" s="1"/>
  <c r="G104" i="5" s="1"/>
  <c r="G105" i="5" s="1"/>
  <c r="G106" i="5" s="1"/>
  <c r="G107" i="5" s="1"/>
  <c r="G108" i="5" s="1"/>
  <c r="G109" i="5" s="1"/>
  <c r="G110" i="5" s="1"/>
  <c r="G111" i="5" s="1"/>
  <c r="I107" i="24"/>
  <c r="G108" i="24"/>
  <c r="I106" i="10"/>
  <c r="G107" i="10"/>
  <c r="G109" i="17"/>
  <c r="I108" i="17"/>
  <c r="G109" i="16"/>
  <c r="I108" i="16"/>
  <c r="G108" i="14"/>
  <c r="I107" i="14"/>
  <c r="G108" i="13"/>
  <c r="I107" i="13"/>
  <c r="E70" i="5"/>
  <c r="E101" i="5"/>
  <c r="E102" i="5" s="1"/>
  <c r="E103" i="5" s="1"/>
  <c r="E104" i="5" s="1"/>
  <c r="E105" i="5" s="1"/>
  <c r="E106" i="5" s="1"/>
  <c r="E107" i="5" s="1"/>
  <c r="E108" i="5" s="1"/>
  <c r="E109" i="5" s="1"/>
  <c r="E110" i="5" s="1"/>
  <c r="E111" i="5" s="1"/>
  <c r="I99" i="5"/>
  <c r="B200" i="6"/>
  <c r="C22" i="4"/>
  <c r="B22" i="3"/>
  <c r="G70" i="5"/>
  <c r="M98" i="24" l="1"/>
  <c r="M57" i="24"/>
  <c r="M58" i="24" s="1"/>
  <c r="M59" i="24" s="1"/>
  <c r="M60" i="24" s="1"/>
  <c r="M61" i="24" s="1"/>
  <c r="M62" i="24" s="1"/>
  <c r="M63" i="24" s="1"/>
  <c r="M64" i="24" s="1"/>
  <c r="M65" i="24" s="1"/>
  <c r="M66" i="24" s="1"/>
  <c r="M67" i="24" s="1"/>
  <c r="M68" i="24" s="1"/>
  <c r="G112" i="5"/>
  <c r="I108" i="24"/>
  <c r="G109" i="24"/>
  <c r="G108" i="10"/>
  <c r="I107" i="10"/>
  <c r="I109" i="17"/>
  <c r="G110" i="17"/>
  <c r="I109" i="16"/>
  <c r="G110" i="16"/>
  <c r="G109" i="14"/>
  <c r="I108" i="14"/>
  <c r="G109" i="13"/>
  <c r="I108" i="13"/>
  <c r="I32" i="5"/>
  <c r="I35" i="5" s="1"/>
  <c r="L12" i="2" s="1"/>
  <c r="M72" i="5"/>
  <c r="M57" i="5" s="1"/>
  <c r="I101" i="5"/>
  <c r="B201" i="6"/>
  <c r="C23" i="4"/>
  <c r="B23" i="3"/>
  <c r="E112" i="5"/>
  <c r="E114" i="5" s="1"/>
  <c r="M69" i="24" l="1"/>
  <c r="M99" i="24"/>
  <c r="M100" i="24" s="1"/>
  <c r="M101" i="24" s="1"/>
  <c r="M102" i="24" s="1"/>
  <c r="M103" i="24" s="1"/>
  <c r="M104" i="24" s="1"/>
  <c r="M105" i="24" s="1"/>
  <c r="M106" i="24" s="1"/>
  <c r="M107" i="24" s="1"/>
  <c r="M108" i="24" s="1"/>
  <c r="M109" i="24" s="1"/>
  <c r="M110" i="24" s="1"/>
  <c r="G110" i="24"/>
  <c r="I110" i="24" s="1"/>
  <c r="I109" i="24"/>
  <c r="G109" i="10"/>
  <c r="I108" i="10"/>
  <c r="G111" i="17"/>
  <c r="I110" i="17"/>
  <c r="G111" i="16"/>
  <c r="I110" i="16"/>
  <c r="I109" i="14"/>
  <c r="G110" i="14"/>
  <c r="I109" i="13"/>
  <c r="G110" i="13"/>
  <c r="M58" i="5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99" i="5"/>
  <c r="B202" i="6"/>
  <c r="C24" i="4"/>
  <c r="B24" i="3"/>
  <c r="I102" i="5"/>
  <c r="M111" i="24" l="1"/>
  <c r="M113" i="24" s="1"/>
  <c r="M116" i="24" s="1"/>
  <c r="T40" i="2" s="1"/>
  <c r="M100" i="5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I111" i="24"/>
  <c r="I113" i="24" s="1"/>
  <c r="I116" i="24" s="1"/>
  <c r="F40" i="2" s="1"/>
  <c r="P40" i="2" s="1"/>
  <c r="G111" i="24"/>
  <c r="G113" i="24" s="1"/>
  <c r="I109" i="10"/>
  <c r="G110" i="10"/>
  <c r="I111" i="17"/>
  <c r="I112" i="17" s="1"/>
  <c r="I114" i="17" s="1"/>
  <c r="I117" i="17" s="1"/>
  <c r="G112" i="17"/>
  <c r="G114" i="17" s="1"/>
  <c r="I111" i="16"/>
  <c r="I112" i="16" s="1"/>
  <c r="I114" i="16" s="1"/>
  <c r="I117" i="16" s="1"/>
  <c r="G112" i="16"/>
  <c r="G114" i="16" s="1"/>
  <c r="I110" i="14"/>
  <c r="G111" i="14"/>
  <c r="G111" i="13"/>
  <c r="I110" i="13"/>
  <c r="M70" i="5"/>
  <c r="I103" i="5"/>
  <c r="B203" i="6"/>
  <c r="C25" i="4"/>
  <c r="B25" i="3"/>
  <c r="G111" i="10" l="1"/>
  <c r="I110" i="10"/>
  <c r="I111" i="14"/>
  <c r="I112" i="14" s="1"/>
  <c r="I114" i="14" s="1"/>
  <c r="I117" i="14" s="1"/>
  <c r="L39" i="2" s="1"/>
  <c r="P39" i="2" s="1"/>
  <c r="G112" i="14"/>
  <c r="G114" i="14" s="1"/>
  <c r="I111" i="13"/>
  <c r="I112" i="13" s="1"/>
  <c r="I114" i="13" s="1"/>
  <c r="I117" i="13" s="1"/>
  <c r="G112" i="13"/>
  <c r="G114" i="13" s="1"/>
  <c r="M112" i="5"/>
  <c r="B204" i="6"/>
  <c r="C26" i="4"/>
  <c r="B26" i="3"/>
  <c r="I104" i="5"/>
  <c r="G112" i="10" l="1"/>
  <c r="G114" i="10" s="1"/>
  <c r="I111" i="10"/>
  <c r="I112" i="10" s="1"/>
  <c r="I114" i="10" s="1"/>
  <c r="I117" i="10" s="1"/>
  <c r="L38" i="2" s="1"/>
  <c r="P38" i="2" s="1"/>
  <c r="M114" i="5"/>
  <c r="M117" i="5" s="1"/>
  <c r="I105" i="5"/>
  <c r="B205" i="6"/>
  <c r="C27" i="4"/>
  <c r="B27" i="3"/>
  <c r="T37" i="2" l="1"/>
  <c r="T42" i="2" s="1"/>
  <c r="F31" i="1" s="1"/>
  <c r="B206" i="6"/>
  <c r="B28" i="3"/>
  <c r="C28" i="4"/>
  <c r="I106" i="5"/>
  <c r="I107" i="5" l="1"/>
  <c r="B207" i="6"/>
  <c r="C29" i="4"/>
  <c r="I108" i="5" l="1"/>
  <c r="I109" i="5" l="1"/>
  <c r="I110" i="5" l="1"/>
  <c r="I111" i="5" l="1"/>
  <c r="I112" i="5" s="1"/>
  <c r="G114" i="5"/>
  <c r="I114" i="5" l="1"/>
  <c r="I117" i="5" s="1"/>
  <c r="R42" i="2"/>
  <c r="J42" i="2"/>
  <c r="H42" i="2"/>
  <c r="F42" i="2"/>
  <c r="N17" i="2"/>
  <c r="L17" i="2"/>
  <c r="J17" i="2"/>
  <c r="H17" i="2"/>
  <c r="F17" i="2"/>
  <c r="N42" i="2" l="1"/>
  <c r="L37" i="2"/>
  <c r="L42" i="2" s="1"/>
  <c r="A31" i="2"/>
  <c r="A5" i="2"/>
  <c r="P12" i="2"/>
  <c r="P17" i="2" s="1"/>
  <c r="B37" i="2"/>
  <c r="D37" i="2"/>
  <c r="P37" i="2"/>
  <c r="P42" i="2" s="1"/>
  <c r="B42" i="2"/>
  <c r="D42" i="2"/>
  <c r="B43" i="2"/>
  <c r="D43" i="2"/>
  <c r="B44" i="2"/>
  <c r="D44" i="2"/>
  <c r="B45" i="2"/>
  <c r="B46" i="2"/>
  <c r="B47" i="2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15" i="1"/>
  <c r="F16" i="1"/>
  <c r="F17" i="1"/>
  <c r="F18" i="1"/>
  <c r="F19" i="1"/>
  <c r="F23" i="1"/>
  <c r="F24" i="1"/>
  <c r="F25" i="1"/>
  <c r="F26" i="1"/>
  <c r="F27" i="1"/>
  <c r="F34" i="1"/>
  <c r="A30" i="1" l="1"/>
  <c r="A31" i="1" s="1"/>
  <c r="A32" i="1" s="1"/>
  <c r="A33" i="1" s="1"/>
  <c r="A34" i="1" s="1"/>
  <c r="F28" i="1"/>
  <c r="F20" i="1"/>
</calcChain>
</file>

<file path=xl/sharedStrings.xml><?xml version="1.0" encoding="utf-8"?>
<sst xmlns="http://schemas.openxmlformats.org/spreadsheetml/2006/main" count="1145" uniqueCount="188">
  <si>
    <t>Pro-Forma Adjustment - Project In-Service During Test Year</t>
  </si>
  <si>
    <t>Line</t>
  </si>
  <si>
    <t>Description</t>
  </si>
  <si>
    <t>Amount</t>
  </si>
  <si>
    <t>Reference</t>
  </si>
  <si>
    <t>(a)</t>
  </si>
  <si>
    <t>(b)</t>
  </si>
  <si>
    <t>(c)</t>
  </si>
  <si>
    <t>Pro Forma Adjustment:  Projects In-Service During Test Year</t>
  </si>
  <si>
    <t xml:space="preserve"> </t>
  </si>
  <si>
    <t>Pro Forma Adjustment - Rate Base:</t>
  </si>
  <si>
    <t>Plant in Service -</t>
  </si>
  <si>
    <t xml:space="preserve">  Intangible Plant</t>
  </si>
  <si>
    <t>Exhibit ASR 1.1, WP B, Page 2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</si>
  <si>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</si>
  <si>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</si>
  <si>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</si>
  <si>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</si>
  <si>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</si>
  <si>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>To MidAmerican Exhibit ASR 1.1, Sch 3</t>
  </si>
  <si>
    <t>Accumulated Depreciation -</t>
  </si>
  <si>
    <t>Exhibit ASR 1.1, WP B, Page 3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</si>
  <si>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</si>
  <si>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</si>
  <si>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</si>
  <si>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</si>
  <si>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</si>
  <si>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</si>
  <si>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</si>
  <si>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</si>
  <si>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</si>
  <si>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</si>
  <si>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</si>
  <si>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</si>
  <si>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</si>
  <si>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</si>
  <si>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</si>
  <si>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</si>
  <si>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</si>
  <si>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</si>
  <si>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</si>
  <si>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</si>
  <si>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</si>
  <si>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</si>
  <si>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</si>
  <si>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</si>
  <si>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</si>
  <si>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</si>
  <si>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</si>
  <si>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</si>
  <si>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</si>
  <si>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</si>
  <si>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</si>
  <si>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</si>
  <si>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</si>
  <si>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</si>
  <si>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 Forma Adjustment - Project In Service During Test Year</t>
  </si>
  <si>
    <t>Project:</t>
  </si>
  <si>
    <t>Gas Utility %</t>
  </si>
  <si>
    <t>So Dak %</t>
  </si>
  <si>
    <t>Federal Tax</t>
  </si>
  <si>
    <t>Property Account Distribution</t>
  </si>
  <si>
    <t>Income</t>
  </si>
  <si>
    <t>Month / Year:</t>
  </si>
  <si>
    <t>Booked Amount</t>
  </si>
  <si>
    <t>Account</t>
  </si>
  <si>
    <t>Per Cent</t>
  </si>
  <si>
    <t>Rate</t>
  </si>
  <si>
    <t>Tax Rate</t>
  </si>
  <si>
    <t>0.000.00</t>
  </si>
  <si>
    <t>In-Service Date:</t>
  </si>
  <si>
    <t>Project Amount:</t>
  </si>
  <si>
    <t>Sources:</t>
  </si>
  <si>
    <t>Column (b):</t>
  </si>
  <si>
    <t>Column (f): MACRS half-year convention tax depreciation rate for year one recovery on General Plant Property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</si>
  <si>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</si>
  <si>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</si>
  <si>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</si>
  <si>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</si>
  <si>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</si>
  <si>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</si>
  <si>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</si>
  <si>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</si>
  <si>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</si>
  <si>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TOTAL ADJMNT</t>
  </si>
  <si>
    <t>To Exhibit ASR 1.1, WP B</t>
  </si>
  <si>
    <t>Page 2, Line 1, Column (f)</t>
  </si>
  <si>
    <t>DEPRECIATION EXPENSE</t>
  </si>
  <si>
    <t>FEDERAL</t>
  </si>
  <si>
    <t>TAX</t>
  </si>
  <si>
    <t xml:space="preserve">DEFERRED </t>
  </si>
  <si>
    <t>DEPRECIATION</t>
  </si>
  <si>
    <t>INCOME TAXES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</si>
  <si>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</si>
  <si>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</si>
  <si>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</si>
  <si>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</si>
  <si>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</si>
  <si>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</si>
  <si>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</si>
  <si>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</si>
  <si>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</si>
  <si>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MACRS 20</t>
  </si>
  <si>
    <t>ACCUMULATED DEPRECIATION</t>
  </si>
  <si>
    <t xml:space="preserve">ACCUMULATED </t>
  </si>
  <si>
    <t>DEFERRED TAXES</t>
  </si>
  <si>
    <t>Month/Year</t>
  </si>
  <si>
    <t>Page 4,  Column (b)</t>
  </si>
  <si>
    <t>No.</t>
  </si>
  <si>
    <t>CAPGDS1000000935: Gas ERT Replacement (2025)</t>
  </si>
  <si>
    <t>CAPGDS1000000166: SFS - 6 Mile Serve Load</t>
  </si>
  <si>
    <t>CAPGDS1000000782: SFS - Cliff I229 Interchange</t>
  </si>
  <si>
    <t>CAPCIT10000000678: Gas System Safety Target Zero</t>
  </si>
  <si>
    <t>CAPGDS1000000935</t>
  </si>
  <si>
    <t>Gas ERT Replacement (2025)</t>
  </si>
  <si>
    <t>2.381.00</t>
  </si>
  <si>
    <t>13 MO AVERAGE</t>
  </si>
  <si>
    <t>13 MO AVG</t>
  </si>
  <si>
    <t>Page 3, Line 5, Column (f)</t>
  </si>
  <si>
    <t>Page 3, Line 5, Column (i)</t>
  </si>
  <si>
    <t>Page 3, Line 5, Column (j)</t>
  </si>
  <si>
    <t>2.376.00</t>
  </si>
  <si>
    <t>2.378.03</t>
  </si>
  <si>
    <t>CAPGDS1000000166</t>
  </si>
  <si>
    <t>SFS - 6 Mile Serve Load</t>
  </si>
  <si>
    <t>Page 2, Line 2, Column (f)</t>
  </si>
  <si>
    <t>Page 3, Line 6, Column (i)</t>
  </si>
  <si>
    <t>Page 3, Line 6, Column (f)</t>
  </si>
  <si>
    <t>Page 3, Line 6, Column (j)</t>
  </si>
  <si>
    <t>CAPGDS1000000782</t>
  </si>
  <si>
    <t>SFS - Cliff I229 Interchange</t>
  </si>
  <si>
    <t>2.380.00</t>
  </si>
  <si>
    <t>Page 2, Line 3, Column (f)</t>
  </si>
  <si>
    <t>Page 3, Line 7, Column (i)</t>
  </si>
  <si>
    <t>Page 3, Line 7, Column (f)</t>
  </si>
  <si>
    <t>Page 3, Line 7, Column (j)</t>
  </si>
  <si>
    <t>Page 13,  Column (b)</t>
  </si>
  <si>
    <t>CAPCIT1000000678</t>
  </si>
  <si>
    <t>Gas System Safety: Target Zero</t>
  </si>
  <si>
    <t>Project Account Distribution</t>
  </si>
  <si>
    <t>2.303.00</t>
  </si>
  <si>
    <t>Software</t>
  </si>
  <si>
    <t>2025 Meter Allocation</t>
  </si>
  <si>
    <t>2025 Meters</t>
  </si>
  <si>
    <t>Elec</t>
  </si>
  <si>
    <t>Gas</t>
  </si>
  <si>
    <t>Elec Split</t>
  </si>
  <si>
    <t>Gas Split</t>
  </si>
  <si>
    <t>Iowa</t>
  </si>
  <si>
    <t>Illinois</t>
  </si>
  <si>
    <t>South Dakota</t>
  </si>
  <si>
    <t>Nebraska</t>
  </si>
  <si>
    <t>Utility Split</t>
  </si>
  <si>
    <t>5 year book life</t>
  </si>
  <si>
    <t>Project:  CAPGDS1000000678</t>
  </si>
  <si>
    <t>Page 2, Line 4, Column (f)</t>
  </si>
  <si>
    <t>Page 3, Line 8, Column (i)</t>
  </si>
  <si>
    <t>SL 3 YRS</t>
  </si>
  <si>
    <t>Page 3, Line 8, Column (f)</t>
  </si>
  <si>
    <t>Page 3, Line 8, Column (j)</t>
  </si>
  <si>
    <t xml:space="preserve">                  No change in tax depreciation for this proforma as 2025 amount was computed on Dec 2025 total addition</t>
  </si>
  <si>
    <t xml:space="preserve">     Line  - 13 - Exhibit ASR 1.1, WP B Page 12</t>
  </si>
  <si>
    <t xml:space="preserve">     Line 15 - Exhibit ASR 1.1, WP B Page 11</t>
  </si>
  <si>
    <t xml:space="preserve">     Line 16 - Exhibit ASR 1.1, WP B Page 9</t>
  </si>
  <si>
    <t>Column (c): Exhibit ASR 1.1, WP B, Page 11</t>
  </si>
  <si>
    <t>Column (d): Exhibit ASR 1.1, WP B, Page 11</t>
  </si>
  <si>
    <t>Column (e): Exhibit ASR 1.1, WP B, Page 11</t>
  </si>
  <si>
    <t xml:space="preserve">     Line  11-13 - Exhibit ASR 1.1, WP B Page 24</t>
  </si>
  <si>
    <t xml:space="preserve">     Line 15 - Exhibit ASR 1.1, WP B Page 23</t>
  </si>
  <si>
    <t>Column (c): Exhibit ASR 1.1, WP B, Page 23</t>
  </si>
  <si>
    <t>Column (d): Exhibit ASR 1.1, WP B, Page 23</t>
  </si>
  <si>
    <t>Column (e): Exhibit ASR 1.1, WP B, Page 23</t>
  </si>
  <si>
    <t xml:space="preserve">     Line 16 - Exhibit ASR 1.1, WP B Page 24</t>
  </si>
  <si>
    <t xml:space="preserve">     Line  11-13 - Exhibit ASR 1.1, WP B Page 42</t>
  </si>
  <si>
    <t xml:space="preserve">     Line 15 - Exhibit ASR 1.1, WP B Page 40</t>
  </si>
  <si>
    <t xml:space="preserve">     Line 16 - Exhibit ASR 1.1, WP B Page 42</t>
  </si>
  <si>
    <t>Column (c): Exhibit ASR 1.1, WP B, Page 40</t>
  </si>
  <si>
    <t>Column (d): Exhibit ASR 1.1, WP B, Page 40</t>
  </si>
  <si>
    <t>Column (e): Exhibit ASR 1.1, WP B, Page 40-41</t>
  </si>
  <si>
    <t>Page 26,  Column (b)</t>
  </si>
  <si>
    <t xml:space="preserve">     Line  10-13 - Exhibit ASR 1.1, WP B Page 51</t>
  </si>
  <si>
    <t xml:space="preserve">     Line 15 - Exhibit ASR 1.1, WP B Page 50</t>
  </si>
  <si>
    <t xml:space="preserve">     Line 16 - Exhibit ASR 1.1, WP B Page 51</t>
  </si>
  <si>
    <t>Column (c): Exhibit ASR 1.1, WP B, Page 50</t>
  </si>
  <si>
    <t>Column (d): Exhibit ASR 1.1, WP B, Page 50</t>
  </si>
  <si>
    <t>Column (e): Exhibit ASR 1.1, WP B, Page 50</t>
  </si>
  <si>
    <t>Page 43,  Column (b)</t>
  </si>
  <si>
    <t>To MidAmerican Exhibit BMG 1.1, WP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</si>
</sst>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mmmm\ d\,\ yyyy"/>
    <numFmt numFmtId="167" formatCode="0.000%"/>
    <numFmt numFmtId="168" formatCode="General_)"/>
    <numFmt numFmtId="169" formatCode="mmm\-yy_)"/>
    <numFmt numFmtId="170" formatCode="0.0%"/>
  </numFmts>
  <fonts count="14" x14ac:knownFonts="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color indexed="8"/>
      <name val="Arial"/>
      <family val="2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7" fillId="0" borderId="0"/>
    <xf numFmtId="168" fontId="10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7" fillId="0" borderId="0"/>
  </cellStyleXfs>
  <cellXfs count="154">
    <xf numFmtId="0" fontId="0" fillId="0" borderId="0" xfId="0"/>
    <xf numFmtId="0" fontId="5" fillId="0" borderId="0" xfId="4" applyFont="1"/>
    <xf numFmtId="0" fontId="4" fillId="0" borderId="2" xfId="4" applyFont="1" applyBorder="1"/>
    <xf numFmtId="0" fontId="4" fillId="0" borderId="2" xfId="4" applyFont="1" applyBorder="1" applyAlignment="1">
      <alignment horizontal="center"/>
    </xf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4" fontId="5" fillId="0" borderId="0" xfId="2" applyFont="1"/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44" fontId="5" fillId="0" borderId="0" xfId="2" applyFont="1" applyBorder="1"/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5" fillId="0" borderId="0" xfId="0" applyFont="1"/>
    <xf numFmtId="0" fontId="5" fillId="0" borderId="0" xfId="9" applyFont="1"/>
    <xf numFmtId="0" fontId="4" fillId="0" borderId="0" xfId="9" applyFont="1"/>
    <xf numFmtId="0" fontId="5" fillId="0" borderId="5" xfId="9" applyFont="1" applyBorder="1" applyAlignment="1">
      <alignment horizontal="centerContinuous"/>
    </xf>
    <xf numFmtId="0" fontId="5" fillId="0" borderId="0" xfId="9" applyFont="1" applyAlignment="1">
      <alignment horizontal="center"/>
    </xf>
    <xf numFmtId="0" fontId="5" fillId="0" borderId="5" xfId="9" applyFont="1" applyBorder="1" applyAlignment="1">
      <alignment horizontal="center"/>
    </xf>
    <xf numFmtId="0" fontId="5" fillId="2" borderId="0" xfId="9" applyFont="1" applyFill="1"/>
    <xf numFmtId="39" fontId="8" fillId="0" borderId="0" xfId="9" applyNumberFormat="1" applyFont="1" applyAlignment="1">
      <alignment horizontal="center"/>
    </xf>
    <xf numFmtId="17" fontId="5" fillId="0" borderId="0" xfId="9" applyNumberFormat="1" applyFont="1"/>
    <xf numFmtId="17" fontId="5" fillId="0" borderId="0" xfId="9" applyNumberFormat="1" applyFont="1" applyAlignment="1">
      <alignment horizontal="right"/>
    </xf>
    <xf numFmtId="9" fontId="5" fillId="0" borderId="0" xfId="3" applyFont="1"/>
    <xf numFmtId="167" fontId="5" fillId="0" borderId="0" xfId="3" applyNumberFormat="1" applyFont="1"/>
    <xf numFmtId="43" fontId="5" fillId="0" borderId="0" xfId="9" applyNumberFormat="1" applyFont="1"/>
    <xf numFmtId="0" fontId="9" fillId="0" borderId="0" xfId="10" applyFont="1"/>
    <xf numFmtId="168" fontId="6" fillId="0" borderId="0" xfId="11" applyFont="1" applyAlignment="1">
      <alignment horizontal="centerContinuous"/>
    </xf>
    <xf numFmtId="168" fontId="11" fillId="0" borderId="0" xfId="11" applyFont="1" applyAlignment="1">
      <alignment horizontal="centerContinuous"/>
    </xf>
    <xf numFmtId="168" fontId="5" fillId="0" borderId="0" xfId="11" applyFont="1" applyAlignment="1">
      <alignment horizontal="centerContinuous"/>
    </xf>
    <xf numFmtId="168" fontId="5" fillId="0" borderId="0" xfId="11" applyFont="1"/>
    <xf numFmtId="168" fontId="4" fillId="0" borderId="0" xfId="11" applyFont="1" applyAlignment="1">
      <alignment horizontal="centerContinuous"/>
    </xf>
    <xf numFmtId="168" fontId="4" fillId="0" borderId="2" xfId="11" applyFont="1" applyBorder="1" applyAlignment="1">
      <alignment horizontal="centerContinuous"/>
    </xf>
    <xf numFmtId="168" fontId="5" fillId="0" borderId="2" xfId="11" applyFont="1" applyBorder="1" applyAlignment="1">
      <alignment horizontal="centerContinuous"/>
    </xf>
    <xf numFmtId="168" fontId="5" fillId="0" borderId="2" xfId="11" applyFont="1" applyBorder="1" applyAlignment="1">
      <alignment horizontal="center"/>
    </xf>
    <xf numFmtId="168" fontId="11" fillId="0" borderId="0" xfId="11" applyFont="1" applyAlignment="1">
      <alignment horizontal="center"/>
    </xf>
    <xf numFmtId="168" fontId="5" fillId="0" borderId="0" xfId="11" applyFont="1" applyAlignment="1">
      <alignment horizontal="center"/>
    </xf>
    <xf numFmtId="169" fontId="5" fillId="0" borderId="0" xfId="11" applyNumberFormat="1" applyFont="1"/>
    <xf numFmtId="39" fontId="5" fillId="0" borderId="0" xfId="11" applyNumberFormat="1" applyFont="1"/>
    <xf numFmtId="168" fontId="5" fillId="0" borderId="0" xfId="11" applyFont="1" applyAlignment="1">
      <alignment horizontal="right"/>
    </xf>
    <xf numFmtId="7" fontId="5" fillId="0" borderId="0" xfId="11" applyNumberFormat="1" applyFont="1"/>
    <xf numFmtId="168" fontId="5" fillId="0" borderId="0" xfId="11" quotePrefix="1" applyFont="1" applyAlignment="1">
      <alignment horizontal="right"/>
    </xf>
    <xf numFmtId="39" fontId="5" fillId="0" borderId="0" xfId="11" applyNumberFormat="1" applyFont="1" applyAlignment="1">
      <alignment horizontal="left"/>
    </xf>
    <xf numFmtId="0" fontId="4" fillId="0" borderId="0" xfId="11" applyNumberFormat="1" applyFont="1" applyAlignment="1">
      <alignment horizontal="center"/>
    </xf>
    <xf numFmtId="39" fontId="5" fillId="0" borderId="0" xfId="11" applyNumberFormat="1" applyFont="1" applyAlignment="1">
      <alignment horizontal="center"/>
    </xf>
    <xf numFmtId="39" fontId="5" fillId="0" borderId="2" xfId="11" applyNumberFormat="1" applyFont="1" applyBorder="1" applyAlignment="1">
      <alignment horizontal="center"/>
    </xf>
    <xf numFmtId="168" fontId="5" fillId="0" borderId="0" xfId="11" applyFont="1" applyAlignment="1">
      <alignment horizontal="left"/>
    </xf>
    <xf numFmtId="10" fontId="5" fillId="0" borderId="0" xfId="11" applyNumberFormat="1" applyFont="1"/>
    <xf numFmtId="168" fontId="5" fillId="0" borderId="0" xfId="11" quotePrefix="1" applyFont="1" applyAlignment="1">
      <alignment horizontal="left"/>
    </xf>
    <xf numFmtId="10" fontId="5" fillId="0" borderId="0" xfId="11" applyNumberFormat="1" applyFont="1" applyAlignment="1">
      <alignment horizontal="right"/>
    </xf>
    <xf numFmtId="0" fontId="5" fillId="0" borderId="0" xfId="8" applyFont="1"/>
    <xf numFmtId="17" fontId="5" fillId="0" borderId="0" xfId="8" applyNumberFormat="1" applyFont="1"/>
    <xf numFmtId="4" fontId="5" fillId="0" borderId="0" xfId="8" applyNumberFormat="1" applyFont="1"/>
    <xf numFmtId="0" fontId="5" fillId="0" borderId="5" xfId="8" applyFont="1" applyBorder="1"/>
    <xf numFmtId="0" fontId="5" fillId="0" borderId="5" xfId="8" applyFont="1" applyBorder="1" applyAlignment="1">
      <alignment horizontal="center"/>
    </xf>
    <xf numFmtId="0" fontId="4" fillId="0" borderId="0" xfId="8" applyFont="1" applyAlignment="1">
      <alignment horizontal="center"/>
    </xf>
    <xf numFmtId="4" fontId="5" fillId="0" borderId="8" xfId="8" applyNumberFormat="1" applyFont="1" applyBorder="1"/>
    <xf numFmtId="4" fontId="5" fillId="0" borderId="7" xfId="8" applyNumberFormat="1" applyFont="1" applyBorder="1"/>
    <xf numFmtId="44" fontId="5" fillId="0" borderId="0" xfId="7" applyNumberFormat="1" applyFont="1"/>
    <xf numFmtId="165" fontId="5" fillId="0" borderId="0" xfId="1" applyNumberFormat="1" applyFont="1" applyProtection="1"/>
    <xf numFmtId="43" fontId="5" fillId="0" borderId="0" xfId="1" applyFont="1"/>
    <xf numFmtId="167" fontId="5" fillId="0" borderId="0" xfId="11" applyNumberFormat="1" applyFont="1"/>
    <xf numFmtId="170" fontId="5" fillId="0" borderId="0" xfId="11" applyNumberFormat="1" applyFont="1"/>
    <xf numFmtId="0" fontId="5" fillId="0" borderId="0" xfId="14" applyFont="1"/>
    <xf numFmtId="168" fontId="6" fillId="0" borderId="0" xfId="11" applyFont="1"/>
    <xf numFmtId="0" fontId="4" fillId="0" borderId="0" xfId="7" applyFont="1" applyAlignment="1">
      <alignment horizontal="left"/>
    </xf>
    <xf numFmtId="0" fontId="4" fillId="0" borderId="2" xfId="7" applyFont="1" applyBorder="1" applyAlignment="1">
      <alignment horizontal="left"/>
    </xf>
    <xf numFmtId="0" fontId="5" fillId="0" borderId="0" xfId="8" applyFont="1" applyAlignment="1">
      <alignment horizontal="left"/>
    </xf>
    <xf numFmtId="0" fontId="5" fillId="0" borderId="5" xfId="8" applyFont="1" applyBorder="1" applyAlignment="1">
      <alignment horizontal="left"/>
    </xf>
    <xf numFmtId="168" fontId="5" fillId="0" borderId="2" xfId="11" applyFont="1" applyBorder="1" applyAlignment="1">
      <alignment horizontal="left"/>
    </xf>
    <xf numFmtId="0" fontId="5" fillId="0" borderId="5" xfId="9" applyFont="1" applyBorder="1"/>
    <xf numFmtId="0" fontId="4" fillId="0" borderId="0" xfId="9" applyFont="1" applyAlignment="1">
      <alignment horizontal="right"/>
    </xf>
    <xf numFmtId="0" fontId="4" fillId="0" borderId="0" xfId="9" quotePrefix="1" applyFont="1" applyAlignment="1">
      <alignment horizontal="right"/>
    </xf>
    <xf numFmtId="10" fontId="4" fillId="0" borderId="0" xfId="3" applyNumberFormat="1" applyFont="1"/>
    <xf numFmtId="39" fontId="5" fillId="0" borderId="5" xfId="9" applyNumberFormat="1" applyFont="1" applyBorder="1" applyAlignment="1">
      <alignment horizontal="right"/>
    </xf>
    <xf numFmtId="39" fontId="5" fillId="0" borderId="0" xfId="9" applyNumberFormat="1" applyFont="1" applyAlignment="1">
      <alignment horizontal="center"/>
    </xf>
    <xf numFmtId="39" fontId="5" fillId="0" borderId="0" xfId="9" applyNumberFormat="1" applyFont="1" applyAlignment="1">
      <alignment horizontal="right"/>
    </xf>
    <xf numFmtId="170" fontId="5" fillId="0" borderId="0" xfId="3" applyNumberFormat="1" applyFont="1"/>
    <xf numFmtId="17" fontId="4" fillId="0" borderId="0" xfId="9" applyNumberFormat="1" applyFont="1"/>
    <xf numFmtId="164" fontId="4" fillId="0" borderId="0" xfId="2" applyNumberFormat="1" applyFont="1"/>
    <xf numFmtId="10" fontId="4" fillId="0" borderId="0" xfId="3" applyNumberFormat="1" applyFont="1" applyFill="1"/>
    <xf numFmtId="43" fontId="5" fillId="0" borderId="0" xfId="1" applyFont="1" applyFill="1"/>
    <xf numFmtId="0" fontId="12" fillId="0" borderId="0" xfId="8" applyFont="1"/>
    <xf numFmtId="0" fontId="13" fillId="0" borderId="0" xfId="8" applyFont="1"/>
    <xf numFmtId="0" fontId="12" fillId="0" borderId="0" xfId="8" applyFont="1" applyAlignment="1">
      <alignment horizontal="center"/>
    </xf>
    <xf numFmtId="0" fontId="13" fillId="0" borderId="0" xfId="8" applyFont="1" applyAlignment="1">
      <alignment horizontal="center"/>
    </xf>
    <xf numFmtId="0" fontId="12" fillId="3" borderId="0" xfId="8" applyFont="1" applyFill="1" applyAlignment="1">
      <alignment horizontal="center"/>
    </xf>
    <xf numFmtId="165" fontId="13" fillId="0" borderId="0" xfId="1" applyNumberFormat="1" applyFont="1"/>
    <xf numFmtId="10" fontId="13" fillId="4" borderId="0" xfId="3" applyNumberFormat="1" applyFont="1" applyFill="1"/>
    <xf numFmtId="10" fontId="12" fillId="3" borderId="0" xfId="3" applyNumberFormat="1" applyFont="1" applyFill="1" applyAlignment="1">
      <alignment horizontal="center"/>
    </xf>
    <xf numFmtId="165" fontId="13" fillId="0" borderId="3" xfId="1" applyNumberFormat="1" applyFont="1" applyBorder="1"/>
    <xf numFmtId="10" fontId="13" fillId="0" borderId="0" xfId="8" applyNumberFormat="1" applyFont="1"/>
    <xf numFmtId="0" fontId="12" fillId="3" borderId="0" xfId="8" applyFont="1" applyFill="1"/>
    <xf numFmtId="0" fontId="13" fillId="4" borderId="0" xfId="8" applyFont="1" applyFill="1"/>
    <xf numFmtId="10" fontId="12" fillId="3" borderId="0" xfId="3" applyNumberFormat="1" applyFont="1" applyFill="1"/>
    <xf numFmtId="167" fontId="5" fillId="0" borderId="0" xfId="3" applyNumberFormat="1" applyFont="1" applyFill="1"/>
    <xf numFmtId="14" fontId="4" fillId="0" borderId="0" xfId="9" quotePrefix="1" applyNumberFormat="1" applyFont="1" applyAlignment="1">
      <alignment horizontal="right"/>
    </xf>
    <xf numFmtId="165" fontId="5" fillId="0" borderId="0" xfId="9" applyNumberFormat="1" applyFont="1"/>
    <xf numFmtId="164" fontId="5" fillId="0" borderId="0" xfId="2" applyNumberFormat="1" applyFont="1" applyProtection="1"/>
    <xf numFmtId="164" fontId="5" fillId="0" borderId="0" xfId="11" applyNumberFormat="1" applyFont="1"/>
    <xf numFmtId="164" fontId="5" fillId="0" borderId="0" xfId="1" applyNumberFormat="1" applyFont="1" applyProtection="1"/>
    <xf numFmtId="164" fontId="5" fillId="0" borderId="5" xfId="11" applyNumberFormat="1" applyFont="1" applyBorder="1"/>
    <xf numFmtId="164" fontId="5" fillId="0" borderId="7" xfId="11" applyNumberFormat="1" applyFont="1" applyBorder="1"/>
    <xf numFmtId="164" fontId="5" fillId="0" borderId="0" xfId="11" applyNumberFormat="1" applyFont="1" applyAlignment="1">
      <alignment horizontal="left"/>
    </xf>
    <xf numFmtId="164" fontId="5" fillId="0" borderId="0" xfId="12" applyNumberFormat="1" applyFont="1" applyProtection="1"/>
    <xf numFmtId="164" fontId="5" fillId="0" borderId="0" xfId="13" applyNumberFormat="1" applyFont="1" applyProtection="1"/>
    <xf numFmtId="164" fontId="5" fillId="0" borderId="5" xfId="13" applyNumberFormat="1" applyFont="1" applyBorder="1" applyProtection="1"/>
    <xf numFmtId="164" fontId="5" fillId="0" borderId="5" xfId="12" applyNumberFormat="1" applyFont="1" applyBorder="1" applyProtection="1"/>
    <xf numFmtId="164" fontId="5" fillId="0" borderId="0" xfId="1" applyNumberFormat="1" applyFont="1"/>
    <xf numFmtId="164" fontId="5" fillId="0" borderId="7" xfId="13" applyNumberFormat="1" applyFont="1" applyBorder="1" applyProtection="1"/>
    <xf numFmtId="164" fontId="5" fillId="0" borderId="0" xfId="11" applyNumberFormat="1" applyFont="1" applyAlignment="1">
      <alignment horizontal="right"/>
    </xf>
    <xf numFmtId="165" fontId="5" fillId="0" borderId="5" xfId="1" applyNumberFormat="1" applyFont="1" applyBorder="1" applyProtection="1"/>
    <xf numFmtId="165" fontId="5" fillId="0" borderId="5" xfId="1" applyNumberFormat="1" applyFont="1" applyBorder="1"/>
    <xf numFmtId="164" fontId="5" fillId="0" borderId="3" xfId="2" applyNumberFormat="1" applyFont="1" applyBorder="1"/>
    <xf numFmtId="164" fontId="5" fillId="0" borderId="0" xfId="7" applyNumberFormat="1" applyFont="1"/>
    <xf numFmtId="164" fontId="5" fillId="0" borderId="0" xfId="2" applyNumberFormat="1" applyFont="1" applyBorder="1"/>
    <xf numFmtId="0" fontId="6" fillId="0" borderId="0" xfId="8" applyFont="1" applyAlignment="1">
      <alignment horizontal="center"/>
    </xf>
    <xf numFmtId="0" fontId="6" fillId="0" borderId="0" xfId="9" applyFont="1" applyAlignment="1">
      <alignment horizontal="center"/>
    </xf>
    <xf numFmtId="168" fontId="6" fillId="0" borderId="0" xfId="11" applyFont="1" applyAlignment="1">
      <alignment horizontal="center"/>
    </xf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2" xfId="4" applyFont="1" applyBorder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4" fillId="0" borderId="0" xfId="9" applyFont="1"/>
    <xf numFmtId="0" fontId="5" fillId="0" borderId="0" xfId="9" applyFont="1"/>
    <xf numFmtId="0" fontId="6" fillId="0" borderId="0" xfId="9" applyFont="1" applyAlignment="1">
      <alignment horizontal="center"/>
    </xf>
    <xf numFmtId="0" fontId="4" fillId="0" borderId="0" xfId="9" applyFont="1" applyAlignment="1">
      <alignment horizontal="right"/>
    </xf>
    <xf numFmtId="0" fontId="5" fillId="0" borderId="0" xfId="9" applyFont="1" applyAlignment="1">
      <alignment horizontal="right"/>
    </xf>
    <xf numFmtId="166" fontId="4" fillId="0" borderId="0" xfId="9" applyNumberFormat="1" applyFont="1"/>
    <xf numFmtId="168" fontId="6" fillId="0" borderId="0" xfId="11" applyFont="1" applyAlignment="1">
      <alignment horizontal="center"/>
    </xf>
    <xf numFmtId="168" fontId="4" fillId="0" borderId="0" xfId="11" applyFont="1" applyAlignment="1">
      <alignment horizontal="center"/>
    </xf>
    <xf numFmtId="0" fontId="4" fillId="0" borderId="0" xfId="11" applyNumberFormat="1" applyFont="1" applyAlignment="1">
      <alignment horizontal="center"/>
    </xf>
    <xf numFmtId="0" fontId="6" fillId="0" borderId="0" xfId="8" applyFont="1" applyAlignment="1">
      <alignment horizontal="center"/>
    </xf>
    <xf numFmtId="0" fontId="4" fillId="0" borderId="0" xfId="8" applyFont="1" applyAlignment="1">
      <alignment horizontal="center"/>
    </xf>
  </cellXfs>
  <cellStyles count="15">
    <cellStyle name="Comma" xfId="1" builtinId="3"/>
    <cellStyle name="Comma 2" xfId="5" xr:uid="{00000000-0005-0000-0000-000001000000}"/>
    <cellStyle name="Comma_CB3DustCollector" xfId="12" xr:uid="{00000000-0005-0000-0000-000002000000}"/>
    <cellStyle name="Currency" xfId="2" builtinId="4"/>
    <cellStyle name="Currency_CB3DustCollector" xfId="13" xr:uid="{00000000-0005-0000-0000-000004000000}"/>
    <cellStyle name="Normal" xfId="0" builtinId="0"/>
    <cellStyle name="Normal 2" xfId="6" xr:uid="{00000000-0005-0000-0000-000006000000}"/>
    <cellStyle name="Normal 3" xfId="8" xr:uid="{00000000-0005-0000-0000-000007000000}"/>
    <cellStyle name="Normal_CB3DustCollector" xfId="11" xr:uid="{00000000-0005-0000-0000-000008000000}"/>
    <cellStyle name="Normal_GasProjSum_SD" xfId="7" xr:uid="{00000000-0005-0000-0000-000009000000}"/>
    <cellStyle name="Normal_Project 11045 - Work Management System - Workpaper B" xfId="10" xr:uid="{00000000-0005-0000-0000-00000A000000}"/>
    <cellStyle name="Normal_Project 11094" xfId="9" xr:uid="{00000000-0005-0000-0000-00000B000000}"/>
    <cellStyle name="Normal_Project 15574 - DSM Peak Shaving - Workpaper E" xfId="14" xr:uid="{00000000-0005-0000-0000-00000C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2.png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360045</xdr:colOff>
      <xdr:row>9</xdr:row>
      <xdr:rowOff>45085</xdr:rowOff>
    </xdr:from>
    <xdr:to>
      <xdr:col>8</xdr:col>
      <xdr:colOff>472440</xdr:colOff>
      <xdr:row>33</xdr:row>
      <xdr:rowOff>93564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29D-D8F6-6843-CB0E-D05F24F03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670" y="1188085"/>
          <a:ext cx="4144645" cy="311171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42</xdr:row>
      <xdr:rowOff>28984</xdr:rowOff>
    </xdr:from>
    <xdr:to>
      <xdr:col>9</xdr:col>
      <xdr:colOff>211455</xdr:colOff>
      <xdr:row>81</xdr:row>
      <xdr:rowOff>34511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F86BCD-9139-99B6-3F5F-F2932141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4025" y="5362984"/>
          <a:ext cx="4730115" cy="4958527"/>
        </a:xfrm>
        <a:prstGeom prst="rect">
          <a:avLst/>
        </a:prstGeom>
      </xdr:spPr>
    </xdr:pic>
    <xdr:clientData/>
  </xdr:twoCellAnchor>
  <xdr:twoCellAnchor editAs="oneCell">
    <xdr:from>
      <xdr:col>1</xdr:col>
      <xdr:colOff>157481</xdr:colOff>
      <xdr:row>73</xdr:row>
      <xdr:rowOff>10159</xdr:rowOff>
    </xdr:from>
    <xdr:to>
      <xdr:col>9</xdr:col>
      <xdr:colOff>210359</xdr:colOff>
      <xdr:row>115</xdr:row>
      <xdr:rowOff>20627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2B661E-C64B-DD79-D35C-93D646395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9106" y="9281159"/>
          <a:ext cx="4706793" cy="5348278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114</xdr:row>
      <xdr:rowOff>116242</xdr:rowOff>
    </xdr:from>
    <xdr:to>
      <xdr:col>9</xdr:col>
      <xdr:colOff>173990</xdr:colOff>
      <xdr:row>120</xdr:row>
      <xdr:rowOff>19800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C74A7DC-B934-843A-27B0-AAB67364D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1325" y="14594242"/>
          <a:ext cx="4705350" cy="661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</xdr:row>
      <xdr:rowOff>51082</xdr:rowOff>
    </xdr:from>
    <xdr:to>
      <xdr:col>9</xdr:col>
      <xdr:colOff>474615</xdr:colOff>
      <xdr:row>159</xdr:row>
      <xdr:rowOff>59054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0F5F714-0EF2-65D8-80BD-C2D6FC6CE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958082"/>
          <a:ext cx="5443490" cy="228254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159</xdr:row>
      <xdr:rowOff>23495</xdr:rowOff>
    </xdr:from>
    <xdr:to>
      <xdr:col>9</xdr:col>
      <xdr:colOff>440830</xdr:colOff>
      <xdr:row>178</xdr:row>
      <xdr:rowOff>34925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9B6D5FF-1A71-0B8B-1259-7EC567FD6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20216495"/>
          <a:ext cx="5371605" cy="242443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</xdr:colOff>
      <xdr:row>130</xdr:row>
      <xdr:rowOff>7620</xdr:rowOff>
    </xdr:from>
    <xdr:to>
      <xdr:col>9</xdr:col>
      <xdr:colOff>497205</xdr:colOff>
      <xdr:row>141</xdr:row>
      <xdr:rowOff>96653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89173F-F905-F20A-604F-0710A2A0E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670" y="16517620"/>
          <a:ext cx="5439410" cy="1478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266065</xdr:colOff>
      <xdr:row>10</xdr:row>
      <xdr:rowOff>44450</xdr:rowOff>
    </xdr:from>
    <xdr:to>
      <xdr:col>9</xdr:col>
      <xdr:colOff>575310</xdr:colOff>
      <xdr:row>43</xdr:row>
      <xdr:rowOff>28712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E8D0FEE-6852-FD69-F0E8-AA98DB833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065" y="1314450"/>
          <a:ext cx="5278120" cy="4175262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70</xdr:row>
      <xdr:rowOff>25400</xdr:rowOff>
    </xdr:from>
    <xdr:to>
      <xdr:col>10</xdr:col>
      <xdr:colOff>218577</xdr:colOff>
      <xdr:row>119</xdr:row>
      <xdr:rowOff>22502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2EAE049-CDD5-7EB2-B4F5-224BF6CAF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8915400"/>
          <a:ext cx="5604012" cy="622581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89</xdr:row>
      <xdr:rowOff>76200</xdr:rowOff>
    </xdr:from>
    <xdr:to>
      <xdr:col>10</xdr:col>
      <xdr:colOff>208404</xdr:colOff>
      <xdr:row>93</xdr:row>
      <xdr:rowOff>91517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8CAEE01-D737-48A4-F00B-1E7B23552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" y="11944350"/>
          <a:ext cx="5437629" cy="5487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</xdr:row>
      <xdr:rowOff>1</xdr:rowOff>
    </xdr:from>
    <xdr:to>
      <xdr:col>9</xdr:col>
      <xdr:colOff>174011</xdr:colOff>
      <xdr:row>191</xdr:row>
      <xdr:rowOff>38101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4B2F3AD-4EB1-C251-F0B2-3E7B34D31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1202651"/>
          <a:ext cx="5100341" cy="24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1</xdr:rowOff>
    </xdr:from>
    <xdr:to>
      <xdr:col>9</xdr:col>
      <xdr:colOff>135254</xdr:colOff>
      <xdr:row>209</xdr:row>
      <xdr:rowOff>58731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50056F0-B14D-CBBA-6C77-CDE3B728B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3602951"/>
          <a:ext cx="5055869" cy="2455220"/>
        </a:xfrm>
        <a:prstGeom prst="rect">
          <a:avLst/>
        </a:prstGeom>
      </xdr:spPr>
    </xdr:pic>
    <xdr:clientData/>
  </xdr:twoCellAnchor>
  <xdr:twoCellAnchor editAs="oneCell">
    <xdr:from>
      <xdr:col>0</xdr:col>
      <xdr:colOff>224791</xdr:colOff>
      <xdr:row>111</xdr:row>
      <xdr:rowOff>47625</xdr:rowOff>
    </xdr:from>
    <xdr:to>
      <xdr:col>10</xdr:col>
      <xdr:colOff>113306</xdr:colOff>
      <xdr:row>131</xdr:row>
      <xdr:rowOff>53340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8C4B309-360E-4E86-C483-5554F4D8C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4791" y="14144625"/>
          <a:ext cx="5492390" cy="2545715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</xdr:colOff>
      <xdr:row>139</xdr:row>
      <xdr:rowOff>28575</xdr:rowOff>
    </xdr:from>
    <xdr:to>
      <xdr:col>10</xdr:col>
      <xdr:colOff>323850</xdr:colOff>
      <xdr:row>153</xdr:row>
      <xdr:rowOff>91726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9EA6E10-4632-3904-BE8C-EEF5779F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865" y="16697325"/>
          <a:ext cx="5819775" cy="19262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9</xdr:col>
      <xdr:colOff>548640</xdr:colOff>
      <xdr:row>172</xdr:row>
      <xdr:rowOff>58519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61BDE0E-E76F-262D-6D6A-B4D8A01E8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8669000"/>
          <a:ext cx="5486400" cy="24626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99</xdr:row>
      <xdr:rowOff>52070</xdr:rowOff>
    </xdr:from>
    <xdr:to>
      <xdr:col>9</xdr:col>
      <xdr:colOff>512569</xdr:colOff>
      <xdr:row>103</xdr:row>
      <xdr:rowOff>59767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C92135-92BE-46A8-AD39-F55DF856C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" y="12244070"/>
          <a:ext cx="5459219" cy="52522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257</xdr:row>
      <xdr:rowOff>88266</xdr:rowOff>
    </xdr:from>
    <xdr:to>
      <xdr:col>9</xdr:col>
      <xdr:colOff>398801</xdr:colOff>
      <xdr:row>275</xdr:row>
      <xdr:rowOff>110491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C54BD5-96EE-4E2D-95BB-E808D6C09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31457266"/>
          <a:ext cx="5142886" cy="2308225"/>
        </a:xfrm>
        <a:prstGeom prst="rect">
          <a:avLst/>
        </a:prstGeom>
      </xdr:spPr>
    </xdr:pic>
    <xdr:clientData/>
  </xdr:twoCellAnchor>
  <xdr:twoCellAnchor editAs="oneCell">
    <xdr:from>
      <xdr:col>0</xdr:col>
      <xdr:colOff>250190</xdr:colOff>
      <xdr:row>282</xdr:row>
      <xdr:rowOff>1</xdr:rowOff>
    </xdr:from>
    <xdr:to>
      <xdr:col>9</xdr:col>
      <xdr:colOff>400684</xdr:colOff>
      <xdr:row>300</xdr:row>
      <xdr:rowOff>39681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7468287-3090-4B7F-B0B5-1DD2CFB19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0190" y="35560001"/>
          <a:ext cx="5109844" cy="232568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</xdr:row>
      <xdr:rowOff>111126</xdr:rowOff>
    </xdr:from>
    <xdr:to>
      <xdr:col>9</xdr:col>
      <xdr:colOff>516255</xdr:colOff>
      <xdr:row>42</xdr:row>
      <xdr:rowOff>16411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9CF9701-A33C-4C50-ABCA-8E76512B3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1000126"/>
          <a:ext cx="5397500" cy="4084855"/>
        </a:xfrm>
        <a:prstGeom prst="rect">
          <a:avLst/>
        </a:prstGeom>
      </xdr:spPr>
    </xdr:pic>
    <xdr:clientData/>
  </xdr:twoCellAnchor>
  <xdr:twoCellAnchor editAs="oneCell">
    <xdr:from>
      <xdr:col>0</xdr:col>
      <xdr:colOff>288292</xdr:colOff>
      <xdr:row>50</xdr:row>
      <xdr:rowOff>35561</xdr:rowOff>
    </xdr:from>
    <xdr:to>
      <xdr:col>9</xdr:col>
      <xdr:colOff>190083</xdr:colOff>
      <xdr:row>90</xdr:row>
      <xdr:rowOff>79376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A338FA1-693C-C528-A0B6-3CB7F3B53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8292" y="6004561"/>
          <a:ext cx="4870666" cy="5123815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</xdr:colOff>
      <xdr:row>103</xdr:row>
      <xdr:rowOff>75565</xdr:rowOff>
    </xdr:from>
    <xdr:to>
      <xdr:col>9</xdr:col>
      <xdr:colOff>301454</xdr:colOff>
      <xdr:row>148</xdr:row>
      <xdr:rowOff>94907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53D6583-10F5-8D2F-0E50-E92F04A89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3060" y="12775565"/>
          <a:ext cx="4917269" cy="5745772"/>
        </a:xfrm>
        <a:prstGeom prst="rect">
          <a:avLst/>
        </a:prstGeom>
      </xdr:spPr>
    </xdr:pic>
    <xdr:clientData/>
  </xdr:twoCellAnchor>
  <xdr:twoCellAnchor editAs="oneCell">
    <xdr:from>
      <xdr:col>0</xdr:col>
      <xdr:colOff>208280</xdr:colOff>
      <xdr:row>158</xdr:row>
      <xdr:rowOff>95884</xdr:rowOff>
    </xdr:from>
    <xdr:to>
      <xdr:col>9</xdr:col>
      <xdr:colOff>211574</xdr:colOff>
      <xdr:row>200</xdr:row>
      <xdr:rowOff>15875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ABA9ADD-235B-11C2-C0EE-1044D7F90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8280" y="19526884"/>
          <a:ext cx="4972169" cy="5253991"/>
        </a:xfrm>
        <a:prstGeom prst="rect">
          <a:avLst/>
        </a:prstGeom>
      </xdr:spPr>
    </xdr:pic>
    <xdr:clientData/>
  </xdr:twoCellAnchor>
  <xdr:twoCellAnchor editAs="oneCell">
    <xdr:from>
      <xdr:col>0</xdr:col>
      <xdr:colOff>285115</xdr:colOff>
      <xdr:row>199</xdr:row>
      <xdr:rowOff>81282</xdr:rowOff>
    </xdr:from>
    <xdr:to>
      <xdr:col>9</xdr:col>
      <xdr:colOff>135890</xdr:colOff>
      <xdr:row>218</xdr:row>
      <xdr:rowOff>21786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E8BA5A9-EB1E-00FA-2FD3-4808A8D3B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115" y="24719282"/>
          <a:ext cx="4829175" cy="2363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9</xdr:col>
      <xdr:colOff>492125</xdr:colOff>
      <xdr:row>239</xdr:row>
      <xdr:rowOff>40916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889A1CA-BACD-EF3A-8FC8-42FDE21E3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7432000"/>
          <a:ext cx="5461000" cy="1691916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239</xdr:row>
      <xdr:rowOff>3176</xdr:rowOff>
    </xdr:from>
    <xdr:to>
      <xdr:col>9</xdr:col>
      <xdr:colOff>549911</xdr:colOff>
      <xdr:row>257</xdr:row>
      <xdr:rowOff>17878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4AC3B8E-7306-1CE7-B84F-F7790A86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001" y="29086176"/>
          <a:ext cx="5395595" cy="2314037"/>
        </a:xfrm>
        <a:prstGeom prst="rect">
          <a:avLst/>
        </a:prstGeom>
      </xdr:spPr>
    </xdr:pic>
    <xdr:clientData/>
  </xdr:twoCellAnchor>
  <xdr:twoCellAnchor editAs="oneCell">
    <xdr:from>
      <xdr:col>0</xdr:col>
      <xdr:colOff>226060</xdr:colOff>
      <xdr:row>300</xdr:row>
      <xdr:rowOff>27940</xdr:rowOff>
    </xdr:from>
    <xdr:to>
      <xdr:col>9</xdr:col>
      <xdr:colOff>360781</xdr:colOff>
      <xdr:row>318</xdr:row>
      <xdr:rowOff>55880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C43857E-ED28-A842-761B-F98920F6C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6060" y="37873940"/>
          <a:ext cx="5107406" cy="2327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</xdr:row>
      <xdr:rowOff>27940</xdr:rowOff>
    </xdr:from>
    <xdr:to>
      <xdr:col>9</xdr:col>
      <xdr:colOff>476543</xdr:colOff>
      <xdr:row>372</xdr:row>
      <xdr:rowOff>78740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50A3A-DC60-8925-6F8E-DB2C7FD6E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44350940"/>
          <a:ext cx="5441608" cy="2971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</xdr:colOff>
      <xdr:row>37</xdr:row>
      <xdr:rowOff>71755</xdr:rowOff>
    </xdr:from>
    <xdr:to>
      <xdr:col>9</xdr:col>
      <xdr:colOff>286289</xdr:colOff>
      <xdr:row>70</xdr:row>
      <xdr:rowOff>15875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312470F-5761-1B2A-7F8E-C4A261D63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" y="4770755"/>
          <a:ext cx="5125624" cy="413512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69</xdr:row>
      <xdr:rowOff>74931</xdr:rowOff>
    </xdr:from>
    <xdr:to>
      <xdr:col>9</xdr:col>
      <xdr:colOff>584561</xdr:colOff>
      <xdr:row>95</xdr:row>
      <xdr:rowOff>111760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7391518-4443-50D1-F524-3FDF7CA2E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8837931"/>
          <a:ext cx="5521686" cy="3338829"/>
        </a:xfrm>
        <a:prstGeom prst="rect">
          <a:avLst/>
        </a:prstGeom>
      </xdr:spPr>
    </xdr:pic>
    <xdr:clientData/>
  </xdr:twoCellAnchor>
  <xdr:twoCellAnchor editAs="oneCell">
    <xdr:from>
      <xdr:col>0</xdr:col>
      <xdr:colOff>128905</xdr:colOff>
      <xdr:row>106</xdr:row>
      <xdr:rowOff>111125</xdr:rowOff>
    </xdr:from>
    <xdr:to>
      <xdr:col>9</xdr:col>
      <xdr:colOff>421004</xdr:colOff>
      <xdr:row>126</xdr:row>
      <xdr:rowOff>40429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99D5A1F-26AF-9BE4-F528-DBE90E95A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905" y="13573125"/>
          <a:ext cx="5260974" cy="2469304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126</xdr:row>
      <xdr:rowOff>47626</xdr:rowOff>
    </xdr:from>
    <xdr:to>
      <xdr:col>9</xdr:col>
      <xdr:colOff>430530</xdr:colOff>
      <xdr:row>137</xdr:row>
      <xdr:rowOff>95370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61F37F3-EE3A-DFCA-42BE-D4CB07642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900" y="16049626"/>
          <a:ext cx="5308600" cy="1440934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</xdr:colOff>
      <xdr:row>138</xdr:row>
      <xdr:rowOff>3176</xdr:rowOff>
    </xdr:from>
    <xdr:to>
      <xdr:col>9</xdr:col>
      <xdr:colOff>537131</xdr:colOff>
      <xdr:row>156</xdr:row>
      <xdr:rowOff>3176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2927734-4603-A4B1-5914-48F98604F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530" y="17529176"/>
          <a:ext cx="5456476" cy="2282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zoomScaleNormal="100" workbookViewId="0">
      <selection sqref="A1:H1"/>
    </sheetView>
  </sheetViews>
  <sheetFormatPr defaultColWidth="8" defaultRowHeight="11.25" x14ac:dyDescent="0.2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 x14ac:dyDescent="0.2">
      <c r="A1" s="141"/>
      <c r="B1" s="141"/>
      <c r="C1" s="141"/>
      <c r="D1" s="141"/>
      <c r="E1" s="141"/>
      <c r="F1" s="141"/>
      <c r="G1" s="141"/>
      <c r="H1" s="141"/>
    </row>
    <row r="2" spans="1:8" x14ac:dyDescent="0.2">
      <c r="A2" s="141"/>
      <c r="B2" s="141"/>
      <c r="C2" s="141"/>
      <c r="D2" s="141"/>
      <c r="E2" s="141"/>
      <c r="F2" s="141"/>
      <c r="G2" s="141"/>
      <c r="H2" s="141"/>
    </row>
    <row r="4" spans="1:8" x14ac:dyDescent="0.2">
      <c r="A4" s="141"/>
      <c r="B4" s="141"/>
      <c r="C4" s="141"/>
      <c r="D4" s="141"/>
      <c r="E4" s="141"/>
      <c r="F4" s="141"/>
      <c r="G4" s="141"/>
      <c r="H4" s="141"/>
    </row>
    <row r="5" spans="1:8" x14ac:dyDescent="0.2">
      <c r="A5" s="141" t="s">
        <v>0</v>
      </c>
      <c r="B5" s="141"/>
      <c r="C5" s="141"/>
      <c r="D5" s="141"/>
      <c r="E5" s="141"/>
      <c r="F5" s="141"/>
      <c r="G5" s="141"/>
      <c r="H5" s="141"/>
    </row>
    <row r="6" spans="1:8" x14ac:dyDescent="0.2">
      <c r="A6" s="5" t="s">
        <v>1</v>
      </c>
    </row>
    <row r="7" spans="1:8" ht="12" thickBot="1" x14ac:dyDescent="0.25">
      <c r="A7" s="2" t="s">
        <v>108</v>
      </c>
      <c r="C7" s="139" t="s">
        <v>2</v>
      </c>
      <c r="D7" s="140"/>
      <c r="F7" s="3" t="s">
        <v>3</v>
      </c>
      <c r="H7" s="3" t="s">
        <v>4</v>
      </c>
    </row>
    <row r="8" spans="1:8" x14ac:dyDescent="0.2">
      <c r="A8" s="5"/>
      <c r="C8" s="138" t="s">
        <v>5</v>
      </c>
      <c r="D8" s="138"/>
      <c r="F8" s="30" t="s">
        <v>6</v>
      </c>
      <c r="H8" s="30" t="s">
        <v>7</v>
      </c>
    </row>
    <row r="9" spans="1:8" x14ac:dyDescent="0.2">
      <c r="A9" s="5"/>
      <c r="C9" s="30"/>
      <c r="F9" s="30"/>
      <c r="H9" s="30"/>
    </row>
    <row r="10" spans="1:8" x14ac:dyDescent="0.2">
      <c r="A10" s="1">
        <v>1</v>
      </c>
      <c r="C10" s="1" t="s">
        <v>8</v>
      </c>
    </row>
    <row r="11" spans="1:8" x14ac:dyDescent="0.2">
      <c r="A11" s="1">
        <f t="shared" ref="A11:A34" si="0">A10+1</f>
        <v>2</v>
      </c>
      <c r="C11" s="1" t="s">
        <v>9</v>
      </c>
      <c r="F11" s="4" t="s">
        <v>9</v>
      </c>
      <c r="H11" s="1" t="s">
        <v>9</v>
      </c>
    </row>
    <row r="12" spans="1:8" x14ac:dyDescent="0.2">
      <c r="A12" s="1">
        <f t="shared" si="0"/>
        <v>3</v>
      </c>
      <c r="C12" s="5" t="s">
        <v>10</v>
      </c>
      <c r="H12" s="1" t="s">
        <v>9</v>
      </c>
    </row>
    <row r="13" spans="1:8" x14ac:dyDescent="0.2">
      <c r="A13" s="1">
        <f t="shared" si="0"/>
        <v>4</v>
      </c>
    </row>
    <row r="14" spans="1:8" x14ac:dyDescent="0.2">
      <c r="A14" s="1">
        <f t="shared" si="0"/>
        <v>5</v>
      </c>
      <c r="C14" s="5" t="s">
        <v>11</v>
      </c>
      <c r="D14" s="6" t="s">
        <v>9</v>
      </c>
    </row>
    <row r="15" spans="1:8" x14ac:dyDescent="0.2">
      <c r="A15" s="1">
        <f t="shared" si="0"/>
        <v>6</v>
      </c>
      <c r="C15" s="1" t="s">
        <v>12</v>
      </c>
      <c r="D15" s="6" t="s">
        <v>9</v>
      </c>
      <c r="F15" s="7">
        <f>'WP B, pg 2 &amp; 3'!F17</f>
        <v>57872.56</v>
      </c>
      <c r="H15" s="1" t="s">
        <v>13</v>
      </c>
    </row>
    <row r="16" spans="1:8" x14ac:dyDescent="0.2">
      <c r="A16" s="1">
        <f t="shared" si="0"/>
        <v>7</v>
      </c>
      <c r="C16" s="1" t="s">
        <v>14</v>
      </c>
      <c r="F16" s="4">
        <f>SUM('WP B, pg 2 &amp; 3'!H17)</f>
        <v>0</v>
      </c>
      <c r="H16" s="1" t="s">
        <v>13</v>
      </c>
    </row>
    <row r="17" spans="1:8" x14ac:dyDescent="0.2">
      <c r="A17" s="1">
        <f t="shared" si="0"/>
        <v>8</v>
      </c>
      <c r="C17" s="1" t="s">
        <v>15</v>
      </c>
      <c r="F17" s="8">
        <f>SUM('WP B, pg 2 &amp; 3'!J17)</f>
        <v>0</v>
      </c>
      <c r="H17" s="1" t="s">
        <v>13</v>
      </c>
    </row>
    <row r="18" spans="1:8" x14ac:dyDescent="0.2">
      <c r="A18" s="1">
        <f t="shared" si="0"/>
        <v>9</v>
      </c>
      <c r="C18" s="1" t="s">
        <v>16</v>
      </c>
      <c r="F18" s="8">
        <f>SUM('WP B, pg 2 &amp; 3'!L17)</f>
        <v>3252750.3499999996</v>
      </c>
      <c r="H18" s="1" t="s">
        <v>13</v>
      </c>
    </row>
    <row r="19" spans="1:8" ht="12" thickBot="1" x14ac:dyDescent="0.25">
      <c r="A19" s="1">
        <f t="shared" si="0"/>
        <v>10</v>
      </c>
      <c r="C19" s="1" t="s">
        <v>17</v>
      </c>
      <c r="F19" s="8">
        <f>SUM('WP B, pg 2 &amp; 3'!N17)</f>
        <v>0</v>
      </c>
      <c r="H19" s="1" t="s">
        <v>13</v>
      </c>
    </row>
    <row r="20" spans="1:8" ht="12" thickBot="1" x14ac:dyDescent="0.25">
      <c r="A20" s="1">
        <f t="shared" si="0"/>
        <v>11</v>
      </c>
      <c r="C20" s="5" t="s">
        <v>18</v>
      </c>
      <c r="F20" s="9">
        <f>SUM(F15:F19)</f>
        <v>3310622.9099999997</v>
      </c>
    </row>
    <row r="21" spans="1:8" x14ac:dyDescent="0.2">
      <c r="A21" s="1">
        <f t="shared" si="0"/>
        <v>12</v>
      </c>
      <c r="F21" s="1" t="s">
        <v>19</v>
      </c>
    </row>
    <row r="22" spans="1:8" x14ac:dyDescent="0.2">
      <c r="A22" s="1">
        <f t="shared" si="0"/>
        <v>13</v>
      </c>
      <c r="C22" s="5" t="s">
        <v>20</v>
      </c>
    </row>
    <row r="23" spans="1:8" x14ac:dyDescent="0.2">
      <c r="A23" s="1">
        <f t="shared" si="0"/>
        <v>14</v>
      </c>
      <c r="C23" s="1" t="s">
        <v>12</v>
      </c>
      <c r="D23" s="6" t="s">
        <v>9</v>
      </c>
      <c r="F23" s="7">
        <f>SUM('WP B, pg 2 &amp; 3'!F42)</f>
        <v>751.24</v>
      </c>
      <c r="H23" s="1" t="s">
        <v>21</v>
      </c>
    </row>
    <row r="24" spans="1:8" x14ac:dyDescent="0.2">
      <c r="A24" s="1">
        <f t="shared" si="0"/>
        <v>15</v>
      </c>
      <c r="C24" s="1" t="s">
        <v>14</v>
      </c>
      <c r="F24" s="4">
        <f>SUM('WP B, pg 2 &amp; 3'!H42)</f>
        <v>0</v>
      </c>
      <c r="H24" s="1" t="s">
        <v>21</v>
      </c>
    </row>
    <row r="25" spans="1:8" x14ac:dyDescent="0.2">
      <c r="A25" s="1">
        <f t="shared" si="0"/>
        <v>16</v>
      </c>
      <c r="C25" s="1" t="s">
        <v>15</v>
      </c>
      <c r="F25" s="8">
        <f>SUM('WP B, pg 2 &amp; 3'!J42)</f>
        <v>0</v>
      </c>
      <c r="H25" s="1" t="s">
        <v>21</v>
      </c>
    </row>
    <row r="26" spans="1:8" x14ac:dyDescent="0.2">
      <c r="A26" s="1">
        <f t="shared" si="0"/>
        <v>17</v>
      </c>
      <c r="C26" s="1" t="s">
        <v>16</v>
      </c>
      <c r="F26" s="8">
        <f>SUM('WP B, pg 2 &amp; 3'!L42)</f>
        <v>57272.01</v>
      </c>
      <c r="H26" s="1" t="s">
        <v>21</v>
      </c>
    </row>
    <row r="27" spans="1:8" ht="12" thickBot="1" x14ac:dyDescent="0.25">
      <c r="A27" s="1">
        <f t="shared" si="0"/>
        <v>18</v>
      </c>
      <c r="C27" s="1" t="s">
        <v>17</v>
      </c>
      <c r="F27" s="8">
        <f>SUM('WP B, pg 2 &amp; 3'!N42)</f>
        <v>0</v>
      </c>
      <c r="H27" s="1" t="s">
        <v>21</v>
      </c>
    </row>
    <row r="28" spans="1:8" ht="12" thickBot="1" x14ac:dyDescent="0.25">
      <c r="A28" s="1">
        <f t="shared" si="0"/>
        <v>19</v>
      </c>
      <c r="C28" s="5" t="s">
        <v>22</v>
      </c>
      <c r="F28" s="9">
        <f>SUM(F23:F27)</f>
        <v>58023.25</v>
      </c>
    </row>
    <row r="29" spans="1:8" x14ac:dyDescent="0.2">
      <c r="A29" s="1">
        <f t="shared" si="0"/>
        <v>20</v>
      </c>
      <c r="F29" s="1" t="s">
        <v>19</v>
      </c>
    </row>
    <row r="30" spans="1:8" ht="12" thickBot="1" x14ac:dyDescent="0.25">
      <c r="A30" s="1">
        <f t="shared" si="0"/>
        <v>21</v>
      </c>
      <c r="C30" s="5" t="s">
        <v>23</v>
      </c>
    </row>
    <row r="31" spans="1:8" ht="12" thickBot="1" x14ac:dyDescent="0.25">
      <c r="A31" s="1">
        <f t="shared" si="0"/>
        <v>22</v>
      </c>
      <c r="C31" s="32" t="s">
        <v>24</v>
      </c>
      <c r="F31" s="9">
        <f>+'WP B, pg 2 &amp; 3'!T42</f>
        <v>-10917.829999999998</v>
      </c>
      <c r="H31" s="1" t="s">
        <v>21</v>
      </c>
    </row>
    <row r="32" spans="1:8" x14ac:dyDescent="0.2">
      <c r="A32" s="1">
        <f t="shared" si="0"/>
        <v>23</v>
      </c>
      <c r="F32" s="1" t="s">
        <v>19</v>
      </c>
    </row>
    <row r="33" spans="1:8" ht="12" thickBot="1" x14ac:dyDescent="0.25">
      <c r="A33" s="1">
        <f t="shared" si="0"/>
        <v>24</v>
      </c>
      <c r="C33" s="5" t="s">
        <v>25</v>
      </c>
    </row>
    <row r="34" spans="1:8" ht="12" thickBot="1" x14ac:dyDescent="0.25">
      <c r="A34" s="1">
        <f t="shared" si="0"/>
        <v>25</v>
      </c>
      <c r="C34" s="5" t="s">
        <v>26</v>
      </c>
      <c r="F34" s="10">
        <f>SUM('WP B, pg 2 &amp; 3'!R42)</f>
        <v>96551.65</v>
      </c>
      <c r="H34" s="1" t="s">
        <v>21</v>
      </c>
    </row>
    <row r="35" spans="1:8" x14ac:dyDescent="0.2">
      <c r="F35" s="1" t="s">
        <v>187</v>
      </c>
    </row>
  </sheetData>
  <mergeCells count="6">
    <mergeCell ref="C8:D8"/>
    <mergeCell ref="C7:D7"/>
    <mergeCell ref="A1:H1"/>
    <mergeCell ref="A2:H2"/>
    <mergeCell ref="A5:H5"/>
    <mergeCell ref="A4:H4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6B73-9A31-4E8C-BB5C-63B7451F9E92}">
  <dimension ref="A1:M128"/>
  <sheetViews>
    <sheetView view="pageLayout" zoomScaleNormal="100" workbookViewId="0">
      <selection sqref="A1:I1"/>
    </sheetView>
  </sheetViews>
  <sheetFormatPr defaultColWidth="10.28515625" defaultRowHeight="11.25" x14ac:dyDescent="0.2"/>
  <cols>
    <col min="1" max="1" width="4.85546875" style="49" customWidth="1"/>
    <col min="2" max="2" width="1" style="49" customWidth="1"/>
    <col min="3" max="3" width="11.85546875" style="49" customWidth="1"/>
    <col min="4" max="4" width="1" style="49" customWidth="1"/>
    <col min="5" max="5" width="15" style="49" customWidth="1"/>
    <col min="6" max="6" width="1" style="49" customWidth="1"/>
    <col min="7" max="7" width="15" style="49" customWidth="1"/>
    <col min="8" max="8" width="1" style="49" customWidth="1"/>
    <col min="9" max="9" width="12.42578125" style="49" customWidth="1"/>
    <col min="10" max="10" width="1.85546875" style="49" customWidth="1"/>
    <col min="11" max="11" width="11" style="49" customWidth="1"/>
    <col min="12" max="12" width="1.140625" style="49" customWidth="1"/>
    <col min="13" max="13" width="13.140625" style="49" customWidth="1"/>
    <col min="14" max="16384" width="10.28515625" style="49"/>
  </cols>
  <sheetData>
    <row r="1" spans="1:13" x14ac:dyDescent="0.2">
      <c r="A1" s="149"/>
      <c r="B1" s="149"/>
      <c r="C1" s="149"/>
      <c r="D1" s="149"/>
      <c r="E1" s="149"/>
      <c r="F1" s="149"/>
      <c r="G1" s="149"/>
      <c r="H1" s="149"/>
      <c r="I1" s="149"/>
      <c r="J1" s="83"/>
      <c r="K1" s="83"/>
      <c r="L1" s="83"/>
      <c r="M1" s="83"/>
    </row>
    <row r="2" spans="1:13" x14ac:dyDescent="0.2">
      <c r="A2" s="137"/>
      <c r="B2" s="137"/>
      <c r="C2" s="137"/>
      <c r="D2" s="137"/>
      <c r="E2" s="137"/>
      <c r="F2" s="137"/>
      <c r="G2" s="137"/>
      <c r="H2" s="137"/>
      <c r="I2" s="137"/>
      <c r="J2" s="83"/>
      <c r="K2" s="83"/>
      <c r="L2" s="83"/>
      <c r="M2" s="83"/>
    </row>
    <row r="3" spans="1:13" x14ac:dyDescent="0.2">
      <c r="A3" s="137"/>
      <c r="B3" s="137"/>
      <c r="C3" s="137"/>
      <c r="D3" s="137"/>
      <c r="E3" s="137"/>
      <c r="F3" s="137"/>
      <c r="G3" s="137"/>
      <c r="H3" s="137"/>
      <c r="I3" s="137"/>
      <c r="J3" s="83"/>
      <c r="K3" s="83"/>
      <c r="L3" s="83"/>
      <c r="M3" s="83"/>
    </row>
    <row r="4" spans="1:13" x14ac:dyDescent="0.2">
      <c r="A4" s="149"/>
      <c r="B4" s="149"/>
      <c r="C4" s="149"/>
      <c r="D4" s="149"/>
      <c r="E4" s="149"/>
      <c r="F4" s="149"/>
      <c r="G4" s="149"/>
      <c r="H4" s="149"/>
      <c r="I4" s="149"/>
    </row>
    <row r="6" spans="1:13" x14ac:dyDescent="0.2">
      <c r="A6" s="46"/>
      <c r="B6" s="46"/>
      <c r="C6" s="47"/>
      <c r="D6" s="47"/>
      <c r="E6" s="47"/>
      <c r="F6" s="47"/>
      <c r="G6" s="47"/>
      <c r="H6" s="47"/>
      <c r="I6" s="47"/>
    </row>
    <row r="7" spans="1:13" x14ac:dyDescent="0.2">
      <c r="A7" s="149" t="str">
        <f>'CAPGDS1000000166 Input'!A7:J7</f>
        <v>Pro Forma Adjustment - Project In Service During Test Year</v>
      </c>
      <c r="B7" s="149"/>
      <c r="C7" s="149"/>
      <c r="D7" s="149"/>
      <c r="E7" s="149"/>
      <c r="F7" s="149"/>
      <c r="G7" s="149"/>
      <c r="H7" s="149"/>
      <c r="I7" s="149"/>
    </row>
    <row r="8" spans="1:13" x14ac:dyDescent="0.2">
      <c r="A8" s="151" t="str">
        <f>'CAPGDS1000000166 Input'!F9</f>
        <v>SFS - 6 Mile Serve Load</v>
      </c>
      <c r="B8" s="151"/>
      <c r="C8" s="151"/>
      <c r="D8" s="151"/>
      <c r="E8" s="151"/>
      <c r="F8" s="151"/>
      <c r="G8" s="151"/>
      <c r="H8" s="151"/>
      <c r="I8" s="151"/>
    </row>
    <row r="9" spans="1:13" x14ac:dyDescent="0.2">
      <c r="A9" s="62"/>
      <c r="B9" s="62"/>
      <c r="C9" s="62"/>
      <c r="D9" s="62"/>
      <c r="E9" s="62"/>
      <c r="F9" s="62"/>
      <c r="G9" s="62"/>
      <c r="H9" s="62"/>
      <c r="I9" s="62"/>
    </row>
    <row r="10" spans="1:13" x14ac:dyDescent="0.2">
      <c r="A10" s="50" t="str">
        <f>'CAPGDS1000000166 TotalWO'!A10</f>
        <v>PLANT IN SERVICE</v>
      </c>
      <c r="B10" s="50"/>
      <c r="C10" s="48"/>
      <c r="D10" s="48"/>
      <c r="E10" s="48"/>
      <c r="F10" s="48"/>
      <c r="G10" s="48"/>
      <c r="H10" s="48"/>
      <c r="I10" s="48"/>
    </row>
    <row r="11" spans="1:13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</row>
    <row r="13" spans="1:13" ht="12" thickBot="1" x14ac:dyDescent="0.25">
      <c r="A13" s="65" t="s">
        <v>77</v>
      </c>
      <c r="E13" s="52" t="str">
        <f>"Acct "&amp;'CAPGDS1000000166 Input'!F17</f>
        <v>Acct 2.378.03</v>
      </c>
      <c r="F13" s="52"/>
      <c r="G13" s="52"/>
      <c r="H13" s="52"/>
      <c r="I13" s="52"/>
    </row>
    <row r="14" spans="1:13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3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3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2" x14ac:dyDescent="0.2">
      <c r="A17" s="49">
        <v>1</v>
      </c>
      <c r="C17" s="56">
        <f>'CAPGDS1000000166 TotalWO'!C17</f>
        <v>45641</v>
      </c>
      <c r="D17" s="56"/>
      <c r="E17" s="117">
        <f>'CAPGDS1000000166 TotalWO'!E17*'CAPGDS1000000166 Input'!$H$16</f>
        <v>0</v>
      </c>
      <c r="F17" s="123"/>
      <c r="G17" s="117">
        <f>'CAPGDS1000000166 TotalWO'!G17*'CAPGDS1000000166 Input'!$H$17</f>
        <v>195619.20000000001</v>
      </c>
      <c r="H17" s="118"/>
      <c r="I17" s="117">
        <f t="shared" ref="I17:I29" si="0">G17-E17</f>
        <v>195619.20000000001</v>
      </c>
      <c r="J17" s="118"/>
    </row>
    <row r="18" spans="1:12" x14ac:dyDescent="0.2">
      <c r="A18" s="49">
        <f t="shared" ref="A18:A40" si="1">1+A17</f>
        <v>2</v>
      </c>
      <c r="C18" s="56">
        <f>'CAPGDS1000000166 TotalWO'!C18</f>
        <v>45672</v>
      </c>
      <c r="D18" s="56"/>
      <c r="E18" s="119">
        <f>'CAPGDS1000000166 TotalWO'!E18*'CAPGDS1000000166 Input'!$H$16</f>
        <v>0</v>
      </c>
      <c r="F18" s="123"/>
      <c r="G18" s="119">
        <f>'CAPGDS1000000166 TotalWO'!G17*'CAPGDS1000000166 Input'!$H$17</f>
        <v>195619.20000000001</v>
      </c>
      <c r="H18" s="118"/>
      <c r="I18" s="119">
        <f t="shared" si="0"/>
        <v>195619.20000000001</v>
      </c>
      <c r="J18" s="118"/>
      <c r="K18" s="78"/>
      <c r="L18" s="78"/>
    </row>
    <row r="19" spans="1:12" x14ac:dyDescent="0.2">
      <c r="A19" s="49">
        <f t="shared" si="1"/>
        <v>3</v>
      </c>
      <c r="C19" s="56">
        <f t="shared" ref="C19:C29" si="2">C18+31</f>
        <v>45703</v>
      </c>
      <c r="D19" s="56"/>
      <c r="E19" s="124">
        <f>'CAPGDS1000000166 TotalWO'!E19*'CAPGDS1000000166 Input'!$H$16</f>
        <v>0</v>
      </c>
      <c r="F19" s="123"/>
      <c r="G19" s="119">
        <f>'CAPGDS1000000166 TotalWO'!G18*'CAPGDS1000000166 Input'!$H$17</f>
        <v>195619.20000000001</v>
      </c>
      <c r="H19" s="118"/>
      <c r="I19" s="118">
        <f t="shared" si="0"/>
        <v>195619.20000000001</v>
      </c>
      <c r="J19" s="118"/>
    </row>
    <row r="20" spans="1:12" x14ac:dyDescent="0.2">
      <c r="A20" s="49">
        <f t="shared" si="1"/>
        <v>4</v>
      </c>
      <c r="C20" s="56">
        <f t="shared" si="2"/>
        <v>45734</v>
      </c>
      <c r="D20" s="56"/>
      <c r="E20" s="124">
        <f>'CAPGDS1000000166 TotalWO'!E20*'CAPGDS1000000166 Input'!$H$16</f>
        <v>0</v>
      </c>
      <c r="F20" s="123"/>
      <c r="G20" s="119">
        <f>'CAPGDS1000000166 TotalWO'!G19*'CAPGDS1000000166 Input'!$H$17</f>
        <v>195619.20000000001</v>
      </c>
      <c r="H20" s="118"/>
      <c r="I20" s="118">
        <f t="shared" si="0"/>
        <v>195619.20000000001</v>
      </c>
      <c r="J20" s="118"/>
    </row>
    <row r="21" spans="1:12" x14ac:dyDescent="0.2">
      <c r="A21" s="49">
        <f t="shared" si="1"/>
        <v>5</v>
      </c>
      <c r="C21" s="56">
        <f t="shared" si="2"/>
        <v>45765</v>
      </c>
      <c r="D21" s="56"/>
      <c r="E21" s="124">
        <f>'CAPGDS1000000166 TotalWO'!E21*'CAPGDS1000000166 Input'!$H$16</f>
        <v>0</v>
      </c>
      <c r="F21" s="123"/>
      <c r="G21" s="119">
        <f>'CAPGDS1000000166 TotalWO'!G20*'CAPGDS1000000166 Input'!$H$17</f>
        <v>195619.20000000001</v>
      </c>
      <c r="H21" s="118"/>
      <c r="I21" s="118">
        <f t="shared" si="0"/>
        <v>195619.20000000001</v>
      </c>
      <c r="J21" s="118"/>
    </row>
    <row r="22" spans="1:12" x14ac:dyDescent="0.2">
      <c r="A22" s="49">
        <f t="shared" si="1"/>
        <v>6</v>
      </c>
      <c r="C22" s="56">
        <f t="shared" si="2"/>
        <v>45796</v>
      </c>
      <c r="D22" s="56"/>
      <c r="E22" s="124">
        <f>'CAPGDS1000000166 TotalWO'!E22*'CAPGDS1000000166 Input'!$H$16</f>
        <v>0</v>
      </c>
      <c r="F22" s="123"/>
      <c r="G22" s="119">
        <f>'CAPGDS1000000166 TotalWO'!G21*'CAPGDS1000000166 Input'!$H$17</f>
        <v>195619.20000000001</v>
      </c>
      <c r="H22" s="118"/>
      <c r="I22" s="118">
        <f t="shared" si="0"/>
        <v>195619.20000000001</v>
      </c>
      <c r="J22" s="118"/>
    </row>
    <row r="23" spans="1:12" x14ac:dyDescent="0.2">
      <c r="A23" s="49">
        <f t="shared" si="1"/>
        <v>7</v>
      </c>
      <c r="C23" s="56">
        <f t="shared" si="2"/>
        <v>45827</v>
      </c>
      <c r="D23" s="56"/>
      <c r="E23" s="124">
        <f>'CAPGDS1000000166 TotalWO'!E23*'CAPGDS1000000166 Input'!$H$16</f>
        <v>0</v>
      </c>
      <c r="F23" s="123"/>
      <c r="G23" s="119">
        <f>'CAPGDS1000000166 TotalWO'!G22*'CAPGDS1000000166 Input'!$H$17</f>
        <v>195619.20000000001</v>
      </c>
      <c r="H23" s="118"/>
      <c r="I23" s="118">
        <f t="shared" si="0"/>
        <v>195619.20000000001</v>
      </c>
      <c r="J23" s="118"/>
    </row>
    <row r="24" spans="1:12" x14ac:dyDescent="0.2">
      <c r="A24" s="49">
        <f t="shared" si="1"/>
        <v>8</v>
      </c>
      <c r="C24" s="56">
        <f t="shared" si="2"/>
        <v>45858</v>
      </c>
      <c r="D24" s="56"/>
      <c r="E24" s="124">
        <f>'CAPGDS1000000166 TotalWO'!E24*'CAPGDS1000000166 Input'!$H$16</f>
        <v>0</v>
      </c>
      <c r="F24" s="123"/>
      <c r="G24" s="119">
        <f>'CAPGDS1000000166 TotalWO'!G23*'CAPGDS1000000166 Input'!$H$17</f>
        <v>195619.20000000001</v>
      </c>
      <c r="H24" s="118"/>
      <c r="I24" s="118">
        <f t="shared" si="0"/>
        <v>195619.20000000001</v>
      </c>
      <c r="J24" s="118"/>
    </row>
    <row r="25" spans="1:12" x14ac:dyDescent="0.2">
      <c r="A25" s="49">
        <f t="shared" si="1"/>
        <v>9</v>
      </c>
      <c r="C25" s="56">
        <f t="shared" si="2"/>
        <v>45889</v>
      </c>
      <c r="D25" s="56"/>
      <c r="E25" s="124">
        <f>'CAPGDS1000000166 TotalWO'!E25*'CAPGDS1000000166 Input'!$H$16</f>
        <v>0</v>
      </c>
      <c r="F25" s="123"/>
      <c r="G25" s="119">
        <f>'CAPGDS1000000166 TotalWO'!G24*'CAPGDS1000000166 Input'!$H$17</f>
        <v>195619.20000000001</v>
      </c>
      <c r="H25" s="118"/>
      <c r="I25" s="118">
        <f t="shared" si="0"/>
        <v>195619.20000000001</v>
      </c>
      <c r="J25" s="118"/>
    </row>
    <row r="26" spans="1:12" x14ac:dyDescent="0.2">
      <c r="A26" s="49">
        <f t="shared" si="1"/>
        <v>10</v>
      </c>
      <c r="C26" s="56">
        <f t="shared" si="2"/>
        <v>45920</v>
      </c>
      <c r="D26" s="56"/>
      <c r="E26" s="124">
        <f>'CAPGDS1000000166 TotalWO'!E26*'CAPGDS1000000166 Input'!$H$16</f>
        <v>0</v>
      </c>
      <c r="F26" s="123"/>
      <c r="G26" s="119">
        <f>'CAPGDS1000000166 TotalWO'!G25*'CAPGDS1000000166 Input'!$H$17</f>
        <v>195619.20000000001</v>
      </c>
      <c r="H26" s="118"/>
      <c r="I26" s="118">
        <f t="shared" si="0"/>
        <v>195619.20000000001</v>
      </c>
      <c r="J26" s="118"/>
    </row>
    <row r="27" spans="1:12" x14ac:dyDescent="0.2">
      <c r="A27" s="49">
        <f t="shared" si="1"/>
        <v>11</v>
      </c>
      <c r="C27" s="56">
        <f t="shared" si="2"/>
        <v>45951</v>
      </c>
      <c r="D27" s="56"/>
      <c r="E27" s="124">
        <f>'CAPGDS1000000166 TotalWO'!E27*'CAPGDS1000000166 Input'!$H$17</f>
        <v>195684.592</v>
      </c>
      <c r="F27" s="123"/>
      <c r="G27" s="119">
        <f>'CAPGDS1000000166 TotalWO'!G26*'CAPGDS1000000166 Input'!$H$17</f>
        <v>195619.20000000001</v>
      </c>
      <c r="H27" s="118"/>
      <c r="I27" s="118">
        <f t="shared" si="0"/>
        <v>-65.391999999992549</v>
      </c>
      <c r="J27" s="118"/>
    </row>
    <row r="28" spans="1:12" x14ac:dyDescent="0.2">
      <c r="A28" s="49">
        <f t="shared" si="1"/>
        <v>12</v>
      </c>
      <c r="C28" s="56">
        <f t="shared" si="2"/>
        <v>45982</v>
      </c>
      <c r="D28" s="56"/>
      <c r="E28" s="124">
        <f>'CAPGDS1000000166 TotalWO'!E28*'CAPGDS1000000166 Input'!$H$17</f>
        <v>195684.592</v>
      </c>
      <c r="F28" s="123"/>
      <c r="G28" s="119">
        <f>'CAPGDS1000000166 TotalWO'!G27*'CAPGDS1000000166 Input'!$H$17</f>
        <v>195619.20000000001</v>
      </c>
      <c r="H28" s="118"/>
      <c r="I28" s="118">
        <f t="shared" si="0"/>
        <v>-65.391999999992549</v>
      </c>
      <c r="J28" s="118"/>
    </row>
    <row r="29" spans="1:12" x14ac:dyDescent="0.2">
      <c r="A29" s="49">
        <f t="shared" si="1"/>
        <v>13</v>
      </c>
      <c r="C29" s="56">
        <f t="shared" si="2"/>
        <v>46013</v>
      </c>
      <c r="D29" s="56"/>
      <c r="E29" s="125">
        <f>'CAPGDS1000000166 TotalWO'!E29*'CAPGDS1000000166 Input'!$H$17</f>
        <v>195619.11199999999</v>
      </c>
      <c r="F29" s="123"/>
      <c r="G29" s="125">
        <f>'CAPGDS1000000166 TotalWO'!G28*'CAPGDS1000000166 Input'!$H$17</f>
        <v>195619.20000000001</v>
      </c>
      <c r="H29" s="118"/>
      <c r="I29" s="120">
        <f t="shared" si="0"/>
        <v>8.800000001792796E-2</v>
      </c>
      <c r="J29" s="118"/>
    </row>
    <row r="30" spans="1:12" x14ac:dyDescent="0.2">
      <c r="A30" s="49">
        <f t="shared" si="1"/>
        <v>14</v>
      </c>
      <c r="C30" s="58" t="s">
        <v>46</v>
      </c>
      <c r="D30" s="58"/>
      <c r="E30" s="118">
        <f>SUM(E17:E29)</f>
        <v>586988.29599999997</v>
      </c>
      <c r="F30" s="118"/>
      <c r="G30" s="118">
        <f>SUM(G17:G29)</f>
        <v>2543049.6</v>
      </c>
      <c r="H30" s="118"/>
      <c r="I30" s="118">
        <f>SUM(I17:I29)</f>
        <v>1956061.3039999998</v>
      </c>
      <c r="J30" s="118"/>
    </row>
    <row r="31" spans="1:12" x14ac:dyDescent="0.2">
      <c r="A31" s="49">
        <f t="shared" si="1"/>
        <v>15</v>
      </c>
      <c r="E31" s="118"/>
      <c r="F31" s="118"/>
      <c r="G31" s="118"/>
      <c r="H31" s="118"/>
      <c r="I31" s="118"/>
      <c r="J31" s="118"/>
    </row>
    <row r="32" spans="1:12" ht="12" thickBot="1" x14ac:dyDescent="0.25">
      <c r="A32" s="49">
        <f t="shared" si="1"/>
        <v>16</v>
      </c>
      <c r="C32" s="60" t="s">
        <v>116</v>
      </c>
      <c r="D32" s="60"/>
      <c r="E32" s="121">
        <f>ROUND(+E30/13,2)</f>
        <v>45152.95</v>
      </c>
      <c r="F32" s="118"/>
      <c r="G32" s="121">
        <f>ROUND(+G30/13,2)</f>
        <v>195619.20000000001</v>
      </c>
      <c r="H32" s="118"/>
      <c r="I32" s="121">
        <f>ROUND(+I30/13,2)</f>
        <v>150466.25</v>
      </c>
      <c r="J32" s="118"/>
    </row>
    <row r="33" spans="1:13" ht="12" thickTop="1" x14ac:dyDescent="0.2">
      <c r="A33" s="49">
        <f t="shared" si="1"/>
        <v>17</v>
      </c>
      <c r="E33" s="118"/>
      <c r="F33" s="118"/>
      <c r="G33" s="118"/>
      <c r="H33" s="118"/>
      <c r="I33" s="118"/>
      <c r="J33" s="118"/>
    </row>
    <row r="34" spans="1:13" x14ac:dyDescent="0.2">
      <c r="A34" s="49">
        <f t="shared" si="1"/>
        <v>18</v>
      </c>
      <c r="E34" s="122" t="s">
        <v>9</v>
      </c>
      <c r="F34" s="122"/>
      <c r="G34" s="122" t="s">
        <v>9</v>
      </c>
      <c r="H34" s="122"/>
      <c r="I34" s="122" t="s">
        <v>9</v>
      </c>
      <c r="J34" s="118"/>
    </row>
    <row r="35" spans="1:13" ht="12" thickBot="1" x14ac:dyDescent="0.25">
      <c r="A35" s="49">
        <f t="shared" si="1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150466.25</v>
      </c>
      <c r="J35" s="118"/>
    </row>
    <row r="36" spans="1:13" ht="12" thickTop="1" x14ac:dyDescent="0.2">
      <c r="A36" s="49">
        <f t="shared" si="1"/>
        <v>20</v>
      </c>
    </row>
    <row r="37" spans="1:13" x14ac:dyDescent="0.2">
      <c r="A37" s="49">
        <f t="shared" si="1"/>
        <v>21</v>
      </c>
      <c r="I37" s="58" t="s">
        <v>85</v>
      </c>
    </row>
    <row r="38" spans="1:13" x14ac:dyDescent="0.2">
      <c r="A38" s="49">
        <f t="shared" si="1"/>
        <v>22</v>
      </c>
      <c r="I38" s="58" t="s">
        <v>125</v>
      </c>
    </row>
    <row r="39" spans="1:13" x14ac:dyDescent="0.2">
      <c r="A39" s="49">
        <f t="shared" si="1"/>
        <v>23</v>
      </c>
    </row>
    <row r="40" spans="1:13" x14ac:dyDescent="0.2">
      <c r="A40" s="49">
        <f t="shared" si="1"/>
        <v>24</v>
      </c>
    </row>
    <row r="41" spans="1:13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</row>
    <row r="42" spans="1:13" x14ac:dyDescent="0.2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</row>
    <row r="43" spans="1:13" x14ac:dyDescent="0.2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1:13" x14ac:dyDescent="0.2">
      <c r="A44" s="13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</row>
    <row r="46" spans="1:13" x14ac:dyDescent="0.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 x14ac:dyDescent="0.2">
      <c r="A47" s="149" t="str">
        <f>A7</f>
        <v>Pro Forma Adjustment - Project In Service During Test Year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</row>
    <row r="48" spans="1:13" x14ac:dyDescent="0.2">
      <c r="A48" s="150" t="str">
        <f>A8</f>
        <v>SFS - 6 Mile Serve Load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</row>
    <row r="49" spans="1:13" x14ac:dyDescent="0.2">
      <c r="A49" s="50"/>
      <c r="B49" s="50"/>
      <c r="C49" s="48"/>
      <c r="D49" s="48"/>
      <c r="E49" s="48"/>
      <c r="F49" s="48"/>
      <c r="G49" s="48"/>
      <c r="H49" s="48"/>
      <c r="I49" s="48"/>
    </row>
    <row r="50" spans="1:13" x14ac:dyDescent="0.2">
      <c r="A50" s="50" t="s">
        <v>87</v>
      </c>
      <c r="B50" s="50"/>
      <c r="C50" s="48"/>
      <c r="D50" s="48"/>
      <c r="E50" s="48"/>
      <c r="F50" s="48"/>
      <c r="G50" s="48"/>
      <c r="H50" s="48"/>
      <c r="I50" s="48"/>
    </row>
    <row r="51" spans="1:13" x14ac:dyDescent="0.2">
      <c r="A51" s="50" t="s">
        <v>9</v>
      </c>
      <c r="B51" s="50"/>
      <c r="C51" s="48"/>
      <c r="D51" s="48"/>
      <c r="E51" s="48"/>
      <c r="F51" s="48"/>
      <c r="G51" s="48"/>
      <c r="H51" s="48"/>
      <c r="I51" s="48"/>
    </row>
    <row r="52" spans="1:13" x14ac:dyDescent="0.2">
      <c r="K52" s="55" t="s">
        <v>88</v>
      </c>
      <c r="M52" s="55" t="s">
        <v>88</v>
      </c>
    </row>
    <row r="53" spans="1:13" ht="12" thickBot="1" x14ac:dyDescent="0.25">
      <c r="A53" s="65" t="s">
        <v>77</v>
      </c>
      <c r="E53" s="52" t="str">
        <f>E13</f>
        <v>Acct 2.378.03</v>
      </c>
      <c r="F53" s="52"/>
      <c r="G53" s="52"/>
      <c r="H53" s="52"/>
      <c r="I53" s="52"/>
      <c r="K53" s="55" t="s">
        <v>89</v>
      </c>
      <c r="M53" s="55" t="s">
        <v>90</v>
      </c>
    </row>
    <row r="54" spans="1:13" ht="12" thickBot="1" x14ac:dyDescent="0.25">
      <c r="A54" s="88" t="s">
        <v>79</v>
      </c>
      <c r="B54" s="55"/>
      <c r="C54" s="53" t="s">
        <v>80</v>
      </c>
      <c r="D54" s="55"/>
      <c r="E54" s="53" t="s">
        <v>81</v>
      </c>
      <c r="F54" s="55"/>
      <c r="G54" s="53" t="s">
        <v>82</v>
      </c>
      <c r="H54" s="55"/>
      <c r="I54" s="53" t="s">
        <v>83</v>
      </c>
      <c r="K54" s="53" t="s">
        <v>91</v>
      </c>
      <c r="M54" s="53" t="s">
        <v>92</v>
      </c>
    </row>
    <row r="55" spans="1:13" x14ac:dyDescent="0.2">
      <c r="A55" s="55"/>
      <c r="B55" s="55"/>
      <c r="C55" s="39" t="s">
        <v>5</v>
      </c>
      <c r="D55" s="55"/>
      <c r="E55" s="36" t="s">
        <v>6</v>
      </c>
      <c r="F55" s="55"/>
      <c r="G55" s="36" t="s">
        <v>7</v>
      </c>
      <c r="H55" s="33"/>
      <c r="I55" s="36" t="s">
        <v>41</v>
      </c>
      <c r="K55" s="17" t="s">
        <v>42</v>
      </c>
      <c r="M55" s="55" t="s">
        <v>43</v>
      </c>
    </row>
    <row r="56" spans="1:13" x14ac:dyDescent="0.2">
      <c r="A56" s="55"/>
      <c r="B56" s="55"/>
      <c r="C56" s="55"/>
      <c r="D56" s="55"/>
      <c r="E56" s="55"/>
      <c r="F56" s="55"/>
      <c r="G56" s="55"/>
      <c r="H56" s="55"/>
      <c r="I56" s="55"/>
    </row>
    <row r="57" spans="1:13" x14ac:dyDescent="0.2">
      <c r="A57" s="49">
        <v>1</v>
      </c>
      <c r="B57" s="55"/>
      <c r="C57" s="56">
        <f>C17</f>
        <v>45641</v>
      </c>
      <c r="D57" s="56"/>
      <c r="E57" s="117">
        <f t="shared" ref="E57:E69" si="3">ROUND(E17*$G$78,2)</f>
        <v>0</v>
      </c>
      <c r="F57" s="118"/>
      <c r="G57" s="117">
        <f t="shared" ref="G57:G69" si="4">ROUND(+G17*$G$78,2)</f>
        <v>331.93</v>
      </c>
      <c r="H57" s="118"/>
      <c r="I57" s="118">
        <f>G57-E57</f>
        <v>331.93</v>
      </c>
      <c r="J57" s="118"/>
      <c r="K57" s="119"/>
      <c r="L57" s="118"/>
      <c r="M57" s="7">
        <f>+ROUND(M72/13,2)</f>
        <v>-53.62</v>
      </c>
    </row>
    <row r="58" spans="1:13" x14ac:dyDescent="0.2">
      <c r="A58" s="49">
        <f t="shared" ref="A58:A82" si="5">1+A57</f>
        <v>2</v>
      </c>
      <c r="C58" s="56">
        <v>45672</v>
      </c>
      <c r="E58" s="123">
        <f t="shared" si="3"/>
        <v>0</v>
      </c>
      <c r="F58" s="123"/>
      <c r="G58" s="123">
        <f t="shared" si="4"/>
        <v>331.93</v>
      </c>
      <c r="H58" s="118"/>
      <c r="I58" s="118">
        <f>G58-E58</f>
        <v>331.93</v>
      </c>
      <c r="J58" s="118"/>
      <c r="K58" s="118"/>
      <c r="L58" s="118"/>
      <c r="M58" s="127">
        <f>+M57</f>
        <v>-53.62</v>
      </c>
    </row>
    <row r="59" spans="1:13" x14ac:dyDescent="0.2">
      <c r="A59" s="49">
        <f t="shared" si="5"/>
        <v>3</v>
      </c>
      <c r="C59" s="56">
        <f>C58+31</f>
        <v>45703</v>
      </c>
      <c r="D59" s="56"/>
      <c r="E59" s="123">
        <f t="shared" si="3"/>
        <v>0</v>
      </c>
      <c r="F59" s="118"/>
      <c r="G59" s="123">
        <f t="shared" si="4"/>
        <v>331.93</v>
      </c>
      <c r="H59" s="118"/>
      <c r="I59" s="118">
        <f t="shared" ref="I59:I69" si="6">G59-E59</f>
        <v>331.93</v>
      </c>
      <c r="J59" s="118"/>
      <c r="K59" s="118"/>
      <c r="L59" s="118"/>
      <c r="M59" s="127">
        <f t="shared" ref="M59:M69" si="7">+M58</f>
        <v>-53.62</v>
      </c>
    </row>
    <row r="60" spans="1:13" x14ac:dyDescent="0.2">
      <c r="A60" s="49">
        <f t="shared" si="5"/>
        <v>4</v>
      </c>
      <c r="C60" s="56">
        <f t="shared" ref="C60:C69" si="8">C59+31</f>
        <v>45734</v>
      </c>
      <c r="D60" s="56"/>
      <c r="E60" s="123">
        <f t="shared" si="3"/>
        <v>0</v>
      </c>
      <c r="F60" s="123"/>
      <c r="G60" s="123">
        <f t="shared" si="4"/>
        <v>331.93</v>
      </c>
      <c r="H60" s="118"/>
      <c r="I60" s="118">
        <f t="shared" si="6"/>
        <v>331.93</v>
      </c>
      <c r="J60" s="118"/>
      <c r="K60" s="118"/>
      <c r="L60" s="118"/>
      <c r="M60" s="127">
        <f t="shared" si="7"/>
        <v>-53.62</v>
      </c>
    </row>
    <row r="61" spans="1:13" x14ac:dyDescent="0.2">
      <c r="A61" s="49">
        <f t="shared" si="5"/>
        <v>5</v>
      </c>
      <c r="C61" s="56">
        <f t="shared" si="8"/>
        <v>45765</v>
      </c>
      <c r="D61" s="56"/>
      <c r="E61" s="123">
        <f t="shared" si="3"/>
        <v>0</v>
      </c>
      <c r="F61" s="123"/>
      <c r="G61" s="123">
        <f t="shared" si="4"/>
        <v>331.93</v>
      </c>
      <c r="H61" s="118"/>
      <c r="I61" s="118">
        <f t="shared" si="6"/>
        <v>331.93</v>
      </c>
      <c r="J61" s="118"/>
      <c r="K61" s="118"/>
      <c r="L61" s="118"/>
      <c r="M61" s="127">
        <f t="shared" si="7"/>
        <v>-53.62</v>
      </c>
    </row>
    <row r="62" spans="1:13" x14ac:dyDescent="0.2">
      <c r="A62" s="49">
        <f t="shared" si="5"/>
        <v>6</v>
      </c>
      <c r="C62" s="56">
        <f t="shared" si="8"/>
        <v>45796</v>
      </c>
      <c r="D62" s="56"/>
      <c r="E62" s="123">
        <f t="shared" si="3"/>
        <v>0</v>
      </c>
      <c r="F62" s="123"/>
      <c r="G62" s="123">
        <f t="shared" si="4"/>
        <v>331.93</v>
      </c>
      <c r="H62" s="118"/>
      <c r="I62" s="118">
        <f t="shared" si="6"/>
        <v>331.93</v>
      </c>
      <c r="J62" s="118"/>
      <c r="K62" s="118"/>
      <c r="L62" s="118"/>
      <c r="M62" s="127">
        <f t="shared" si="7"/>
        <v>-53.62</v>
      </c>
    </row>
    <row r="63" spans="1:13" x14ac:dyDescent="0.2">
      <c r="A63" s="49">
        <f t="shared" si="5"/>
        <v>7</v>
      </c>
      <c r="C63" s="56">
        <f t="shared" si="8"/>
        <v>45827</v>
      </c>
      <c r="D63" s="56"/>
      <c r="E63" s="123">
        <f t="shared" si="3"/>
        <v>0</v>
      </c>
      <c r="F63" s="123"/>
      <c r="G63" s="123">
        <f t="shared" si="4"/>
        <v>331.93</v>
      </c>
      <c r="H63" s="118"/>
      <c r="I63" s="118">
        <f t="shared" si="6"/>
        <v>331.93</v>
      </c>
      <c r="J63" s="118"/>
      <c r="K63" s="118"/>
      <c r="L63" s="118"/>
      <c r="M63" s="127">
        <f t="shared" si="7"/>
        <v>-53.62</v>
      </c>
    </row>
    <row r="64" spans="1:13" x14ac:dyDescent="0.2">
      <c r="A64" s="49">
        <f t="shared" si="5"/>
        <v>8</v>
      </c>
      <c r="C64" s="56">
        <f t="shared" si="8"/>
        <v>45858</v>
      </c>
      <c r="D64" s="56"/>
      <c r="E64" s="123">
        <f t="shared" si="3"/>
        <v>0</v>
      </c>
      <c r="F64" s="123"/>
      <c r="G64" s="123">
        <f t="shared" si="4"/>
        <v>331.93</v>
      </c>
      <c r="H64" s="118"/>
      <c r="I64" s="118">
        <f t="shared" si="6"/>
        <v>331.93</v>
      </c>
      <c r="J64" s="118"/>
      <c r="K64" s="118"/>
      <c r="L64" s="118"/>
      <c r="M64" s="127">
        <f t="shared" si="7"/>
        <v>-53.62</v>
      </c>
    </row>
    <row r="65" spans="1:13" x14ac:dyDescent="0.2">
      <c r="A65" s="49">
        <f t="shared" si="5"/>
        <v>9</v>
      </c>
      <c r="C65" s="56">
        <f t="shared" si="8"/>
        <v>45889</v>
      </c>
      <c r="D65" s="56"/>
      <c r="E65" s="123">
        <f t="shared" si="3"/>
        <v>0</v>
      </c>
      <c r="F65" s="123"/>
      <c r="G65" s="123">
        <f t="shared" si="4"/>
        <v>331.93</v>
      </c>
      <c r="H65" s="118"/>
      <c r="I65" s="118">
        <f t="shared" si="6"/>
        <v>331.93</v>
      </c>
      <c r="J65" s="118"/>
      <c r="K65" s="118"/>
      <c r="L65" s="118"/>
      <c r="M65" s="127">
        <f t="shared" si="7"/>
        <v>-53.62</v>
      </c>
    </row>
    <row r="66" spans="1:13" x14ac:dyDescent="0.2">
      <c r="A66" s="49">
        <f t="shared" si="5"/>
        <v>10</v>
      </c>
      <c r="C66" s="56">
        <f t="shared" si="8"/>
        <v>45920</v>
      </c>
      <c r="D66" s="56"/>
      <c r="E66" s="123">
        <f t="shared" si="3"/>
        <v>0</v>
      </c>
      <c r="F66" s="123"/>
      <c r="G66" s="123">
        <f t="shared" si="4"/>
        <v>331.93</v>
      </c>
      <c r="H66" s="118"/>
      <c r="I66" s="118">
        <f t="shared" si="6"/>
        <v>331.93</v>
      </c>
      <c r="J66" s="118"/>
      <c r="K66" s="118"/>
      <c r="L66" s="118"/>
      <c r="M66" s="127">
        <f t="shared" si="7"/>
        <v>-53.62</v>
      </c>
    </row>
    <row r="67" spans="1:13" x14ac:dyDescent="0.2">
      <c r="A67" s="49">
        <f t="shared" si="5"/>
        <v>11</v>
      </c>
      <c r="C67" s="56">
        <f t="shared" si="8"/>
        <v>45951</v>
      </c>
      <c r="D67" s="56"/>
      <c r="E67" s="123">
        <f t="shared" si="3"/>
        <v>332.04</v>
      </c>
      <c r="F67" s="123"/>
      <c r="G67" s="123">
        <f t="shared" si="4"/>
        <v>331.93</v>
      </c>
      <c r="H67" s="118"/>
      <c r="I67" s="118">
        <f t="shared" si="6"/>
        <v>-0.11000000000001364</v>
      </c>
      <c r="J67" s="118"/>
      <c r="K67" s="118"/>
      <c r="L67" s="118"/>
      <c r="M67" s="127">
        <f t="shared" si="7"/>
        <v>-53.62</v>
      </c>
    </row>
    <row r="68" spans="1:13" x14ac:dyDescent="0.2">
      <c r="A68" s="49">
        <f t="shared" si="5"/>
        <v>12</v>
      </c>
      <c r="C68" s="56">
        <f t="shared" si="8"/>
        <v>45982</v>
      </c>
      <c r="D68" s="56"/>
      <c r="E68" s="123">
        <f t="shared" si="3"/>
        <v>332.04</v>
      </c>
      <c r="F68" s="123"/>
      <c r="G68" s="123">
        <f t="shared" si="4"/>
        <v>331.93</v>
      </c>
      <c r="H68" s="118"/>
      <c r="I68" s="118">
        <f t="shared" si="6"/>
        <v>-0.11000000000001364</v>
      </c>
      <c r="J68" s="118"/>
      <c r="K68" s="118"/>
      <c r="L68" s="118"/>
      <c r="M68" s="127">
        <f t="shared" si="7"/>
        <v>-53.62</v>
      </c>
    </row>
    <row r="69" spans="1:13" x14ac:dyDescent="0.2">
      <c r="A69" s="49">
        <f t="shared" si="5"/>
        <v>13</v>
      </c>
      <c r="C69" s="56">
        <f t="shared" si="8"/>
        <v>46013</v>
      </c>
      <c r="D69" s="56"/>
      <c r="E69" s="126">
        <f t="shared" si="3"/>
        <v>331.93</v>
      </c>
      <c r="F69" s="123"/>
      <c r="G69" s="126">
        <f t="shared" si="4"/>
        <v>331.93</v>
      </c>
      <c r="H69" s="118"/>
      <c r="I69" s="126">
        <f t="shared" si="6"/>
        <v>0</v>
      </c>
      <c r="J69" s="118"/>
      <c r="K69" s="118"/>
      <c r="L69" s="118"/>
      <c r="M69" s="126">
        <f t="shared" si="7"/>
        <v>-53.62</v>
      </c>
    </row>
    <row r="70" spans="1:13" x14ac:dyDescent="0.2">
      <c r="A70" s="49">
        <f t="shared" si="5"/>
        <v>14</v>
      </c>
      <c r="C70" s="58" t="s">
        <v>46</v>
      </c>
      <c r="D70" s="58"/>
      <c r="E70" s="118">
        <f>SUM(E57:E69)</f>
        <v>996.01</v>
      </c>
      <c r="F70" s="118"/>
      <c r="G70" s="118">
        <f>SUM(G57:G69)</f>
        <v>4315.0899999999992</v>
      </c>
      <c r="H70" s="118"/>
      <c r="I70" s="118">
        <f>SUM(I57:I69)</f>
        <v>3319.0799999999995</v>
      </c>
      <c r="J70" s="118"/>
      <c r="K70" s="118"/>
      <c r="L70" s="118"/>
      <c r="M70" s="118">
        <f>SUM(M57:M69)</f>
        <v>-697.06</v>
      </c>
    </row>
    <row r="71" spans="1:13" x14ac:dyDescent="0.2">
      <c r="A71" s="49">
        <f t="shared" si="5"/>
        <v>15</v>
      </c>
      <c r="E71" s="122" t="s">
        <v>9</v>
      </c>
      <c r="F71" s="122"/>
      <c r="G71" s="122" t="s">
        <v>9</v>
      </c>
      <c r="H71" s="122"/>
      <c r="I71" s="122" t="s">
        <v>9</v>
      </c>
      <c r="J71" s="118"/>
      <c r="K71" s="118"/>
      <c r="L71" s="118"/>
      <c r="M71" s="118"/>
    </row>
    <row r="72" spans="1:13" ht="12" thickBot="1" x14ac:dyDescent="0.25">
      <c r="A72" s="49">
        <f t="shared" si="5"/>
        <v>16</v>
      </c>
      <c r="C72" s="58" t="s">
        <v>84</v>
      </c>
      <c r="D72" s="58"/>
      <c r="E72" s="118"/>
      <c r="F72" s="118"/>
      <c r="G72" s="118"/>
      <c r="H72" s="118"/>
      <c r="I72" s="121">
        <f>I70</f>
        <v>3319.0799999999995</v>
      </c>
      <c r="J72" s="118"/>
      <c r="K72" s="121">
        <v>0</v>
      </c>
      <c r="L72" s="118"/>
      <c r="M72" s="121">
        <f>ROUND(+(K72-I72)*M78,2)</f>
        <v>-697.01</v>
      </c>
    </row>
    <row r="73" spans="1:13" ht="12" thickTop="1" x14ac:dyDescent="0.2">
      <c r="A73" s="49">
        <f t="shared" si="5"/>
        <v>17</v>
      </c>
      <c r="E73" s="57"/>
      <c r="F73" s="57"/>
      <c r="G73" s="57"/>
      <c r="H73" s="57"/>
      <c r="I73" s="58" t="s">
        <v>85</v>
      </c>
    </row>
    <row r="74" spans="1:13" x14ac:dyDescent="0.2">
      <c r="A74" s="49">
        <f t="shared" si="5"/>
        <v>18</v>
      </c>
      <c r="I74" s="58" t="s">
        <v>126</v>
      </c>
      <c r="M74" s="55" t="s">
        <v>88</v>
      </c>
    </row>
    <row r="75" spans="1:13" x14ac:dyDescent="0.2">
      <c r="A75" s="49">
        <f t="shared" si="5"/>
        <v>19</v>
      </c>
      <c r="K75" s="55" t="s">
        <v>93</v>
      </c>
      <c r="M75" s="55" t="s">
        <v>94</v>
      </c>
    </row>
    <row r="76" spans="1:13" x14ac:dyDescent="0.2">
      <c r="A76" s="49">
        <f t="shared" si="5"/>
        <v>20</v>
      </c>
      <c r="E76" s="63" t="s">
        <v>95</v>
      </c>
      <c r="F76" s="63"/>
      <c r="G76" s="63" t="s">
        <v>96</v>
      </c>
      <c r="K76" s="55" t="s">
        <v>97</v>
      </c>
      <c r="M76" s="55" t="s">
        <v>98</v>
      </c>
    </row>
    <row r="77" spans="1:13" ht="12" thickBot="1" x14ac:dyDescent="0.25">
      <c r="A77" s="49">
        <f t="shared" si="5"/>
        <v>21</v>
      </c>
      <c r="E77" s="64" t="s">
        <v>99</v>
      </c>
      <c r="F77" s="63"/>
      <c r="G77" s="64" t="s">
        <v>99</v>
      </c>
      <c r="K77" s="64" t="s">
        <v>100</v>
      </c>
      <c r="M77" s="64" t="s">
        <v>101</v>
      </c>
    </row>
    <row r="78" spans="1:13" x14ac:dyDescent="0.2">
      <c r="A78" s="49">
        <f t="shared" si="5"/>
        <v>22</v>
      </c>
      <c r="C78" s="65" t="str">
        <f>E53</f>
        <v>Acct 2.378.03</v>
      </c>
      <c r="D78" s="65"/>
      <c r="E78" s="66">
        <f>'CAPGDS1000000166 Input'!J16</f>
        <v>2.2058823529411766E-2</v>
      </c>
      <c r="F78" s="66"/>
      <c r="G78" s="66">
        <f>E78/13</f>
        <v>1.6968325791855204E-3</v>
      </c>
      <c r="K78" s="80">
        <f>+'CAPGDS1000000166 Input'!L16</f>
        <v>3.7499999999999999E-2</v>
      </c>
      <c r="M78" s="81">
        <f>+'CAPGDS1000000166 Input'!N16</f>
        <v>0.21</v>
      </c>
    </row>
    <row r="79" spans="1:13" x14ac:dyDescent="0.2">
      <c r="A79" s="49">
        <f t="shared" si="5"/>
        <v>23</v>
      </c>
      <c r="H79" s="61"/>
      <c r="I79" s="57"/>
      <c r="K79" s="55" t="s">
        <v>102</v>
      </c>
    </row>
    <row r="80" spans="1:13" x14ac:dyDescent="0.2">
      <c r="A80" s="49">
        <f t="shared" si="5"/>
        <v>24</v>
      </c>
      <c r="H80" s="66"/>
      <c r="I80" s="57"/>
    </row>
    <row r="81" spans="1:13" x14ac:dyDescent="0.2">
      <c r="A81" s="49">
        <f t="shared" si="5"/>
        <v>25</v>
      </c>
    </row>
    <row r="82" spans="1:13" x14ac:dyDescent="0.2">
      <c r="A82" s="49">
        <f t="shared" si="5"/>
        <v>26</v>
      </c>
      <c r="H82" s="66"/>
      <c r="I82" s="57"/>
    </row>
    <row r="83" spans="1:13" x14ac:dyDescent="0.2">
      <c r="A83" s="149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</row>
    <row r="84" spans="1:13" x14ac:dyDescent="0.2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</row>
    <row r="85" spans="1:13" x14ac:dyDescent="0.2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</row>
    <row r="86" spans="1:13" x14ac:dyDescent="0.2">
      <c r="A86" s="149"/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</row>
    <row r="88" spans="1:13" x14ac:dyDescent="0.2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</row>
    <row r="89" spans="1:13" x14ac:dyDescent="0.2">
      <c r="A89" s="149" t="str">
        <f>A7</f>
        <v>Pro Forma Adjustment - Project In Service During Test Year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</row>
    <row r="90" spans="1:13" x14ac:dyDescent="0.2">
      <c r="A90" s="150" t="str">
        <f>A8</f>
        <v>SFS - 6 Mile Serve Load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</row>
    <row r="91" spans="1:13" x14ac:dyDescent="0.2">
      <c r="A91" s="50"/>
      <c r="B91" s="50"/>
      <c r="C91" s="48"/>
      <c r="D91" s="48"/>
      <c r="E91" s="48"/>
      <c r="F91" s="48"/>
      <c r="G91" s="48"/>
      <c r="H91" s="48"/>
      <c r="I91" s="48"/>
    </row>
    <row r="92" spans="1:13" x14ac:dyDescent="0.2">
      <c r="A92" s="50" t="s">
        <v>103</v>
      </c>
      <c r="B92" s="50"/>
      <c r="C92" s="48"/>
      <c r="D92" s="48"/>
      <c r="E92" s="48"/>
      <c r="F92" s="48"/>
      <c r="G92" s="48"/>
      <c r="H92" s="48"/>
      <c r="I92" s="48"/>
    </row>
    <row r="93" spans="1:13" x14ac:dyDescent="0.2">
      <c r="A93" s="50" t="s">
        <v>9</v>
      </c>
      <c r="B93" s="50"/>
      <c r="C93" s="48"/>
      <c r="D93" s="48"/>
      <c r="E93" s="48"/>
      <c r="F93" s="48"/>
      <c r="G93" s="48"/>
      <c r="H93" s="48"/>
      <c r="I93" s="48"/>
    </row>
    <row r="95" spans="1:13" ht="12" thickBot="1" x14ac:dyDescent="0.25">
      <c r="A95" s="65" t="s">
        <v>77</v>
      </c>
      <c r="E95" s="52" t="str">
        <f>E13</f>
        <v>Acct 2.378.03</v>
      </c>
      <c r="F95" s="52"/>
      <c r="G95" s="52"/>
      <c r="H95" s="52"/>
      <c r="I95" s="52"/>
      <c r="M95" s="55" t="s">
        <v>104</v>
      </c>
    </row>
    <row r="96" spans="1:13" ht="12" thickBot="1" x14ac:dyDescent="0.25">
      <c r="A96" s="88" t="s">
        <v>79</v>
      </c>
      <c r="B96" s="55"/>
      <c r="C96" s="53" t="s">
        <v>80</v>
      </c>
      <c r="D96" s="55"/>
      <c r="E96" s="53" t="s">
        <v>81</v>
      </c>
      <c r="F96" s="55"/>
      <c r="G96" s="53" t="s">
        <v>82</v>
      </c>
      <c r="H96" s="55"/>
      <c r="I96" s="53" t="s">
        <v>83</v>
      </c>
      <c r="M96" s="53" t="s">
        <v>105</v>
      </c>
    </row>
    <row r="97" spans="1:13" x14ac:dyDescent="0.2">
      <c r="A97" s="55"/>
      <c r="B97" s="55"/>
      <c r="C97" s="39" t="s">
        <v>5</v>
      </c>
      <c r="D97" s="55"/>
      <c r="E97" s="36" t="s">
        <v>6</v>
      </c>
      <c r="F97" s="55"/>
      <c r="G97" s="36" t="s">
        <v>7</v>
      </c>
      <c r="H97" s="33"/>
      <c r="I97" s="36" t="s">
        <v>41</v>
      </c>
      <c r="K97" s="17" t="s">
        <v>42</v>
      </c>
      <c r="M97" s="55" t="s">
        <v>43</v>
      </c>
    </row>
    <row r="98" spans="1:13" x14ac:dyDescent="0.2">
      <c r="A98" s="55"/>
      <c r="B98" s="55"/>
      <c r="C98" s="55"/>
      <c r="D98" s="55"/>
      <c r="E98" s="55"/>
      <c r="F98" s="55"/>
      <c r="G98" s="55"/>
      <c r="H98" s="55"/>
      <c r="I98" s="55"/>
    </row>
    <row r="99" spans="1:13" x14ac:dyDescent="0.2">
      <c r="A99" s="49">
        <v>1</v>
      </c>
      <c r="C99" s="56">
        <f>C17</f>
        <v>45641</v>
      </c>
      <c r="D99" s="56"/>
      <c r="E99" s="117">
        <f>E57</f>
        <v>0</v>
      </c>
      <c r="F99" s="118"/>
      <c r="G99" s="117">
        <f>G57</f>
        <v>331.93</v>
      </c>
      <c r="H99" s="118"/>
      <c r="I99" s="118">
        <f>G99-E99</f>
        <v>331.93</v>
      </c>
      <c r="J99" s="118"/>
      <c r="K99" s="119"/>
      <c r="L99" s="118"/>
      <c r="M99" s="7">
        <f>+M57</f>
        <v>-53.62</v>
      </c>
    </row>
    <row r="100" spans="1:13" x14ac:dyDescent="0.2">
      <c r="A100" s="49">
        <f t="shared" ref="A100:A128" si="9">1+A99</f>
        <v>2</v>
      </c>
      <c r="C100" s="56">
        <f>C18</f>
        <v>45672</v>
      </c>
      <c r="D100" s="56"/>
      <c r="E100" s="8">
        <f>E98+E57</f>
        <v>0</v>
      </c>
      <c r="F100" s="8"/>
      <c r="G100" s="8">
        <f t="shared" ref="G100:G111" si="10">G99+G58</f>
        <v>663.86</v>
      </c>
      <c r="H100" s="8"/>
      <c r="I100" s="8">
        <f t="shared" ref="I100:I111" si="11">G100-E100</f>
        <v>663.86</v>
      </c>
      <c r="J100" s="8"/>
      <c r="K100" s="8"/>
      <c r="L100" s="8"/>
      <c r="M100" s="8">
        <f t="shared" ref="M100:M111" si="12">+M99+M58</f>
        <v>-107.24</v>
      </c>
    </row>
    <row r="101" spans="1:13" x14ac:dyDescent="0.2">
      <c r="A101" s="49">
        <f t="shared" si="9"/>
        <v>3</v>
      </c>
      <c r="C101" s="56">
        <f t="shared" ref="C101:C111" si="13">C100+31</f>
        <v>45703</v>
      </c>
      <c r="D101" s="56"/>
      <c r="E101" s="8">
        <f>E99+E58</f>
        <v>0</v>
      </c>
      <c r="F101" s="8"/>
      <c r="G101" s="8">
        <f t="shared" si="10"/>
        <v>995.79</v>
      </c>
      <c r="H101" s="8"/>
      <c r="I101" s="8">
        <f t="shared" si="11"/>
        <v>995.79</v>
      </c>
      <c r="J101" s="8"/>
      <c r="K101" s="8"/>
      <c r="L101" s="8"/>
      <c r="M101" s="8">
        <f t="shared" si="12"/>
        <v>-160.85999999999999</v>
      </c>
    </row>
    <row r="102" spans="1:13" x14ac:dyDescent="0.2">
      <c r="A102" s="49">
        <f t="shared" si="9"/>
        <v>4</v>
      </c>
      <c r="C102" s="56">
        <f t="shared" si="13"/>
        <v>45734</v>
      </c>
      <c r="D102" s="56"/>
      <c r="E102" s="8">
        <f t="shared" ref="E102:E111" si="14">E101+E60</f>
        <v>0</v>
      </c>
      <c r="F102" s="8"/>
      <c r="G102" s="8">
        <f t="shared" si="10"/>
        <v>1327.72</v>
      </c>
      <c r="H102" s="8"/>
      <c r="I102" s="8">
        <f t="shared" si="11"/>
        <v>1327.72</v>
      </c>
      <c r="J102" s="8"/>
      <c r="K102" s="8"/>
      <c r="L102" s="8"/>
      <c r="M102" s="8">
        <f t="shared" si="12"/>
        <v>-214.48</v>
      </c>
    </row>
    <row r="103" spans="1:13" x14ac:dyDescent="0.2">
      <c r="A103" s="49">
        <f t="shared" si="9"/>
        <v>5</v>
      </c>
      <c r="C103" s="56">
        <f t="shared" si="13"/>
        <v>45765</v>
      </c>
      <c r="D103" s="56"/>
      <c r="E103" s="8">
        <f t="shared" si="14"/>
        <v>0</v>
      </c>
      <c r="F103" s="8"/>
      <c r="G103" s="8">
        <f t="shared" si="10"/>
        <v>1659.65</v>
      </c>
      <c r="H103" s="8"/>
      <c r="I103" s="8">
        <f t="shared" si="11"/>
        <v>1659.65</v>
      </c>
      <c r="J103" s="8"/>
      <c r="K103" s="8"/>
      <c r="L103" s="8"/>
      <c r="M103" s="8">
        <f t="shared" si="12"/>
        <v>-268.09999999999997</v>
      </c>
    </row>
    <row r="104" spans="1:13" x14ac:dyDescent="0.2">
      <c r="A104" s="49">
        <f t="shared" si="9"/>
        <v>6</v>
      </c>
      <c r="C104" s="56">
        <f t="shared" si="13"/>
        <v>45796</v>
      </c>
      <c r="D104" s="56"/>
      <c r="E104" s="8">
        <f t="shared" si="14"/>
        <v>0</v>
      </c>
      <c r="F104" s="8"/>
      <c r="G104" s="8">
        <f t="shared" si="10"/>
        <v>1991.5800000000002</v>
      </c>
      <c r="H104" s="8"/>
      <c r="I104" s="8">
        <f t="shared" si="11"/>
        <v>1991.5800000000002</v>
      </c>
      <c r="J104" s="8"/>
      <c r="K104" s="8"/>
      <c r="L104" s="8"/>
      <c r="M104" s="8">
        <f t="shared" si="12"/>
        <v>-321.71999999999997</v>
      </c>
    </row>
    <row r="105" spans="1:13" x14ac:dyDescent="0.2">
      <c r="A105" s="49">
        <f t="shared" si="9"/>
        <v>7</v>
      </c>
      <c r="C105" s="56">
        <f t="shared" si="13"/>
        <v>45827</v>
      </c>
      <c r="D105" s="56"/>
      <c r="E105" s="8">
        <f t="shared" si="14"/>
        <v>0</v>
      </c>
      <c r="F105" s="8"/>
      <c r="G105" s="8">
        <f t="shared" si="10"/>
        <v>2323.5100000000002</v>
      </c>
      <c r="H105" s="8"/>
      <c r="I105" s="8">
        <f t="shared" si="11"/>
        <v>2323.5100000000002</v>
      </c>
      <c r="J105" s="8"/>
      <c r="K105" s="8"/>
      <c r="L105" s="8"/>
      <c r="M105" s="8">
        <f t="shared" si="12"/>
        <v>-375.34</v>
      </c>
    </row>
    <row r="106" spans="1:13" x14ac:dyDescent="0.2">
      <c r="A106" s="49">
        <f t="shared" si="9"/>
        <v>8</v>
      </c>
      <c r="C106" s="56">
        <f t="shared" si="13"/>
        <v>45858</v>
      </c>
      <c r="D106" s="56"/>
      <c r="E106" s="8">
        <f t="shared" si="14"/>
        <v>0</v>
      </c>
      <c r="F106" s="8"/>
      <c r="G106" s="8">
        <f t="shared" si="10"/>
        <v>2655.44</v>
      </c>
      <c r="H106" s="8"/>
      <c r="I106" s="8">
        <f t="shared" si="11"/>
        <v>2655.44</v>
      </c>
      <c r="J106" s="8"/>
      <c r="K106" s="8"/>
      <c r="L106" s="8"/>
      <c r="M106" s="8">
        <f t="shared" si="12"/>
        <v>-428.96</v>
      </c>
    </row>
    <row r="107" spans="1:13" x14ac:dyDescent="0.2">
      <c r="A107" s="49">
        <f t="shared" si="9"/>
        <v>9</v>
      </c>
      <c r="C107" s="56">
        <f t="shared" si="13"/>
        <v>45889</v>
      </c>
      <c r="D107" s="56"/>
      <c r="E107" s="8">
        <f t="shared" si="14"/>
        <v>0</v>
      </c>
      <c r="F107" s="8"/>
      <c r="G107" s="8">
        <f t="shared" si="10"/>
        <v>2987.37</v>
      </c>
      <c r="H107" s="8"/>
      <c r="I107" s="8">
        <f t="shared" si="11"/>
        <v>2987.37</v>
      </c>
      <c r="J107" s="8"/>
      <c r="K107" s="8"/>
      <c r="L107" s="8"/>
      <c r="M107" s="8">
        <f t="shared" si="12"/>
        <v>-482.58</v>
      </c>
    </row>
    <row r="108" spans="1:13" x14ac:dyDescent="0.2">
      <c r="A108" s="49">
        <f t="shared" si="9"/>
        <v>10</v>
      </c>
      <c r="C108" s="56">
        <f t="shared" si="13"/>
        <v>45920</v>
      </c>
      <c r="D108" s="56"/>
      <c r="E108" s="8">
        <f t="shared" si="14"/>
        <v>0</v>
      </c>
      <c r="F108" s="8"/>
      <c r="G108" s="8">
        <f t="shared" si="10"/>
        <v>3319.2999999999997</v>
      </c>
      <c r="H108" s="8"/>
      <c r="I108" s="8">
        <f t="shared" si="11"/>
        <v>3319.2999999999997</v>
      </c>
      <c r="J108" s="8"/>
      <c r="K108" s="8"/>
      <c r="L108" s="8"/>
      <c r="M108" s="8">
        <f t="shared" si="12"/>
        <v>-536.19999999999993</v>
      </c>
    </row>
    <row r="109" spans="1:13" x14ac:dyDescent="0.2">
      <c r="A109" s="49">
        <f t="shared" si="9"/>
        <v>11</v>
      </c>
      <c r="C109" s="56">
        <f t="shared" si="13"/>
        <v>45951</v>
      </c>
      <c r="D109" s="56"/>
      <c r="E109" s="8">
        <f t="shared" si="14"/>
        <v>332.04</v>
      </c>
      <c r="F109" s="8"/>
      <c r="G109" s="8">
        <f t="shared" si="10"/>
        <v>3651.2299999999996</v>
      </c>
      <c r="H109" s="8"/>
      <c r="I109" s="8">
        <f t="shared" si="11"/>
        <v>3319.1899999999996</v>
      </c>
      <c r="J109" s="8"/>
      <c r="K109" s="8"/>
      <c r="L109" s="8"/>
      <c r="M109" s="8">
        <f t="shared" si="12"/>
        <v>-589.81999999999994</v>
      </c>
    </row>
    <row r="110" spans="1:13" x14ac:dyDescent="0.2">
      <c r="A110" s="49">
        <f t="shared" si="9"/>
        <v>12</v>
      </c>
      <c r="C110" s="56">
        <f t="shared" si="13"/>
        <v>45982</v>
      </c>
      <c r="D110" s="56"/>
      <c r="E110" s="8">
        <f t="shared" si="14"/>
        <v>664.08</v>
      </c>
      <c r="F110" s="8"/>
      <c r="G110" s="8">
        <f t="shared" si="10"/>
        <v>3983.1599999999994</v>
      </c>
      <c r="H110" s="8"/>
      <c r="I110" s="8">
        <f t="shared" si="11"/>
        <v>3319.0799999999995</v>
      </c>
      <c r="J110" s="8"/>
      <c r="K110" s="8"/>
      <c r="L110" s="8"/>
      <c r="M110" s="8">
        <f t="shared" si="12"/>
        <v>-643.43999999999994</v>
      </c>
    </row>
    <row r="111" spans="1:13" x14ac:dyDescent="0.2">
      <c r="A111" s="49">
        <f t="shared" si="9"/>
        <v>13</v>
      </c>
      <c r="C111" s="56">
        <f t="shared" si="13"/>
        <v>46013</v>
      </c>
      <c r="D111" s="56"/>
      <c r="E111" s="131">
        <f t="shared" si="14"/>
        <v>996.01</v>
      </c>
      <c r="F111" s="8"/>
      <c r="G111" s="131">
        <f t="shared" si="10"/>
        <v>4315.0899999999992</v>
      </c>
      <c r="H111" s="8"/>
      <c r="I111" s="131">
        <f t="shared" si="11"/>
        <v>3319.079999999999</v>
      </c>
      <c r="J111" s="8"/>
      <c r="K111" s="8"/>
      <c r="L111" s="8"/>
      <c r="M111" s="131">
        <f t="shared" si="12"/>
        <v>-697.06</v>
      </c>
    </row>
    <row r="112" spans="1:13" x14ac:dyDescent="0.2">
      <c r="A112" s="49">
        <f t="shared" si="9"/>
        <v>14</v>
      </c>
      <c r="C112" s="58" t="s">
        <v>46</v>
      </c>
      <c r="D112" s="58"/>
      <c r="E112" s="118">
        <f>SUM(E99:E111)</f>
        <v>1992.13</v>
      </c>
      <c r="F112" s="118"/>
      <c r="G112" s="118">
        <f>SUM(G99:G111)</f>
        <v>30205.63</v>
      </c>
      <c r="H112" s="118"/>
      <c r="I112" s="118">
        <f>SUM(I99:I111)</f>
        <v>28213.499999999996</v>
      </c>
      <c r="J112" s="118"/>
      <c r="K112" s="118"/>
      <c r="L112" s="118"/>
      <c r="M112" s="118">
        <f>SUM(M99:M111)</f>
        <v>-4879.42</v>
      </c>
    </row>
    <row r="113" spans="1:13" x14ac:dyDescent="0.2">
      <c r="A113" s="49">
        <f t="shared" si="9"/>
        <v>15</v>
      </c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1:13" ht="12" thickBot="1" x14ac:dyDescent="0.25">
      <c r="A114" s="49">
        <f t="shared" si="9"/>
        <v>16</v>
      </c>
      <c r="C114" s="67" t="s">
        <v>117</v>
      </c>
      <c r="D114" s="67"/>
      <c r="E114" s="121">
        <f>ROUND(+E112/13,2)</f>
        <v>153.24</v>
      </c>
      <c r="F114" s="118"/>
      <c r="G114" s="121">
        <f>ROUND(+G112/13,2)</f>
        <v>2323.5100000000002</v>
      </c>
      <c r="H114" s="118"/>
      <c r="I114" s="121">
        <f>ROUND(+I112/13,2)</f>
        <v>2170.27</v>
      </c>
      <c r="J114" s="118"/>
      <c r="K114" s="118"/>
      <c r="L114" s="118"/>
      <c r="M114" s="121">
        <f>ROUND(+M112/13,2)</f>
        <v>-375.34</v>
      </c>
    </row>
    <row r="115" spans="1:13" ht="12" thickTop="1" x14ac:dyDescent="0.2">
      <c r="A115" s="49">
        <f t="shared" si="9"/>
        <v>17</v>
      </c>
      <c r="E115" s="122" t="s">
        <v>9</v>
      </c>
      <c r="F115" s="122"/>
      <c r="G115" s="122" t="s">
        <v>9</v>
      </c>
      <c r="H115" s="122"/>
      <c r="I115" s="122" t="s">
        <v>9</v>
      </c>
      <c r="J115" s="118"/>
      <c r="K115" s="118"/>
      <c r="L115" s="118"/>
      <c r="M115" s="118"/>
    </row>
    <row r="116" spans="1:13" x14ac:dyDescent="0.2">
      <c r="A116" s="49">
        <f t="shared" si="9"/>
        <v>18</v>
      </c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1:13" ht="12" thickBot="1" x14ac:dyDescent="0.25">
      <c r="A117" s="49">
        <f t="shared" si="9"/>
        <v>19</v>
      </c>
      <c r="C117" s="58" t="s">
        <v>84</v>
      </c>
      <c r="D117" s="58"/>
      <c r="E117" s="118"/>
      <c r="F117" s="118"/>
      <c r="G117" s="118"/>
      <c r="H117" s="118"/>
      <c r="I117" s="128">
        <f>I114</f>
        <v>2170.27</v>
      </c>
      <c r="J117" s="118"/>
      <c r="K117" s="118"/>
      <c r="L117" s="118"/>
      <c r="M117" s="128">
        <f>+M114</f>
        <v>-375.34</v>
      </c>
    </row>
    <row r="118" spans="1:13" ht="12" thickTop="1" x14ac:dyDescent="0.2">
      <c r="A118" s="49">
        <f t="shared" si="9"/>
        <v>20</v>
      </c>
      <c r="E118" s="57"/>
      <c r="F118" s="57"/>
      <c r="G118" s="57"/>
      <c r="H118" s="57"/>
      <c r="I118" s="58" t="s">
        <v>85</v>
      </c>
      <c r="M118" s="58" t="s">
        <v>85</v>
      </c>
    </row>
    <row r="119" spans="1:13" x14ac:dyDescent="0.2">
      <c r="A119" s="49">
        <f t="shared" si="9"/>
        <v>21</v>
      </c>
      <c r="I119" s="58" t="s">
        <v>127</v>
      </c>
      <c r="M119" s="58" t="s">
        <v>128</v>
      </c>
    </row>
    <row r="120" spans="1:13" x14ac:dyDescent="0.2">
      <c r="A120" s="49">
        <f t="shared" si="9"/>
        <v>22</v>
      </c>
    </row>
    <row r="121" spans="1:13" x14ac:dyDescent="0.2">
      <c r="A121" s="49">
        <f t="shared" si="9"/>
        <v>23</v>
      </c>
      <c r="E121" s="63" t="s">
        <v>95</v>
      </c>
      <c r="F121" s="63"/>
      <c r="G121" s="63" t="s">
        <v>96</v>
      </c>
    </row>
    <row r="122" spans="1:13" ht="12" thickBot="1" x14ac:dyDescent="0.25">
      <c r="A122" s="49">
        <f t="shared" si="9"/>
        <v>24</v>
      </c>
      <c r="E122" s="64" t="s">
        <v>99</v>
      </c>
      <c r="F122" s="63"/>
      <c r="G122" s="64" t="s">
        <v>99</v>
      </c>
    </row>
    <row r="123" spans="1:13" x14ac:dyDescent="0.2">
      <c r="A123" s="49">
        <f t="shared" si="9"/>
        <v>25</v>
      </c>
      <c r="C123" s="65" t="str">
        <f>C78</f>
        <v>Acct 2.378.03</v>
      </c>
      <c r="D123" s="65"/>
      <c r="E123" s="68">
        <f>E78</f>
        <v>2.2058823529411766E-2</v>
      </c>
      <c r="F123" s="68"/>
      <c r="G123" s="68">
        <f>G78</f>
        <v>1.6968325791855204E-3</v>
      </c>
    </row>
    <row r="124" spans="1:13" x14ac:dyDescent="0.2">
      <c r="A124" s="49">
        <f t="shared" si="9"/>
        <v>26</v>
      </c>
      <c r="E124" s="57"/>
      <c r="F124" s="57"/>
      <c r="G124" s="57"/>
      <c r="H124" s="57"/>
      <c r="I124" s="57"/>
    </row>
    <row r="125" spans="1:13" x14ac:dyDescent="0.2">
      <c r="A125" s="49">
        <f t="shared" si="9"/>
        <v>27</v>
      </c>
      <c r="H125" s="57"/>
      <c r="I125" s="57"/>
    </row>
    <row r="126" spans="1:13" x14ac:dyDescent="0.2">
      <c r="A126" s="49">
        <f t="shared" si="9"/>
        <v>28</v>
      </c>
    </row>
    <row r="127" spans="1:13" x14ac:dyDescent="0.2">
      <c r="A127" s="49">
        <f t="shared" si="9"/>
        <v>29</v>
      </c>
    </row>
    <row r="128" spans="1:13" x14ac:dyDescent="0.2">
      <c r="A128" s="49">
        <f t="shared" si="9"/>
        <v>30</v>
      </c>
    </row>
  </sheetData>
  <mergeCells count="14">
    <mergeCell ref="A89:M89"/>
    <mergeCell ref="A90:M90"/>
    <mergeCell ref="A46:M46"/>
    <mergeCell ref="A47:M47"/>
    <mergeCell ref="A48:M48"/>
    <mergeCell ref="A83:M83"/>
    <mergeCell ref="A86:M86"/>
    <mergeCell ref="A88:M88"/>
    <mergeCell ref="A42:M42"/>
    <mergeCell ref="A1:I1"/>
    <mergeCell ref="A4:I4"/>
    <mergeCell ref="A7:I7"/>
    <mergeCell ref="A8:I8"/>
    <mergeCell ref="A41:M41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19CA-BD2F-4899-903C-A174C94BB508}">
  <dimension ref="A1:J241"/>
  <sheetViews>
    <sheetView view="pageLayout" zoomScaleNormal="100" workbookViewId="0">
      <selection activeCell="D46" sqref="D46"/>
    </sheetView>
  </sheetViews>
  <sheetFormatPr defaultColWidth="9.140625" defaultRowHeight="11.25" x14ac:dyDescent="0.2"/>
  <cols>
    <col min="1" max="1" width="4.42578125" style="69" customWidth="1"/>
    <col min="2" max="2" width="9.140625" style="69"/>
    <col min="3" max="3" width="0.85546875" style="69" customWidth="1"/>
    <col min="4" max="4" width="11.7109375" style="69" bestFit="1" customWidth="1"/>
    <col min="5" max="16384" width="9.140625" style="69"/>
  </cols>
  <sheetData>
    <row r="1" spans="1:10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4" spans="1:10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2">
      <c r="A5" s="152" t="str">
        <f>'CAPGDS1000000166 Input'!A7:J7</f>
        <v>Pro Forma Adjustment - Project In Service During Test Year</v>
      </c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2">
      <c r="A6" s="153" t="str">
        <f>'CAPGDS1000000166 Input'!F9</f>
        <v>SFS - 6 Mile Serve Load</v>
      </c>
      <c r="B6" s="153"/>
      <c r="C6" s="153"/>
      <c r="D6" s="153"/>
      <c r="E6" s="153"/>
      <c r="F6" s="153"/>
      <c r="G6" s="153"/>
      <c r="H6" s="153"/>
      <c r="I6" s="153"/>
      <c r="J6" s="153"/>
    </row>
    <row r="67" spans="1:10" x14ac:dyDescent="0.2">
      <c r="A67" s="152" t="s">
        <v>56</v>
      </c>
      <c r="B67" s="152"/>
      <c r="C67" s="152"/>
      <c r="D67" s="152"/>
      <c r="E67" s="152"/>
      <c r="F67" s="152"/>
      <c r="G67" s="152"/>
      <c r="H67" s="152"/>
      <c r="I67" s="152"/>
      <c r="J67" s="152"/>
    </row>
    <row r="68" spans="1:10" x14ac:dyDescent="0.2">
      <c r="A68" s="153" t="s">
        <v>124</v>
      </c>
      <c r="B68" s="153"/>
      <c r="C68" s="153"/>
      <c r="D68" s="153"/>
      <c r="E68" s="153"/>
      <c r="F68" s="153"/>
      <c r="G68" s="153"/>
      <c r="H68" s="153"/>
      <c r="I68" s="153"/>
      <c r="J68" s="153"/>
    </row>
    <row r="138" spans="1:10" x14ac:dyDescent="0.2">
      <c r="A138" s="152" t="str">
        <f>A5</f>
        <v>Pro Forma Adjustment - Project In Service During Test Year</v>
      </c>
      <c r="B138" s="152"/>
      <c r="C138" s="152"/>
      <c r="D138" s="152"/>
      <c r="E138" s="152"/>
      <c r="F138" s="152"/>
      <c r="G138" s="152"/>
      <c r="H138" s="152"/>
      <c r="I138" s="152"/>
      <c r="J138" s="152"/>
    </row>
    <row r="139" spans="1:10" x14ac:dyDescent="0.2">
      <c r="A139" s="153" t="str">
        <f>A6</f>
        <v>SFS - 6 Mile Serve Load</v>
      </c>
      <c r="B139" s="153"/>
      <c r="C139" s="153"/>
      <c r="D139" s="153"/>
      <c r="E139" s="153"/>
      <c r="F139" s="153"/>
      <c r="G139" s="153"/>
      <c r="H139" s="153"/>
      <c r="I139" s="153"/>
      <c r="J139" s="153"/>
    </row>
    <row r="213" spans="1:10" x14ac:dyDescent="0.2">
      <c r="A213" s="152"/>
      <c r="B213" s="152"/>
      <c r="C213" s="152"/>
      <c r="D213" s="152"/>
      <c r="E213" s="152"/>
      <c r="F213" s="152"/>
      <c r="G213" s="152"/>
      <c r="H213" s="152"/>
      <c r="I213" s="152"/>
      <c r="J213" s="152"/>
    </row>
    <row r="214" spans="1:10" x14ac:dyDescent="0.2">
      <c r="A214" s="152"/>
      <c r="B214" s="152"/>
      <c r="C214" s="152"/>
      <c r="D214" s="152"/>
      <c r="E214" s="152"/>
      <c r="F214" s="152"/>
      <c r="G214" s="152"/>
      <c r="H214" s="152"/>
      <c r="I214" s="152"/>
      <c r="J214" s="152"/>
    </row>
    <row r="216" spans="1:10" x14ac:dyDescent="0.2">
      <c r="A216" s="152"/>
      <c r="B216" s="152"/>
      <c r="C216" s="152"/>
      <c r="D216" s="152"/>
      <c r="E216" s="152"/>
      <c r="F216" s="152"/>
      <c r="G216" s="152"/>
      <c r="H216" s="152"/>
      <c r="I216" s="152"/>
      <c r="J216" s="152"/>
    </row>
    <row r="217" spans="1:10" x14ac:dyDescent="0.2">
      <c r="A217" s="152" t="str">
        <f>A5</f>
        <v>Pro Forma Adjustment - Project In Service During Test Year</v>
      </c>
      <c r="B217" s="152"/>
      <c r="C217" s="152"/>
      <c r="D217" s="152"/>
      <c r="E217" s="152"/>
      <c r="F217" s="152"/>
      <c r="G217" s="152"/>
      <c r="H217" s="152"/>
      <c r="I217" s="152"/>
      <c r="J217" s="152"/>
    </row>
    <row r="218" spans="1:10" x14ac:dyDescent="0.2">
      <c r="A218" s="153" t="str">
        <f>A6</f>
        <v>SFS - 6 Mile Serve Load</v>
      </c>
      <c r="B218" s="153"/>
      <c r="C218" s="153"/>
      <c r="D218" s="153"/>
      <c r="E218" s="153"/>
      <c r="F218" s="153"/>
      <c r="G218" s="153"/>
      <c r="H218" s="153"/>
      <c r="I218" s="153"/>
      <c r="J218" s="153"/>
    </row>
    <row r="220" spans="1:10" x14ac:dyDescent="0.2">
      <c r="A220" s="86" t="s">
        <v>1</v>
      </c>
    </row>
    <row r="221" spans="1:10" x14ac:dyDescent="0.2">
      <c r="A221" s="87" t="s">
        <v>108</v>
      </c>
      <c r="B221" s="72" t="s">
        <v>106</v>
      </c>
      <c r="D221" s="73" t="s">
        <v>3</v>
      </c>
    </row>
    <row r="222" spans="1:10" x14ac:dyDescent="0.2">
      <c r="B222" s="74" t="s">
        <v>5</v>
      </c>
      <c r="C222" s="74"/>
      <c r="D222" s="74" t="s">
        <v>6</v>
      </c>
    </row>
    <row r="225" spans="1:4" x14ac:dyDescent="0.2">
      <c r="A225" s="69">
        <v>1</v>
      </c>
      <c r="B225" s="70">
        <f>'CAPGDS1000000166 Input'!B17</f>
        <v>45672</v>
      </c>
      <c r="D225" s="71">
        <v>0</v>
      </c>
    </row>
    <row r="226" spans="1:4" x14ac:dyDescent="0.2">
      <c r="A226" s="69">
        <f>A225+1</f>
        <v>2</v>
      </c>
      <c r="B226" s="70">
        <f>'CAPGDS1000000166 Input'!B18</f>
        <v>45702</v>
      </c>
      <c r="D226" s="71">
        <v>0</v>
      </c>
    </row>
    <row r="227" spans="1:4" x14ac:dyDescent="0.2">
      <c r="A227" s="69">
        <f>A226+1</f>
        <v>3</v>
      </c>
      <c r="B227" s="70">
        <f>'CAPGDS1000000166 Input'!B19</f>
        <v>45732</v>
      </c>
      <c r="D227" s="71">
        <v>0</v>
      </c>
    </row>
    <row r="228" spans="1:4" x14ac:dyDescent="0.2">
      <c r="A228" s="69">
        <f t="shared" ref="A228:A241" si="0">A227+1</f>
        <v>4</v>
      </c>
      <c r="B228" s="70">
        <f>'CAPGDS1000000166 Input'!B20</f>
        <v>45762</v>
      </c>
      <c r="D228" s="71">
        <v>0</v>
      </c>
    </row>
    <row r="229" spans="1:4" x14ac:dyDescent="0.2">
      <c r="A229" s="69">
        <f t="shared" si="0"/>
        <v>5</v>
      </c>
      <c r="B229" s="70">
        <f>'CAPGDS1000000166 Input'!B21</f>
        <v>45792</v>
      </c>
      <c r="D229" s="71">
        <v>0</v>
      </c>
    </row>
    <row r="230" spans="1:4" x14ac:dyDescent="0.2">
      <c r="A230" s="69">
        <f t="shared" si="0"/>
        <v>6</v>
      </c>
      <c r="B230" s="70">
        <f>'CAPGDS1000000166 Input'!B22</f>
        <v>45822</v>
      </c>
      <c r="D230" s="71">
        <v>0</v>
      </c>
    </row>
    <row r="231" spans="1:4" x14ac:dyDescent="0.2">
      <c r="A231" s="69">
        <f t="shared" si="0"/>
        <v>7</v>
      </c>
      <c r="B231" s="70">
        <f>'CAPGDS1000000166 Input'!B23</f>
        <v>45852</v>
      </c>
      <c r="D231" s="71">
        <v>0</v>
      </c>
    </row>
    <row r="232" spans="1:4" x14ac:dyDescent="0.2">
      <c r="A232" s="69">
        <f t="shared" si="0"/>
        <v>8</v>
      </c>
      <c r="B232" s="70">
        <f>'CAPGDS1000000166 Input'!B24</f>
        <v>45882</v>
      </c>
      <c r="D232" s="71">
        <v>0</v>
      </c>
    </row>
    <row r="233" spans="1:4" x14ac:dyDescent="0.2">
      <c r="A233" s="69">
        <f t="shared" si="0"/>
        <v>9</v>
      </c>
      <c r="B233" s="70">
        <f>'CAPGDS1000000166 Input'!B25</f>
        <v>45912</v>
      </c>
      <c r="D233" s="71">
        <v>0</v>
      </c>
    </row>
    <row r="234" spans="1:4" x14ac:dyDescent="0.2">
      <c r="A234" s="69">
        <f t="shared" si="0"/>
        <v>10</v>
      </c>
      <c r="B234" s="70">
        <f>'CAPGDS1000000166 Input'!B26</f>
        <v>45942</v>
      </c>
      <c r="D234" s="71">
        <f>972736.48+568.65+5117.83</f>
        <v>978422.96</v>
      </c>
    </row>
    <row r="235" spans="1:4" x14ac:dyDescent="0.2">
      <c r="A235" s="69">
        <f t="shared" si="0"/>
        <v>11</v>
      </c>
      <c r="B235" s="70">
        <f>'CAPGDS1000000166 Input'!B27</f>
        <v>45972</v>
      </c>
      <c r="D235" s="71">
        <v>0</v>
      </c>
    </row>
    <row r="236" spans="1:4" x14ac:dyDescent="0.2">
      <c r="A236" s="69">
        <f t="shared" si="0"/>
        <v>12</v>
      </c>
      <c r="B236" s="70">
        <f>'CAPGDS1000000166 Input'!B28</f>
        <v>46002</v>
      </c>
      <c r="D236" s="100">
        <v>-327.39999999999998</v>
      </c>
    </row>
    <row r="237" spans="1:4" x14ac:dyDescent="0.2">
      <c r="A237" s="69">
        <f t="shared" si="0"/>
        <v>13</v>
      </c>
      <c r="B237" s="70"/>
      <c r="D237" s="75"/>
    </row>
    <row r="238" spans="1:4" ht="12" thickBot="1" x14ac:dyDescent="0.25">
      <c r="A238" s="69">
        <f t="shared" si="0"/>
        <v>14</v>
      </c>
      <c r="B238" s="70" t="s">
        <v>40</v>
      </c>
      <c r="D238" s="76">
        <f>SUM(D228:D237)</f>
        <v>978095.55999999994</v>
      </c>
    </row>
    <row r="239" spans="1:4" ht="12" thickTop="1" x14ac:dyDescent="0.2">
      <c r="A239" s="69">
        <f t="shared" si="0"/>
        <v>15</v>
      </c>
    </row>
    <row r="240" spans="1:4" x14ac:dyDescent="0.2">
      <c r="A240" s="69">
        <f t="shared" si="0"/>
        <v>16</v>
      </c>
      <c r="D240" s="65" t="s">
        <v>85</v>
      </c>
    </row>
    <row r="241" spans="1:4" x14ac:dyDescent="0.2">
      <c r="A241" s="69">
        <f t="shared" si="0"/>
        <v>17</v>
      </c>
      <c r="D241" s="65" t="s">
        <v>136</v>
      </c>
    </row>
  </sheetData>
  <mergeCells count="14">
    <mergeCell ref="A218:J218"/>
    <mergeCell ref="A1:J1"/>
    <mergeCell ref="A2:J2"/>
    <mergeCell ref="A4:J4"/>
    <mergeCell ref="A5:J5"/>
    <mergeCell ref="A6:J6"/>
    <mergeCell ref="A138:J138"/>
    <mergeCell ref="A139:J139"/>
    <mergeCell ref="A213:J213"/>
    <mergeCell ref="A214:J214"/>
    <mergeCell ref="A216:J216"/>
    <mergeCell ref="A217:J217"/>
    <mergeCell ref="A67:J67"/>
    <mergeCell ref="A68:J6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3" manualBreakCount="3">
    <brk id="61" max="10" man="1"/>
    <brk id="132" max="10" man="1"/>
    <brk id="210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A2C5-F33C-4A54-B0D8-C45C50791E18}">
  <dimension ref="A1:N43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33" customWidth="1"/>
    <col min="2" max="2" width="13.7109375" style="33" customWidth="1"/>
    <col min="3" max="3" width="0.85546875" style="33" customWidth="1"/>
    <col min="4" max="4" width="17.42578125" style="33" customWidth="1"/>
    <col min="5" max="5" width="0.85546875" style="33" customWidth="1"/>
    <col min="6" max="6" width="10.140625" style="33" customWidth="1"/>
    <col min="7" max="7" width="0.85546875" style="33" customWidth="1"/>
    <col min="8" max="8" width="10.28515625" style="33" customWidth="1"/>
    <col min="9" max="9" width="0.85546875" style="33" customWidth="1"/>
    <col min="10" max="10" width="8" style="33"/>
    <col min="11" max="11" width="1.140625" style="33" customWidth="1"/>
    <col min="12" max="12" width="9.28515625" style="33" customWidth="1"/>
    <col min="13" max="13" width="1.42578125" style="33" customWidth="1"/>
    <col min="14" max="16384" width="8" style="33"/>
  </cols>
  <sheetData>
    <row r="1" spans="1:14" ht="13.5" customHeight="1" x14ac:dyDescent="0.2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4" ht="13.5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4" ht="13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</row>
    <row r="4" spans="1:14" ht="13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</row>
    <row r="5" spans="1:14" ht="13.5" customHeight="1" x14ac:dyDescent="0.2"/>
    <row r="6" spans="1:14" ht="13.5" customHeight="1" x14ac:dyDescent="0.2"/>
    <row r="7" spans="1:14" ht="12" customHeight="1" x14ac:dyDescent="0.2">
      <c r="A7" s="145" t="s">
        <v>56</v>
      </c>
      <c r="B7" s="145"/>
      <c r="C7" s="145"/>
      <c r="D7" s="145"/>
      <c r="E7" s="145"/>
      <c r="F7" s="145"/>
      <c r="G7" s="145"/>
      <c r="H7" s="145"/>
      <c r="I7" s="145"/>
      <c r="J7" s="145"/>
    </row>
    <row r="8" spans="1:14" x14ac:dyDescent="0.2">
      <c r="B8" s="146"/>
      <c r="C8" s="147"/>
      <c r="D8" s="147"/>
      <c r="F8" s="148"/>
      <c r="G8" s="148"/>
      <c r="H8" s="148"/>
    </row>
    <row r="9" spans="1:14" x14ac:dyDescent="0.2">
      <c r="B9" s="90" t="s">
        <v>57</v>
      </c>
      <c r="D9" s="91" t="s">
        <v>129</v>
      </c>
      <c r="E9" s="34"/>
      <c r="F9" s="143" t="s">
        <v>130</v>
      </c>
      <c r="G9" s="144"/>
      <c r="H9" s="144"/>
      <c r="I9" s="144"/>
      <c r="J9" s="144"/>
    </row>
    <row r="10" spans="1:14" x14ac:dyDescent="0.2">
      <c r="B10" s="34" t="s">
        <v>58</v>
      </c>
      <c r="D10" s="92">
        <v>1</v>
      </c>
      <c r="F10" s="34" t="s">
        <v>59</v>
      </c>
      <c r="H10" s="99">
        <v>1</v>
      </c>
    </row>
    <row r="11" spans="1:14" x14ac:dyDescent="0.2">
      <c r="L11" s="36" t="s">
        <v>60</v>
      </c>
      <c r="N11" s="36" t="s">
        <v>47</v>
      </c>
    </row>
    <row r="12" spans="1:14" x14ac:dyDescent="0.2">
      <c r="A12" s="33" t="s">
        <v>1</v>
      </c>
      <c r="F12" s="35" t="s">
        <v>61</v>
      </c>
      <c r="G12" s="35"/>
      <c r="H12" s="35"/>
      <c r="J12" s="36" t="s">
        <v>50</v>
      </c>
      <c r="L12" s="36" t="s">
        <v>50</v>
      </c>
      <c r="N12" s="36" t="s">
        <v>62</v>
      </c>
    </row>
    <row r="13" spans="1:14" x14ac:dyDescent="0.2">
      <c r="A13" s="89" t="s">
        <v>108</v>
      </c>
      <c r="B13" s="93" t="s">
        <v>63</v>
      </c>
      <c r="D13" s="37" t="s">
        <v>64</v>
      </c>
      <c r="E13" s="38"/>
      <c r="F13" s="37" t="s">
        <v>65</v>
      </c>
      <c r="H13" s="37" t="s">
        <v>66</v>
      </c>
      <c r="J13" s="37" t="s">
        <v>67</v>
      </c>
      <c r="L13" s="37" t="s">
        <v>67</v>
      </c>
      <c r="N13" s="37" t="s">
        <v>68</v>
      </c>
    </row>
    <row r="14" spans="1:14" x14ac:dyDescent="0.2">
      <c r="B14" s="94" t="s">
        <v>5</v>
      </c>
      <c r="D14" s="36" t="s">
        <v>6</v>
      </c>
      <c r="E14" s="38"/>
      <c r="F14" s="36" t="s">
        <v>7</v>
      </c>
      <c r="H14" s="36" t="s">
        <v>41</v>
      </c>
      <c r="J14" s="36" t="s">
        <v>42</v>
      </c>
      <c r="L14" s="36" t="s">
        <v>43</v>
      </c>
      <c r="N14" s="36" t="s">
        <v>44</v>
      </c>
    </row>
    <row r="15" spans="1:14" x14ac:dyDescent="0.2">
      <c r="B15" s="95"/>
      <c r="D15" s="36"/>
      <c r="E15" s="38"/>
      <c r="F15" s="36"/>
      <c r="H15" s="36"/>
      <c r="J15" s="36"/>
    </row>
    <row r="16" spans="1:14" x14ac:dyDescent="0.2">
      <c r="A16" s="36">
        <v>1</v>
      </c>
      <c r="B16" s="40">
        <v>45641</v>
      </c>
      <c r="D16" s="44">
        <v>0</v>
      </c>
      <c r="E16" s="38"/>
      <c r="F16" s="36" t="s">
        <v>121</v>
      </c>
      <c r="H16" s="6">
        <v>0.85</v>
      </c>
      <c r="J16" s="43">
        <f>1.5/68</f>
        <v>2.2058823529411766E-2</v>
      </c>
      <c r="L16" s="43">
        <v>3.7499999999999999E-2</v>
      </c>
      <c r="N16" s="96">
        <v>0.21</v>
      </c>
    </row>
    <row r="17" spans="1:10" x14ac:dyDescent="0.2">
      <c r="A17" s="36">
        <v>2</v>
      </c>
      <c r="B17" s="41">
        <v>45672</v>
      </c>
      <c r="D17" s="44">
        <v>0</v>
      </c>
      <c r="E17" s="38"/>
      <c r="F17" s="36" t="s">
        <v>122</v>
      </c>
      <c r="H17" s="6">
        <v>0.13</v>
      </c>
      <c r="J17" s="43">
        <f>1.45/52</f>
        <v>2.7884615384615383E-2</v>
      </c>
    </row>
    <row r="18" spans="1:10" x14ac:dyDescent="0.2">
      <c r="A18" s="36">
        <v>3</v>
      </c>
      <c r="B18" s="41">
        <f>B17+30</f>
        <v>45702</v>
      </c>
      <c r="D18" s="44">
        <v>0</v>
      </c>
      <c r="E18" s="38"/>
      <c r="F18" s="36" t="s">
        <v>131</v>
      </c>
      <c r="H18" s="6">
        <v>0.02</v>
      </c>
      <c r="J18" s="43">
        <v>0</v>
      </c>
    </row>
    <row r="19" spans="1:10" x14ac:dyDescent="0.2">
      <c r="A19" s="36">
        <v>4</v>
      </c>
      <c r="B19" s="41">
        <f t="shared" ref="B19:B28" si="0">B18+30</f>
        <v>45732</v>
      </c>
      <c r="D19" s="44">
        <v>0</v>
      </c>
      <c r="E19" s="38"/>
      <c r="F19" s="36" t="s">
        <v>69</v>
      </c>
      <c r="H19" s="6">
        <v>0</v>
      </c>
      <c r="J19" s="43">
        <v>0</v>
      </c>
    </row>
    <row r="20" spans="1:10" x14ac:dyDescent="0.2">
      <c r="A20" s="36">
        <v>5</v>
      </c>
      <c r="B20" s="41">
        <f t="shared" si="0"/>
        <v>45762</v>
      </c>
      <c r="D20" s="44">
        <f>+'CAPGDS1000000935 Support'!D199</f>
        <v>0</v>
      </c>
      <c r="E20" s="38"/>
      <c r="F20" s="36" t="s">
        <v>69</v>
      </c>
      <c r="H20" s="6">
        <v>0</v>
      </c>
      <c r="J20" s="43">
        <v>0</v>
      </c>
    </row>
    <row r="21" spans="1:10" x14ac:dyDescent="0.2">
      <c r="A21" s="36">
        <v>6</v>
      </c>
      <c r="B21" s="41">
        <f t="shared" si="0"/>
        <v>45792</v>
      </c>
      <c r="D21" s="44">
        <f>+'CAPGDS1000000935 Support'!D200+D20</f>
        <v>0</v>
      </c>
      <c r="E21" s="38"/>
      <c r="F21" s="36"/>
      <c r="H21" s="42" t="s">
        <v>9</v>
      </c>
      <c r="J21" s="43"/>
    </row>
    <row r="22" spans="1:10" x14ac:dyDescent="0.2">
      <c r="A22" s="36">
        <v>7</v>
      </c>
      <c r="B22" s="41">
        <f t="shared" si="0"/>
        <v>45822</v>
      </c>
      <c r="D22" s="44">
        <f>+'CAPGDS1000000935 Support'!D201+D21</f>
        <v>0</v>
      </c>
      <c r="E22" s="38"/>
      <c r="F22" s="36"/>
      <c r="H22" s="42" t="s">
        <v>9</v>
      </c>
      <c r="J22" s="43"/>
    </row>
    <row r="23" spans="1:10" x14ac:dyDescent="0.2">
      <c r="A23" s="36">
        <v>8</v>
      </c>
      <c r="B23" s="41">
        <f t="shared" si="0"/>
        <v>45852</v>
      </c>
      <c r="D23" s="44">
        <f>+'CAPGDS1000000935 Support'!D202+D22</f>
        <v>0</v>
      </c>
      <c r="E23" s="38"/>
      <c r="F23" s="36"/>
      <c r="H23" s="42" t="s">
        <v>9</v>
      </c>
      <c r="J23" s="43"/>
    </row>
    <row r="24" spans="1:10" x14ac:dyDescent="0.2">
      <c r="A24" s="36">
        <v>9</v>
      </c>
      <c r="B24" s="41">
        <f t="shared" si="0"/>
        <v>45882</v>
      </c>
      <c r="D24" s="44">
        <f>+'CAPGDS1000000935 Support'!D203+D23</f>
        <v>0</v>
      </c>
      <c r="E24" s="38"/>
      <c r="F24" s="36"/>
      <c r="H24" s="42" t="s">
        <v>9</v>
      </c>
      <c r="J24" s="43"/>
    </row>
    <row r="25" spans="1:10" x14ac:dyDescent="0.2">
      <c r="A25" s="36">
        <v>10</v>
      </c>
      <c r="B25" s="41">
        <f t="shared" si="0"/>
        <v>45912</v>
      </c>
      <c r="D25" s="44">
        <f>+'CAPGDS1000000935 Support'!D204+D24</f>
        <v>0</v>
      </c>
      <c r="E25" s="38"/>
      <c r="F25" s="36"/>
      <c r="H25" s="42" t="s">
        <v>9</v>
      </c>
      <c r="J25" s="43"/>
    </row>
    <row r="26" spans="1:10" x14ac:dyDescent="0.2">
      <c r="A26" s="36">
        <v>11</v>
      </c>
      <c r="B26" s="41">
        <f t="shared" si="0"/>
        <v>45942</v>
      </c>
      <c r="D26" s="116">
        <f>+'CAPGDS1000000782 Support'!D341+D25</f>
        <v>736595.01</v>
      </c>
      <c r="E26" s="38"/>
      <c r="F26" s="36"/>
      <c r="H26" s="42" t="s">
        <v>9</v>
      </c>
      <c r="J26" s="43"/>
    </row>
    <row r="27" spans="1:10" x14ac:dyDescent="0.2">
      <c r="A27" s="36">
        <v>12</v>
      </c>
      <c r="B27" s="41">
        <f t="shared" si="0"/>
        <v>45972</v>
      </c>
      <c r="D27" s="116">
        <f>+'CAPGDS1000000782 Support'!D342+D26</f>
        <v>736595.01</v>
      </c>
      <c r="E27" s="38"/>
      <c r="H27" s="42" t="s">
        <v>9</v>
      </c>
      <c r="J27" s="43"/>
    </row>
    <row r="28" spans="1:10" x14ac:dyDescent="0.2">
      <c r="A28" s="36">
        <v>13</v>
      </c>
      <c r="B28" s="41">
        <f t="shared" si="0"/>
        <v>46002</v>
      </c>
      <c r="D28" s="116">
        <f>+'CAPGDS1000000782 Support'!D343+D27</f>
        <v>658283.71</v>
      </c>
      <c r="E28" s="38"/>
      <c r="H28" s="42"/>
      <c r="J28" s="43"/>
    </row>
    <row r="29" spans="1:10" x14ac:dyDescent="0.2">
      <c r="A29" s="36">
        <v>14</v>
      </c>
      <c r="D29" s="44"/>
      <c r="E29" s="38"/>
      <c r="J29" s="43"/>
    </row>
    <row r="30" spans="1:10" x14ac:dyDescent="0.2">
      <c r="A30" s="36">
        <v>15</v>
      </c>
      <c r="B30" s="34" t="s">
        <v>70</v>
      </c>
      <c r="D30" s="97">
        <v>45838</v>
      </c>
    </row>
    <row r="31" spans="1:10" x14ac:dyDescent="0.2">
      <c r="A31" s="36">
        <v>16</v>
      </c>
      <c r="B31" s="34" t="s">
        <v>71</v>
      </c>
      <c r="D31" s="98">
        <f>658283.71+20124.26</f>
        <v>678407.97</v>
      </c>
    </row>
    <row r="33" spans="2:2" x14ac:dyDescent="0.2">
      <c r="B33" s="45" t="s">
        <v>72</v>
      </c>
    </row>
    <row r="34" spans="2:2" x14ac:dyDescent="0.2">
      <c r="B34" s="45" t="s">
        <v>73</v>
      </c>
    </row>
    <row r="35" spans="2:2" x14ac:dyDescent="0.2">
      <c r="B35" s="45" t="s">
        <v>173</v>
      </c>
    </row>
    <row r="36" spans="2:2" x14ac:dyDescent="0.2">
      <c r="B36" s="45" t="s">
        <v>174</v>
      </c>
    </row>
    <row r="37" spans="2:2" x14ac:dyDescent="0.2">
      <c r="B37" s="45" t="s">
        <v>175</v>
      </c>
    </row>
    <row r="38" spans="2:2" x14ac:dyDescent="0.2">
      <c r="B38" s="45" t="s">
        <v>176</v>
      </c>
    </row>
    <row r="39" spans="2:2" x14ac:dyDescent="0.2">
      <c r="B39" s="45" t="s">
        <v>177</v>
      </c>
    </row>
    <row r="40" spans="2:2" x14ac:dyDescent="0.2">
      <c r="B40" s="45" t="s">
        <v>178</v>
      </c>
    </row>
    <row r="41" spans="2:2" x14ac:dyDescent="0.2">
      <c r="B41" s="33" t="s">
        <v>74</v>
      </c>
    </row>
    <row r="42" spans="2:2" x14ac:dyDescent="0.2">
      <c r="B42" s="82" t="s">
        <v>160</v>
      </c>
    </row>
    <row r="43" spans="2:2" x14ac:dyDescent="0.2">
      <c r="B43" s="33" t="s">
        <v>75</v>
      </c>
    </row>
  </sheetData>
  <mergeCells count="6">
    <mergeCell ref="F9:J9"/>
    <mergeCell ref="A1:J1"/>
    <mergeCell ref="A2:J2"/>
    <mergeCell ref="A7:J7"/>
    <mergeCell ref="B8:D8"/>
    <mergeCell ref="F8:H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75F9-DC05-4883-8450-6E39E655473B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9" customWidth="1"/>
    <col min="2" max="2" width="1" style="49" customWidth="1"/>
    <col min="3" max="3" width="14.7109375" style="49" customWidth="1"/>
    <col min="4" max="4" width="1" style="49" customWidth="1"/>
    <col min="5" max="5" width="17.85546875" style="49" customWidth="1"/>
    <col min="6" max="6" width="1" style="49" customWidth="1"/>
    <col min="7" max="7" width="17.85546875" style="49" customWidth="1"/>
    <col min="8" max="8" width="1" style="49" customWidth="1"/>
    <col min="9" max="9" width="15.85546875" style="49" customWidth="1"/>
    <col min="10" max="10" width="6.42578125" style="49" customWidth="1"/>
    <col min="11" max="11" width="4.85546875" style="49" customWidth="1"/>
    <col min="12" max="12" width="1" style="49" customWidth="1"/>
    <col min="13" max="13" width="25.140625" style="49" customWidth="1"/>
    <col min="14" max="14" width="1" style="49" customWidth="1"/>
    <col min="15" max="15" width="14.85546875" style="49" customWidth="1"/>
    <col min="16" max="16" width="1" style="49" customWidth="1"/>
    <col min="17" max="17" width="14.85546875" style="49" customWidth="1"/>
    <col min="18" max="18" width="1" style="49" customWidth="1"/>
    <col min="19" max="19" width="13.85546875" style="49" customWidth="1"/>
    <col min="20" max="20" width="6.42578125" style="49" customWidth="1"/>
    <col min="21" max="21" width="4.85546875" style="49" customWidth="1"/>
    <col min="22" max="22" width="1" style="49" customWidth="1"/>
    <col min="23" max="23" width="25.140625" style="49" customWidth="1"/>
    <col min="24" max="24" width="1" style="49" customWidth="1"/>
    <col min="25" max="25" width="14.85546875" style="49" customWidth="1"/>
    <col min="26" max="26" width="1" style="49" customWidth="1"/>
    <col min="27" max="27" width="14.85546875" style="49" customWidth="1"/>
    <col min="28" max="28" width="1" style="49" customWidth="1"/>
    <col min="29" max="29" width="13.85546875" style="49" customWidth="1"/>
    <col min="30" max="30" width="6.42578125" style="49" customWidth="1"/>
    <col min="31" max="31" width="4.85546875" style="49" customWidth="1"/>
    <col min="32" max="32" width="1" style="49" customWidth="1"/>
    <col min="33" max="33" width="25.140625" style="49" customWidth="1"/>
    <col min="34" max="34" width="1" style="49" customWidth="1"/>
    <col min="35" max="35" width="14.85546875" style="49" customWidth="1"/>
    <col min="36" max="36" width="1" style="49" customWidth="1"/>
    <col min="37" max="37" width="14.85546875" style="49" customWidth="1"/>
    <col min="38" max="38" width="1" style="49" customWidth="1"/>
    <col min="39" max="39" width="13.85546875" style="49" customWidth="1"/>
    <col min="40" max="40" width="6.42578125" style="49" customWidth="1"/>
    <col min="41" max="41" width="4.85546875" style="49" customWidth="1"/>
    <col min="42" max="42" width="1" style="49" customWidth="1"/>
    <col min="43" max="43" width="17.85546875" style="49" customWidth="1"/>
    <col min="44" max="44" width="1" style="49" customWidth="1"/>
    <col min="45" max="45" width="14.85546875" style="49" customWidth="1"/>
    <col min="46" max="46" width="1" style="49" customWidth="1"/>
    <col min="47" max="47" width="14.85546875" style="49" customWidth="1"/>
    <col min="48" max="48" width="1" style="49" customWidth="1"/>
    <col min="49" max="49" width="13.85546875" style="49" customWidth="1"/>
    <col min="50" max="16384" width="11" style="49"/>
  </cols>
  <sheetData>
    <row r="1" spans="1:10" x14ac:dyDescent="0.2">
      <c r="A1" s="46"/>
      <c r="B1" s="46"/>
      <c r="C1" s="47"/>
      <c r="D1" s="47"/>
      <c r="E1" s="47"/>
      <c r="F1" s="47"/>
      <c r="G1" s="47"/>
      <c r="H1" s="47"/>
      <c r="I1" s="47"/>
      <c r="J1" s="48" t="s">
        <v>9</v>
      </c>
    </row>
    <row r="2" spans="1:10" x14ac:dyDescent="0.2">
      <c r="A2" s="46"/>
      <c r="B2" s="46"/>
      <c r="C2" s="47"/>
      <c r="D2" s="47"/>
      <c r="E2" s="47"/>
      <c r="F2" s="47"/>
      <c r="G2" s="47"/>
      <c r="H2" s="47"/>
      <c r="I2" s="47"/>
      <c r="J2" s="48"/>
    </row>
    <row r="3" spans="1:10" x14ac:dyDescent="0.2">
      <c r="A3" s="46"/>
      <c r="B3" s="46"/>
      <c r="C3" s="47"/>
      <c r="D3" s="47"/>
      <c r="E3" s="47"/>
      <c r="F3" s="47"/>
      <c r="G3" s="47"/>
      <c r="H3" s="47"/>
      <c r="I3" s="47"/>
      <c r="J3" s="48"/>
    </row>
    <row r="4" spans="1:10" x14ac:dyDescent="0.2">
      <c r="A4" s="46"/>
      <c r="B4" s="46"/>
      <c r="C4" s="47"/>
      <c r="D4" s="47"/>
      <c r="E4" s="47"/>
      <c r="F4" s="47"/>
      <c r="G4" s="47"/>
      <c r="H4" s="47"/>
      <c r="I4" s="47"/>
      <c r="J4" s="48" t="s">
        <v>9</v>
      </c>
    </row>
    <row r="5" spans="1:10" x14ac:dyDescent="0.2">
      <c r="J5" s="48" t="s">
        <v>9</v>
      </c>
    </row>
    <row r="6" spans="1:10" x14ac:dyDescent="0.2">
      <c r="A6" s="149"/>
      <c r="B6" s="149"/>
      <c r="C6" s="149"/>
      <c r="D6" s="149"/>
      <c r="E6" s="149"/>
      <c r="F6" s="149"/>
      <c r="G6" s="149"/>
      <c r="H6" s="149"/>
      <c r="I6" s="149"/>
      <c r="J6" s="48"/>
    </row>
    <row r="7" spans="1:10" x14ac:dyDescent="0.2">
      <c r="A7" s="46" t="str">
        <f>'CAPGDS1000000782 Input'!A7:J7</f>
        <v>Pro Forma Adjustment - Project In Service During Test Year</v>
      </c>
      <c r="B7" s="46"/>
      <c r="C7" s="47"/>
      <c r="D7" s="47"/>
      <c r="E7" s="47"/>
      <c r="F7" s="47"/>
      <c r="G7" s="47"/>
      <c r="H7" s="47"/>
      <c r="I7" s="47"/>
      <c r="J7" s="48"/>
    </row>
    <row r="8" spans="1:10" x14ac:dyDescent="0.2">
      <c r="A8" s="150" t="str">
        <f>'CAPGDS1000000782 Input'!F9</f>
        <v>SFS - Cliff I229 Interchange</v>
      </c>
      <c r="B8" s="150"/>
      <c r="C8" s="150"/>
      <c r="D8" s="150"/>
      <c r="E8" s="150"/>
      <c r="F8" s="150"/>
      <c r="G8" s="150"/>
      <c r="H8" s="150"/>
      <c r="I8" s="150"/>
      <c r="J8" s="48"/>
    </row>
    <row r="9" spans="1:10" x14ac:dyDescent="0.2">
      <c r="A9" s="50"/>
      <c r="B9" s="50"/>
      <c r="C9" s="48"/>
      <c r="D9" s="48"/>
      <c r="E9" s="48"/>
      <c r="F9" s="48"/>
      <c r="G9" s="48"/>
      <c r="H9" s="48"/>
      <c r="I9" s="48"/>
      <c r="J9" s="48"/>
    </row>
    <row r="10" spans="1:10" x14ac:dyDescent="0.2">
      <c r="A10" s="50" t="s">
        <v>76</v>
      </c>
      <c r="B10" s="50"/>
      <c r="C10" s="48"/>
      <c r="D10" s="48"/>
      <c r="E10" s="48"/>
      <c r="F10" s="48"/>
      <c r="G10" s="48"/>
      <c r="H10" s="48"/>
      <c r="I10" s="48"/>
      <c r="J10" s="48" t="s">
        <v>9</v>
      </c>
    </row>
    <row r="11" spans="1:10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  <c r="J11" s="48" t="s">
        <v>9</v>
      </c>
    </row>
    <row r="13" spans="1:10" ht="12" thickBot="1" x14ac:dyDescent="0.25">
      <c r="A13" s="65" t="s">
        <v>77</v>
      </c>
      <c r="E13" s="51" t="s">
        <v>78</v>
      </c>
      <c r="F13" s="52"/>
      <c r="G13" s="52"/>
      <c r="H13" s="52"/>
      <c r="I13" s="52"/>
    </row>
    <row r="14" spans="1:10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0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0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0" x14ac:dyDescent="0.2">
      <c r="A17" s="49">
        <v>1</v>
      </c>
      <c r="C17" s="56">
        <f>'CAPGDS1000000782 Input'!B16</f>
        <v>45641</v>
      </c>
      <c r="D17" s="56"/>
      <c r="E17" s="117">
        <f>'CAPGDS1000000782 Input'!D16*'CAPGDS1000000782 Input'!$D$10*'CAPGDS1000000782 Input'!$H$10</f>
        <v>0</v>
      </c>
      <c r="F17" s="118"/>
      <c r="G17" s="117">
        <f>'CAPGDS1000000782 Input'!D31*'CAPGDS1000000782 Input'!D10*'CAPGDS1000000782 Input'!H10</f>
        <v>678407.97</v>
      </c>
      <c r="H17" s="118"/>
      <c r="I17" s="117">
        <f>G17-E18</f>
        <v>678407.97</v>
      </c>
    </row>
    <row r="18" spans="1:10" x14ac:dyDescent="0.2">
      <c r="A18" s="49">
        <f t="shared" ref="A18:A40" si="0">1+A17</f>
        <v>2</v>
      </c>
      <c r="C18" s="56">
        <f>'CAPGDS1000000782 Input'!B17</f>
        <v>45672</v>
      </c>
      <c r="D18" s="56"/>
      <c r="E18" s="78">
        <f>'CAPGDS1000000782 Input'!D17*'CAPGDS1000000782 Input'!$D$10*'CAPGDS1000000782 Input'!$H$10</f>
        <v>0</v>
      </c>
      <c r="F18" s="8"/>
      <c r="G18" s="8">
        <f t="shared" ref="G18:G29" si="1">$G$17</f>
        <v>678407.97</v>
      </c>
      <c r="H18" s="8"/>
      <c r="I18" s="8">
        <f t="shared" ref="I18:I29" si="2">G18-E18</f>
        <v>678407.97</v>
      </c>
    </row>
    <row r="19" spans="1:10" x14ac:dyDescent="0.2">
      <c r="A19" s="49">
        <f t="shared" si="0"/>
        <v>3</v>
      </c>
      <c r="C19" s="56">
        <f>'CAPGDS1000000782 Input'!B18</f>
        <v>45702</v>
      </c>
      <c r="D19" s="56"/>
      <c r="E19" s="78">
        <f>'CAPGDS1000000782 Input'!D18*'CAPGDS1000000782 Input'!$D$10*'CAPGDS1000000782 Input'!$H$10</f>
        <v>0</v>
      </c>
      <c r="F19" s="8"/>
      <c r="G19" s="8">
        <f t="shared" si="1"/>
        <v>678407.97</v>
      </c>
      <c r="H19" s="8"/>
      <c r="I19" s="8">
        <f t="shared" si="2"/>
        <v>678407.97</v>
      </c>
      <c r="J19" s="57"/>
    </row>
    <row r="20" spans="1:10" x14ac:dyDescent="0.2">
      <c r="A20" s="49">
        <f t="shared" si="0"/>
        <v>4</v>
      </c>
      <c r="C20" s="56">
        <f>'CAPGDS1000000782 Input'!B19</f>
        <v>45732</v>
      </c>
      <c r="D20" s="56"/>
      <c r="E20" s="78">
        <f>'CAPGDS1000000782 Input'!D19*'CAPGDS1000000782 Input'!$D$10*'CAPGDS1000000782 Input'!$H$10</f>
        <v>0</v>
      </c>
      <c r="F20" s="8"/>
      <c r="G20" s="8">
        <f t="shared" si="1"/>
        <v>678407.97</v>
      </c>
      <c r="H20" s="8"/>
      <c r="I20" s="8">
        <f t="shared" si="2"/>
        <v>678407.97</v>
      </c>
      <c r="J20" s="57"/>
    </row>
    <row r="21" spans="1:10" x14ac:dyDescent="0.2">
      <c r="A21" s="49">
        <f t="shared" si="0"/>
        <v>5</v>
      </c>
      <c r="C21" s="56">
        <f>'CAPGDS1000000782 Input'!B20</f>
        <v>45762</v>
      </c>
      <c r="D21" s="56"/>
      <c r="E21" s="78">
        <f>'CAPGDS1000000782 Input'!D20*'CAPGDS1000000782 Input'!$D$10*'CAPGDS1000000782 Input'!$H$10</f>
        <v>0</v>
      </c>
      <c r="F21" s="8"/>
      <c r="G21" s="8">
        <f t="shared" si="1"/>
        <v>678407.97</v>
      </c>
      <c r="H21" s="8"/>
      <c r="I21" s="8">
        <f t="shared" si="2"/>
        <v>678407.97</v>
      </c>
      <c r="J21" s="57"/>
    </row>
    <row r="22" spans="1:10" x14ac:dyDescent="0.2">
      <c r="A22" s="49">
        <f t="shared" si="0"/>
        <v>6</v>
      </c>
      <c r="C22" s="56">
        <f>'CAPGDS1000000782 Input'!B21</f>
        <v>45792</v>
      </c>
      <c r="D22" s="56"/>
      <c r="E22" s="78">
        <f>'CAPGDS1000000782 Input'!D21*'CAPGDS1000000782 Input'!$D$10*'CAPGDS1000000782 Input'!$H$10</f>
        <v>0</v>
      </c>
      <c r="F22" s="8"/>
      <c r="G22" s="8">
        <f t="shared" si="1"/>
        <v>678407.97</v>
      </c>
      <c r="H22" s="8"/>
      <c r="I22" s="8">
        <f t="shared" si="2"/>
        <v>678407.97</v>
      </c>
      <c r="J22" s="57"/>
    </row>
    <row r="23" spans="1:10" x14ac:dyDescent="0.2">
      <c r="A23" s="49">
        <f t="shared" si="0"/>
        <v>7</v>
      </c>
      <c r="C23" s="56">
        <f>'CAPGDS1000000782 Input'!B22</f>
        <v>45822</v>
      </c>
      <c r="D23" s="56"/>
      <c r="E23" s="78">
        <f>'CAPGDS1000000782 Input'!D22*'CAPGDS1000000782 Input'!$D$10*'CAPGDS1000000782 Input'!$H$10</f>
        <v>0</v>
      </c>
      <c r="F23" s="8"/>
      <c r="G23" s="8">
        <f t="shared" si="1"/>
        <v>678407.97</v>
      </c>
      <c r="H23" s="8"/>
      <c r="I23" s="8">
        <f t="shared" si="2"/>
        <v>678407.97</v>
      </c>
      <c r="J23" s="57"/>
    </row>
    <row r="24" spans="1:10" x14ac:dyDescent="0.2">
      <c r="A24" s="49">
        <f t="shared" si="0"/>
        <v>8</v>
      </c>
      <c r="C24" s="56">
        <f>'CAPGDS1000000782 Input'!B23</f>
        <v>45852</v>
      </c>
      <c r="D24" s="56"/>
      <c r="E24" s="78">
        <f>'CAPGDS1000000782 Input'!D23*'CAPGDS1000000782 Input'!$D$10*'CAPGDS1000000782 Input'!$H$10</f>
        <v>0</v>
      </c>
      <c r="F24" s="8"/>
      <c r="G24" s="8">
        <f t="shared" si="1"/>
        <v>678407.97</v>
      </c>
      <c r="H24" s="8"/>
      <c r="I24" s="8">
        <f t="shared" si="2"/>
        <v>678407.97</v>
      </c>
      <c r="J24" s="57"/>
    </row>
    <row r="25" spans="1:10" x14ac:dyDescent="0.2">
      <c r="A25" s="49">
        <f t="shared" si="0"/>
        <v>9</v>
      </c>
      <c r="C25" s="56">
        <f>'CAPGDS1000000782 Input'!B24</f>
        <v>45882</v>
      </c>
      <c r="D25" s="56"/>
      <c r="E25" s="78">
        <f>'CAPGDS1000000782 Input'!D24*'CAPGDS1000000782 Input'!$D$10*'CAPGDS1000000782 Input'!$H$10</f>
        <v>0</v>
      </c>
      <c r="F25" s="8"/>
      <c r="G25" s="8">
        <f t="shared" si="1"/>
        <v>678407.97</v>
      </c>
      <c r="H25" s="8"/>
      <c r="I25" s="8">
        <f t="shared" si="2"/>
        <v>678407.97</v>
      </c>
      <c r="J25" s="57"/>
    </row>
    <row r="26" spans="1:10" x14ac:dyDescent="0.2">
      <c r="A26" s="49">
        <f t="shared" si="0"/>
        <v>10</v>
      </c>
      <c r="C26" s="56">
        <f>'CAPGDS1000000782 Input'!B25</f>
        <v>45912</v>
      </c>
      <c r="D26" s="56"/>
      <c r="E26" s="78">
        <f>'CAPGDS1000000782 Input'!D25*'CAPGDS1000000782 Input'!$D$10*'CAPGDS1000000782 Input'!$H$10</f>
        <v>0</v>
      </c>
      <c r="F26" s="8"/>
      <c r="G26" s="8">
        <f t="shared" si="1"/>
        <v>678407.97</v>
      </c>
      <c r="H26" s="8"/>
      <c r="I26" s="8">
        <f t="shared" si="2"/>
        <v>678407.97</v>
      </c>
      <c r="J26" s="57"/>
    </row>
    <row r="27" spans="1:10" x14ac:dyDescent="0.2">
      <c r="A27" s="49">
        <f t="shared" si="0"/>
        <v>11</v>
      </c>
      <c r="C27" s="56">
        <f>'CAPGDS1000000782 Input'!B26</f>
        <v>45942</v>
      </c>
      <c r="D27" s="56"/>
      <c r="E27" s="78">
        <f>'CAPGDS1000000782 Input'!D26*'CAPGDS1000000782 Input'!$D$10*'CAPGDS1000000782 Input'!$H$10</f>
        <v>736595.01</v>
      </c>
      <c r="F27" s="8"/>
      <c r="G27" s="8">
        <f t="shared" si="1"/>
        <v>678407.97</v>
      </c>
      <c r="H27" s="8"/>
      <c r="I27" s="8">
        <f t="shared" si="2"/>
        <v>-58187.040000000037</v>
      </c>
      <c r="J27" s="57"/>
    </row>
    <row r="28" spans="1:10" x14ac:dyDescent="0.2">
      <c r="A28" s="49">
        <f t="shared" si="0"/>
        <v>12</v>
      </c>
      <c r="C28" s="56">
        <f>'CAPGDS1000000782 Input'!B27</f>
        <v>45972</v>
      </c>
      <c r="D28" s="56"/>
      <c r="E28" s="78">
        <f>'CAPGDS1000000782 Input'!D27*'CAPGDS1000000782 Input'!$D$10*'CAPGDS1000000782 Input'!$H$10</f>
        <v>736595.01</v>
      </c>
      <c r="F28" s="8"/>
      <c r="G28" s="8">
        <f t="shared" si="1"/>
        <v>678407.97</v>
      </c>
      <c r="H28" s="8"/>
      <c r="I28" s="8">
        <f t="shared" si="2"/>
        <v>-58187.040000000037</v>
      </c>
      <c r="J28" s="57"/>
    </row>
    <row r="29" spans="1:10" x14ac:dyDescent="0.2">
      <c r="A29" s="49">
        <f t="shared" si="0"/>
        <v>13</v>
      </c>
      <c r="C29" s="56">
        <f>'CAPGDS1000000782 Input'!B28</f>
        <v>46002</v>
      </c>
      <c r="D29" s="56"/>
      <c r="E29" s="130">
        <f>'CAPGDS1000000782 Input'!D28*'CAPGDS1000000782 Input'!$D$10*'CAPGDS1000000782 Input'!$H$10</f>
        <v>658283.71</v>
      </c>
      <c r="F29" s="8"/>
      <c r="G29" s="131">
        <f t="shared" si="1"/>
        <v>678407.97</v>
      </c>
      <c r="H29" s="8"/>
      <c r="I29" s="131">
        <f t="shared" si="2"/>
        <v>20124.260000000009</v>
      </c>
      <c r="J29" s="57"/>
    </row>
    <row r="30" spans="1:10" x14ac:dyDescent="0.2">
      <c r="A30" s="49">
        <f t="shared" si="0"/>
        <v>14</v>
      </c>
      <c r="C30" s="58" t="s">
        <v>46</v>
      </c>
      <c r="D30" s="58"/>
      <c r="E30" s="118">
        <f>SUM(E17:E29)</f>
        <v>2131473.73</v>
      </c>
      <c r="F30" s="118"/>
      <c r="G30" s="118">
        <f>SUM(G17:G29)</f>
        <v>8819303.6099999975</v>
      </c>
      <c r="H30" s="118"/>
      <c r="I30" s="118">
        <f>SUM(I17:I29)</f>
        <v>6687829.879999998</v>
      </c>
      <c r="J30" s="57"/>
    </row>
    <row r="31" spans="1:10" x14ac:dyDescent="0.2">
      <c r="A31" s="49">
        <f t="shared" si="0"/>
        <v>15</v>
      </c>
      <c r="E31" s="118"/>
      <c r="F31" s="118"/>
      <c r="G31" s="118"/>
      <c r="H31" s="118"/>
      <c r="I31" s="118"/>
      <c r="J31" s="57"/>
    </row>
    <row r="32" spans="1:10" ht="12" thickBot="1" x14ac:dyDescent="0.25">
      <c r="A32" s="49">
        <f t="shared" si="0"/>
        <v>16</v>
      </c>
      <c r="C32" s="60" t="s">
        <v>116</v>
      </c>
      <c r="D32" s="60"/>
      <c r="E32" s="121">
        <f>ROUND(+E30/13,2)</f>
        <v>163959.51999999999</v>
      </c>
      <c r="F32" s="118"/>
      <c r="G32" s="121">
        <f>ROUND(+G30/13,2)</f>
        <v>678407.97</v>
      </c>
      <c r="H32" s="118"/>
      <c r="I32" s="121">
        <f>ROUND(+I30/13,2)</f>
        <v>514448.45</v>
      </c>
      <c r="J32" s="59"/>
    </row>
    <row r="33" spans="1:10" ht="12" thickTop="1" x14ac:dyDescent="0.2">
      <c r="A33" s="49">
        <f t="shared" si="0"/>
        <v>17</v>
      </c>
      <c r="E33" s="118"/>
      <c r="F33" s="118"/>
      <c r="G33" s="118"/>
      <c r="H33" s="118"/>
      <c r="I33" s="118"/>
      <c r="J33" s="57"/>
    </row>
    <row r="34" spans="1:10" x14ac:dyDescent="0.2">
      <c r="A34" s="49">
        <f t="shared" si="0"/>
        <v>18</v>
      </c>
      <c r="E34" s="122" t="s">
        <v>9</v>
      </c>
      <c r="F34" s="122"/>
      <c r="G34" s="122" t="s">
        <v>9</v>
      </c>
      <c r="H34" s="122"/>
      <c r="I34" s="122" t="s">
        <v>9</v>
      </c>
      <c r="J34" s="57"/>
    </row>
    <row r="35" spans="1:10" ht="12" thickBot="1" x14ac:dyDescent="0.25">
      <c r="A35" s="49">
        <f t="shared" si="0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514448.45</v>
      </c>
      <c r="J35" s="57"/>
    </row>
    <row r="36" spans="1:10" ht="12" thickTop="1" x14ac:dyDescent="0.2">
      <c r="A36" s="49">
        <f t="shared" si="0"/>
        <v>20</v>
      </c>
      <c r="J36" s="57"/>
    </row>
    <row r="37" spans="1:10" x14ac:dyDescent="0.2">
      <c r="A37" s="49">
        <f t="shared" si="0"/>
        <v>21</v>
      </c>
      <c r="J37" s="57"/>
    </row>
    <row r="38" spans="1:10" x14ac:dyDescent="0.2">
      <c r="A38" s="49">
        <f t="shared" si="0"/>
        <v>22</v>
      </c>
      <c r="J38" s="57"/>
    </row>
    <row r="39" spans="1:10" x14ac:dyDescent="0.2">
      <c r="A39" s="49">
        <f t="shared" si="0"/>
        <v>23</v>
      </c>
      <c r="J39" s="57"/>
    </row>
    <row r="40" spans="1:10" x14ac:dyDescent="0.2">
      <c r="A40" s="49">
        <f t="shared" si="0"/>
        <v>24</v>
      </c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53" spans="10:10" x14ac:dyDescent="0.2">
      <c r="J53" s="57"/>
    </row>
    <row r="54" spans="10:10" x14ac:dyDescent="0.2">
      <c r="J54" s="57"/>
    </row>
    <row r="70" spans="10:10" x14ac:dyDescent="0.2">
      <c r="J70" s="48"/>
    </row>
    <row r="71" spans="10:10" x14ac:dyDescent="0.2">
      <c r="J71" s="48"/>
    </row>
    <row r="72" spans="10:10" x14ac:dyDescent="0.2">
      <c r="J72" s="48"/>
    </row>
    <row r="73" spans="10:10" x14ac:dyDescent="0.2">
      <c r="J73" s="48"/>
    </row>
    <row r="74" spans="10:10" x14ac:dyDescent="0.2">
      <c r="J74" s="48"/>
    </row>
    <row r="82" spans="10:10" x14ac:dyDescent="0.2">
      <c r="J82" s="59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57"/>
    </row>
    <row r="94" spans="10:10" x14ac:dyDescent="0.2">
      <c r="J94" s="57"/>
    </row>
    <row r="95" spans="10:10" x14ac:dyDescent="0.2">
      <c r="J95" s="59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6" spans="10:10" x14ac:dyDescent="0.2">
      <c r="J106" s="57"/>
    </row>
    <row r="107" spans="10:10" x14ac:dyDescent="0.2">
      <c r="J107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18" spans="10:10" x14ac:dyDescent="0.2">
      <c r="J118" s="57"/>
    </row>
    <row r="119" spans="10:10" x14ac:dyDescent="0.2">
      <c r="J119" s="57"/>
    </row>
    <row r="135" spans="10:10" x14ac:dyDescent="0.2">
      <c r="J135" s="48"/>
    </row>
    <row r="136" spans="10:10" x14ac:dyDescent="0.2">
      <c r="J136" s="48"/>
    </row>
    <row r="137" spans="10:10" x14ac:dyDescent="0.2">
      <c r="J137" s="48"/>
    </row>
    <row r="138" spans="10:10" x14ac:dyDescent="0.2">
      <c r="J138" s="48"/>
    </row>
    <row r="139" spans="10:10" x14ac:dyDescent="0.2">
      <c r="J139" s="48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57"/>
    </row>
    <row r="160" spans="10:10" x14ac:dyDescent="0.2">
      <c r="J160" s="57"/>
    </row>
    <row r="161" spans="10:10" x14ac:dyDescent="0.2">
      <c r="J161" s="59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7" spans="10:10" x14ac:dyDescent="0.2">
      <c r="J167" s="57"/>
    </row>
    <row r="168" spans="10:10" x14ac:dyDescent="0.2">
      <c r="J168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3" spans="10:10" x14ac:dyDescent="0.2">
      <c r="J173" s="57"/>
    </row>
    <row r="174" spans="10:10" x14ac:dyDescent="0.2">
      <c r="J174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183" spans="10:10" x14ac:dyDescent="0.2">
      <c r="J183" s="57"/>
    </row>
    <row r="184" spans="10:10" x14ac:dyDescent="0.2">
      <c r="J184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57"/>
    </row>
    <row r="225" spans="10:10" x14ac:dyDescent="0.2">
      <c r="J225" s="57"/>
    </row>
    <row r="226" spans="10:10" x14ac:dyDescent="0.2">
      <c r="J226" s="59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52" spans="10:10" x14ac:dyDescent="0.2">
      <c r="J252" s="57"/>
    </row>
    <row r="253" spans="10:10" x14ac:dyDescent="0.2">
      <c r="J253" s="57"/>
    </row>
    <row r="277" spans="3:10" x14ac:dyDescent="0.2">
      <c r="C277" s="56"/>
      <c r="D277" s="56"/>
      <c r="E277" s="59"/>
      <c r="F277" s="59"/>
      <c r="G277" s="59"/>
      <c r="H277" s="59"/>
      <c r="I277" s="59"/>
    </row>
    <row r="278" spans="3:10" x14ac:dyDescent="0.2">
      <c r="C278" s="56"/>
      <c r="D278" s="56"/>
      <c r="E278" s="57"/>
      <c r="F278" s="57"/>
      <c r="G278" s="57"/>
      <c r="H278" s="57"/>
      <c r="I278" s="57"/>
      <c r="J278" s="57"/>
    </row>
    <row r="279" spans="3:10" x14ac:dyDescent="0.2">
      <c r="C279" s="56"/>
      <c r="D279" s="56"/>
      <c r="E279" s="57"/>
      <c r="F279" s="57"/>
      <c r="G279" s="57"/>
      <c r="H279" s="57"/>
      <c r="I279" s="57"/>
      <c r="J279" s="57"/>
    </row>
    <row r="280" spans="3:10" x14ac:dyDescent="0.2">
      <c r="C280" s="56"/>
      <c r="D280" s="56"/>
      <c r="E280" s="57"/>
      <c r="F280" s="57"/>
      <c r="G280" s="57"/>
      <c r="H280" s="57"/>
      <c r="I280" s="57"/>
      <c r="J280" s="57"/>
    </row>
    <row r="281" spans="3:10" x14ac:dyDescent="0.2">
      <c r="C281" s="56"/>
      <c r="D281" s="56"/>
      <c r="E281" s="57"/>
      <c r="F281" s="57"/>
      <c r="G281" s="57"/>
      <c r="H281" s="57"/>
      <c r="I281" s="57"/>
      <c r="J281" s="57"/>
    </row>
    <row r="282" spans="3:10" x14ac:dyDescent="0.2">
      <c r="C282" s="56"/>
      <c r="D282" s="56"/>
      <c r="E282" s="57"/>
      <c r="F282" s="57"/>
      <c r="G282" s="57"/>
      <c r="H282" s="57"/>
      <c r="I282" s="57"/>
      <c r="J282" s="57"/>
    </row>
    <row r="283" spans="3:10" x14ac:dyDescent="0.2">
      <c r="C283" s="56"/>
      <c r="D283" s="56"/>
      <c r="E283" s="57"/>
      <c r="F283" s="57"/>
      <c r="G283" s="57"/>
      <c r="H283" s="57"/>
      <c r="I283" s="57"/>
      <c r="J283" s="57"/>
    </row>
    <row r="284" spans="3:10" x14ac:dyDescent="0.2">
      <c r="C284" s="56"/>
      <c r="D284" s="56"/>
      <c r="E284" s="57"/>
      <c r="F284" s="57"/>
      <c r="G284" s="57"/>
      <c r="H284" s="57"/>
      <c r="I284" s="57"/>
      <c r="J284" s="57"/>
    </row>
    <row r="285" spans="3:10" x14ac:dyDescent="0.2">
      <c r="C285" s="56"/>
      <c r="D285" s="56"/>
      <c r="E285" s="57"/>
      <c r="F285" s="57"/>
      <c r="G285" s="57"/>
      <c r="H285" s="57"/>
      <c r="I285" s="57"/>
      <c r="J285" s="57"/>
    </row>
    <row r="286" spans="3:10" x14ac:dyDescent="0.2">
      <c r="C286" s="56"/>
      <c r="D286" s="56"/>
      <c r="E286" s="57"/>
      <c r="F286" s="57"/>
      <c r="G286" s="57"/>
      <c r="H286" s="57"/>
      <c r="I286" s="57"/>
      <c r="J286" s="57"/>
    </row>
    <row r="287" spans="3:10" x14ac:dyDescent="0.2">
      <c r="C287" s="56"/>
      <c r="D287" s="56"/>
      <c r="E287" s="57"/>
      <c r="F287" s="57"/>
      <c r="G287" s="57"/>
      <c r="H287" s="57"/>
      <c r="I287" s="57"/>
      <c r="J287" s="57"/>
    </row>
    <row r="288" spans="3:10" x14ac:dyDescent="0.2">
      <c r="C288" s="56"/>
      <c r="D288" s="56"/>
      <c r="E288" s="57"/>
      <c r="F288" s="57"/>
      <c r="G288" s="57"/>
      <c r="H288" s="57"/>
      <c r="I288" s="57"/>
      <c r="J288" s="57"/>
    </row>
    <row r="289" spans="3:10" x14ac:dyDescent="0.2">
      <c r="C289" s="56"/>
      <c r="D289" s="56"/>
      <c r="E289" s="57"/>
      <c r="F289" s="57"/>
      <c r="G289" s="57"/>
      <c r="H289" s="57"/>
      <c r="I289" s="57"/>
      <c r="J289" s="57"/>
    </row>
    <row r="290" spans="3:10" x14ac:dyDescent="0.2">
      <c r="C290" s="56"/>
      <c r="D290" s="56"/>
      <c r="E290" s="57"/>
      <c r="F290" s="57"/>
      <c r="G290" s="57"/>
      <c r="H290" s="57"/>
      <c r="I290" s="57"/>
      <c r="J290" s="57"/>
    </row>
    <row r="291" spans="3:10" x14ac:dyDescent="0.2">
      <c r="E291" s="59"/>
      <c r="F291" s="59"/>
      <c r="G291" s="59"/>
      <c r="H291" s="59"/>
      <c r="I291" s="59"/>
      <c r="J291" s="59"/>
    </row>
    <row r="292" spans="3:10" x14ac:dyDescent="0.2">
      <c r="E292" s="57"/>
      <c r="F292" s="57"/>
      <c r="G292" s="57"/>
      <c r="H292" s="57"/>
      <c r="I292" s="57"/>
      <c r="J292" s="57"/>
    </row>
    <row r="293" spans="3:10" x14ac:dyDescent="0.2">
      <c r="E293" s="57"/>
      <c r="F293" s="57"/>
      <c r="G293" s="57"/>
      <c r="H293" s="57"/>
      <c r="I293" s="57"/>
      <c r="J293" s="57"/>
    </row>
    <row r="294" spans="3:10" x14ac:dyDescent="0.2">
      <c r="E294" s="59"/>
      <c r="F294" s="59"/>
      <c r="G294" s="59"/>
      <c r="H294" s="59"/>
      <c r="I294" s="59"/>
      <c r="J294" s="57"/>
    </row>
    <row r="295" spans="3:10" x14ac:dyDescent="0.2">
      <c r="E295" s="57"/>
      <c r="F295" s="57"/>
      <c r="G295" s="57"/>
      <c r="H295" s="57"/>
      <c r="I295" s="57"/>
      <c r="J295" s="57"/>
    </row>
    <row r="296" spans="3:10" x14ac:dyDescent="0.2">
      <c r="E296" s="57"/>
      <c r="F296" s="57"/>
      <c r="G296" s="57"/>
      <c r="H296" s="57"/>
      <c r="I296" s="57"/>
      <c r="J296" s="57"/>
    </row>
    <row r="297" spans="3:10" x14ac:dyDescent="0.2">
      <c r="E297" s="57"/>
      <c r="F297" s="57"/>
      <c r="G297" s="57"/>
      <c r="H297" s="57"/>
      <c r="I297" s="57"/>
      <c r="J297" s="57"/>
    </row>
    <row r="298" spans="3:10" x14ac:dyDescent="0.2">
      <c r="E298" s="57"/>
      <c r="F298" s="57"/>
      <c r="G298" s="57"/>
      <c r="H298" s="57"/>
      <c r="I298" s="57"/>
      <c r="J298" s="57"/>
    </row>
    <row r="299" spans="3:10" x14ac:dyDescent="0.2">
      <c r="E299" s="57"/>
      <c r="F299" s="57"/>
      <c r="G299" s="57"/>
      <c r="H299" s="57"/>
      <c r="I299" s="57"/>
      <c r="J299" s="57"/>
    </row>
    <row r="300" spans="3:10" x14ac:dyDescent="0.2">
      <c r="E300" s="57"/>
      <c r="F300" s="57"/>
      <c r="G300" s="57"/>
      <c r="H300" s="57"/>
      <c r="I300" s="57"/>
      <c r="J300" s="57"/>
    </row>
    <row r="301" spans="3:10" x14ac:dyDescent="0.2">
      <c r="E301" s="57"/>
      <c r="F301" s="57"/>
      <c r="G301" s="57"/>
      <c r="H301" s="57"/>
      <c r="I301" s="57"/>
      <c r="J301" s="57"/>
    </row>
    <row r="302" spans="3:10" x14ac:dyDescent="0.2">
      <c r="E302" s="57"/>
      <c r="F302" s="57"/>
      <c r="G302" s="57"/>
      <c r="H302" s="57"/>
      <c r="I302" s="57"/>
      <c r="J302" s="57"/>
    </row>
    <row r="303" spans="3:10" x14ac:dyDescent="0.2">
      <c r="E303" s="57"/>
      <c r="F303" s="57"/>
      <c r="G303" s="57"/>
      <c r="H303" s="57"/>
      <c r="I303" s="57"/>
      <c r="J303" s="57"/>
    </row>
    <row r="304" spans="3:10" x14ac:dyDescent="0.2">
      <c r="E304" s="57"/>
      <c r="F304" s="57"/>
      <c r="G304" s="57"/>
      <c r="H304" s="57"/>
      <c r="I304" s="57"/>
      <c r="J304" s="57"/>
    </row>
    <row r="305" spans="5:10" x14ac:dyDescent="0.2">
      <c r="E305" s="57"/>
      <c r="F305" s="57"/>
      <c r="G305" s="57"/>
      <c r="H305" s="57"/>
      <c r="I305" s="57"/>
      <c r="J305" s="57"/>
    </row>
    <row r="342" spans="3:10" x14ac:dyDescent="0.2">
      <c r="C342" s="56"/>
      <c r="D342" s="56"/>
      <c r="E342" s="59"/>
      <c r="F342" s="59"/>
      <c r="G342" s="59"/>
      <c r="H342" s="59"/>
      <c r="I342" s="59"/>
    </row>
    <row r="343" spans="3:10" x14ac:dyDescent="0.2">
      <c r="C343" s="56"/>
      <c r="D343" s="56"/>
      <c r="E343" s="57"/>
      <c r="F343" s="57"/>
      <c r="G343" s="57"/>
      <c r="H343" s="57"/>
      <c r="I343" s="57"/>
      <c r="J343" s="57"/>
    </row>
    <row r="344" spans="3:10" x14ac:dyDescent="0.2">
      <c r="C344" s="56"/>
      <c r="D344" s="56"/>
      <c r="E344" s="57"/>
      <c r="F344" s="57"/>
      <c r="G344" s="57"/>
      <c r="H344" s="57"/>
      <c r="I344" s="57"/>
      <c r="J344" s="57"/>
    </row>
    <row r="345" spans="3:10" x14ac:dyDescent="0.2">
      <c r="C345" s="56"/>
      <c r="D345" s="56"/>
      <c r="E345" s="57"/>
      <c r="F345" s="57"/>
      <c r="G345" s="57"/>
      <c r="H345" s="57"/>
      <c r="I345" s="57"/>
      <c r="J345" s="57"/>
    </row>
    <row r="346" spans="3:10" x14ac:dyDescent="0.2">
      <c r="C346" s="56"/>
      <c r="D346" s="56"/>
      <c r="E346" s="57"/>
      <c r="F346" s="57"/>
      <c r="G346" s="57"/>
      <c r="H346" s="57"/>
      <c r="I346" s="57"/>
      <c r="J346" s="57"/>
    </row>
    <row r="347" spans="3:10" x14ac:dyDescent="0.2">
      <c r="C347" s="56"/>
      <c r="D347" s="56"/>
      <c r="E347" s="57"/>
      <c r="F347" s="57"/>
      <c r="G347" s="57"/>
      <c r="H347" s="57"/>
      <c r="I347" s="57"/>
      <c r="J347" s="57"/>
    </row>
    <row r="348" spans="3:10" x14ac:dyDescent="0.2">
      <c r="C348" s="56"/>
      <c r="D348" s="56"/>
      <c r="E348" s="57"/>
      <c r="F348" s="57"/>
      <c r="G348" s="57"/>
      <c r="H348" s="57"/>
      <c r="I348" s="57"/>
      <c r="J348" s="57"/>
    </row>
    <row r="349" spans="3:10" x14ac:dyDescent="0.2">
      <c r="C349" s="56"/>
      <c r="D349" s="56"/>
      <c r="E349" s="57"/>
      <c r="F349" s="57"/>
      <c r="G349" s="57"/>
      <c r="H349" s="57"/>
      <c r="I349" s="57"/>
      <c r="J349" s="57"/>
    </row>
    <row r="350" spans="3:10" x14ac:dyDescent="0.2">
      <c r="C350" s="56"/>
      <c r="D350" s="56"/>
      <c r="E350" s="57"/>
      <c r="F350" s="57"/>
      <c r="G350" s="57"/>
      <c r="H350" s="57"/>
      <c r="I350" s="57"/>
      <c r="J350" s="57"/>
    </row>
    <row r="351" spans="3:10" x14ac:dyDescent="0.2">
      <c r="C351" s="56"/>
      <c r="D351" s="56"/>
      <c r="E351" s="57"/>
      <c r="F351" s="57"/>
      <c r="G351" s="57"/>
      <c r="H351" s="57"/>
      <c r="I351" s="57"/>
      <c r="J351" s="57"/>
    </row>
    <row r="352" spans="3:10" x14ac:dyDescent="0.2">
      <c r="C352" s="56"/>
      <c r="D352" s="56"/>
      <c r="E352" s="57"/>
      <c r="F352" s="57"/>
      <c r="G352" s="57"/>
      <c r="H352" s="57"/>
      <c r="I352" s="57"/>
      <c r="J352" s="57"/>
    </row>
    <row r="353" spans="3:10" x14ac:dyDescent="0.2">
      <c r="C353" s="56"/>
      <c r="D353" s="56"/>
      <c r="E353" s="57"/>
      <c r="F353" s="57"/>
      <c r="G353" s="57"/>
      <c r="H353" s="57"/>
      <c r="I353" s="57"/>
      <c r="J353" s="57"/>
    </row>
    <row r="354" spans="3:10" x14ac:dyDescent="0.2">
      <c r="C354" s="56"/>
      <c r="D354" s="56"/>
      <c r="E354" s="57"/>
      <c r="F354" s="57"/>
      <c r="G354" s="57"/>
      <c r="H354" s="57"/>
      <c r="I354" s="57"/>
      <c r="J354" s="57"/>
    </row>
    <row r="355" spans="3:10" x14ac:dyDescent="0.2">
      <c r="C355" s="56"/>
      <c r="D355" s="56"/>
      <c r="E355" s="57"/>
      <c r="F355" s="57"/>
      <c r="G355" s="57"/>
      <c r="H355" s="57"/>
      <c r="I355" s="57"/>
      <c r="J355" s="57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57"/>
      <c r="F357" s="57"/>
      <c r="G357" s="57"/>
      <c r="H357" s="57"/>
      <c r="I357" s="57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9"/>
      <c r="F359" s="59"/>
      <c r="G359" s="59"/>
      <c r="H359" s="59"/>
      <c r="I359" s="59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369" spans="5:10" x14ac:dyDescent="0.2">
      <c r="E369" s="57"/>
      <c r="F369" s="57"/>
      <c r="G369" s="57"/>
      <c r="H369" s="57"/>
      <c r="I369" s="57"/>
      <c r="J369" s="57"/>
    </row>
    <row r="370" spans="5:10" x14ac:dyDescent="0.2">
      <c r="E370" s="57"/>
      <c r="F370" s="57"/>
      <c r="G370" s="57"/>
      <c r="H370" s="57"/>
      <c r="I370" s="57"/>
      <c r="J370" s="57"/>
    </row>
    <row r="407" spans="3:10" x14ac:dyDescent="0.2">
      <c r="C407" s="56"/>
      <c r="D407" s="56"/>
      <c r="E407" s="59"/>
      <c r="F407" s="59"/>
      <c r="G407" s="59"/>
      <c r="H407" s="59"/>
      <c r="I407" s="59"/>
    </row>
    <row r="408" spans="3:10" x14ac:dyDescent="0.2">
      <c r="C408" s="56"/>
      <c r="D408" s="56"/>
      <c r="E408" s="57"/>
      <c r="F408" s="57"/>
      <c r="G408" s="57"/>
      <c r="H408" s="57"/>
      <c r="I408" s="57"/>
      <c r="J408" s="57"/>
    </row>
    <row r="409" spans="3:10" x14ac:dyDescent="0.2">
      <c r="C409" s="56"/>
      <c r="D409" s="56"/>
      <c r="E409" s="57"/>
      <c r="F409" s="57"/>
      <c r="G409" s="57"/>
      <c r="H409" s="57"/>
      <c r="I409" s="57"/>
      <c r="J409" s="57"/>
    </row>
    <row r="410" spans="3:10" x14ac:dyDescent="0.2">
      <c r="C410" s="56"/>
      <c r="D410" s="56"/>
      <c r="E410" s="57"/>
      <c r="F410" s="57"/>
      <c r="G410" s="57"/>
      <c r="H410" s="57"/>
      <c r="I410" s="57"/>
      <c r="J410" s="57"/>
    </row>
    <row r="411" spans="3:10" x14ac:dyDescent="0.2">
      <c r="C411" s="56"/>
      <c r="D411" s="56"/>
      <c r="E411" s="57"/>
      <c r="F411" s="57"/>
      <c r="G411" s="57"/>
      <c r="H411" s="57"/>
      <c r="I411" s="57"/>
      <c r="J411" s="57"/>
    </row>
    <row r="412" spans="3:10" x14ac:dyDescent="0.2">
      <c r="C412" s="56"/>
      <c r="D412" s="56"/>
      <c r="E412" s="57"/>
      <c r="F412" s="57"/>
      <c r="G412" s="57"/>
      <c r="H412" s="57"/>
      <c r="I412" s="57"/>
      <c r="J412" s="57"/>
    </row>
    <row r="413" spans="3:10" x14ac:dyDescent="0.2">
      <c r="C413" s="56"/>
      <c r="D413" s="56"/>
      <c r="E413" s="57"/>
      <c r="F413" s="57"/>
      <c r="G413" s="57"/>
      <c r="H413" s="57"/>
      <c r="I413" s="57"/>
      <c r="J413" s="57"/>
    </row>
    <row r="414" spans="3:10" x14ac:dyDescent="0.2">
      <c r="C414" s="56"/>
      <c r="D414" s="56"/>
      <c r="E414" s="57"/>
      <c r="F414" s="57"/>
      <c r="G414" s="57"/>
      <c r="H414" s="57"/>
      <c r="I414" s="57"/>
      <c r="J414" s="57"/>
    </row>
    <row r="415" spans="3:10" x14ac:dyDescent="0.2">
      <c r="C415" s="56"/>
      <c r="D415" s="56"/>
      <c r="E415" s="57"/>
      <c r="F415" s="57"/>
      <c r="G415" s="57"/>
      <c r="H415" s="57"/>
      <c r="I415" s="57"/>
      <c r="J415" s="57"/>
    </row>
    <row r="416" spans="3:10" x14ac:dyDescent="0.2">
      <c r="C416" s="56"/>
      <c r="D416" s="56"/>
      <c r="E416" s="57"/>
      <c r="F416" s="57"/>
      <c r="G416" s="57"/>
      <c r="H416" s="57"/>
      <c r="I416" s="57"/>
      <c r="J416" s="57"/>
    </row>
    <row r="417" spans="3:10" x14ac:dyDescent="0.2">
      <c r="C417" s="56"/>
      <c r="D417" s="56"/>
      <c r="E417" s="57"/>
      <c r="F417" s="57"/>
      <c r="G417" s="57"/>
      <c r="H417" s="57"/>
      <c r="I417" s="57"/>
      <c r="J417" s="57"/>
    </row>
    <row r="418" spans="3:10" x14ac:dyDescent="0.2">
      <c r="C418" s="56"/>
      <c r="D418" s="56"/>
      <c r="E418" s="57"/>
      <c r="F418" s="57"/>
      <c r="G418" s="57"/>
      <c r="H418" s="57"/>
      <c r="I418" s="57"/>
      <c r="J418" s="57"/>
    </row>
    <row r="419" spans="3:10" x14ac:dyDescent="0.2">
      <c r="C419" s="56"/>
      <c r="D419" s="56"/>
      <c r="E419" s="57"/>
      <c r="F419" s="57"/>
      <c r="G419" s="57"/>
      <c r="H419" s="57"/>
      <c r="I419" s="57"/>
      <c r="J419" s="57"/>
    </row>
    <row r="420" spans="3:10" x14ac:dyDescent="0.2">
      <c r="C420" s="56"/>
      <c r="D420" s="56"/>
      <c r="E420" s="57"/>
      <c r="F420" s="57"/>
      <c r="G420" s="57"/>
      <c r="H420" s="57"/>
      <c r="I420" s="57"/>
      <c r="J420" s="57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57"/>
      <c r="F422" s="57"/>
      <c r="G422" s="57"/>
      <c r="H422" s="57"/>
      <c r="I422" s="57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9"/>
      <c r="F424" s="59"/>
      <c r="G424" s="59"/>
      <c r="H424" s="59"/>
      <c r="I424" s="59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  <row r="434" spans="5:10" x14ac:dyDescent="0.2">
      <c r="E434" s="57"/>
      <c r="F434" s="57"/>
      <c r="G434" s="57"/>
      <c r="H434" s="57"/>
      <c r="I434" s="57"/>
      <c r="J434" s="57"/>
    </row>
    <row r="435" spans="5:10" x14ac:dyDescent="0.2">
      <c r="E435" s="57"/>
      <c r="F435" s="57"/>
      <c r="G435" s="57"/>
      <c r="H435" s="57"/>
      <c r="I435" s="57"/>
      <c r="J435" s="57"/>
    </row>
  </sheetData>
  <mergeCells count="2">
    <mergeCell ref="A6:I6"/>
    <mergeCell ref="A8:I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7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E671-8FCF-422C-986A-9A3B1F241E1A}">
  <dimension ref="A1:M128"/>
  <sheetViews>
    <sheetView view="pageLayout" zoomScaleNormal="100" workbookViewId="0">
      <selection sqref="A1:I1"/>
    </sheetView>
  </sheetViews>
  <sheetFormatPr defaultColWidth="10.28515625" defaultRowHeight="11.25" x14ac:dyDescent="0.2"/>
  <cols>
    <col min="1" max="1" width="4.85546875" style="49" customWidth="1"/>
    <col min="2" max="2" width="1" style="49" customWidth="1"/>
    <col min="3" max="3" width="11.85546875" style="49" customWidth="1"/>
    <col min="4" max="4" width="1" style="49" customWidth="1"/>
    <col min="5" max="5" width="15" style="49" customWidth="1"/>
    <col min="6" max="6" width="1" style="49" customWidth="1"/>
    <col min="7" max="7" width="15" style="49" customWidth="1"/>
    <col min="8" max="8" width="1" style="49" customWidth="1"/>
    <col min="9" max="9" width="12.42578125" style="49" customWidth="1"/>
    <col min="10" max="10" width="1.85546875" style="49" customWidth="1"/>
    <col min="11" max="11" width="11" style="49" customWidth="1"/>
    <col min="12" max="12" width="1.140625" style="49" customWidth="1"/>
    <col min="13" max="13" width="13.140625" style="49" customWidth="1"/>
    <col min="14" max="16384" width="10.28515625" style="49"/>
  </cols>
  <sheetData>
    <row r="1" spans="1:13" x14ac:dyDescent="0.2">
      <c r="A1" s="149"/>
      <c r="B1" s="149"/>
      <c r="C1" s="149"/>
      <c r="D1" s="149"/>
      <c r="E1" s="149"/>
      <c r="F1" s="149"/>
      <c r="G1" s="149"/>
      <c r="H1" s="149"/>
      <c r="I1" s="149"/>
      <c r="J1" s="83"/>
      <c r="K1" s="83"/>
      <c r="L1" s="83"/>
      <c r="M1" s="83"/>
    </row>
    <row r="2" spans="1:13" x14ac:dyDescent="0.2">
      <c r="A2" s="149"/>
      <c r="B2" s="149"/>
      <c r="C2" s="149"/>
      <c r="D2" s="149"/>
      <c r="E2" s="149"/>
      <c r="F2" s="149"/>
      <c r="G2" s="149"/>
      <c r="H2" s="149"/>
      <c r="I2" s="149"/>
    </row>
    <row r="3" spans="1:13" x14ac:dyDescent="0.2">
      <c r="A3" s="137"/>
      <c r="B3" s="137"/>
      <c r="C3" s="137"/>
      <c r="D3" s="137"/>
      <c r="E3" s="137"/>
      <c r="F3" s="137"/>
      <c r="G3" s="137"/>
      <c r="H3" s="137"/>
      <c r="I3" s="137"/>
    </row>
    <row r="4" spans="1:13" x14ac:dyDescent="0.2">
      <c r="A4" s="137"/>
      <c r="B4" s="137"/>
      <c r="C4" s="137"/>
      <c r="D4" s="137"/>
      <c r="E4" s="137"/>
      <c r="F4" s="137"/>
      <c r="G4" s="137"/>
      <c r="H4" s="137"/>
      <c r="I4" s="137"/>
    </row>
    <row r="6" spans="1:13" x14ac:dyDescent="0.2">
      <c r="A6" s="46"/>
      <c r="B6" s="46"/>
      <c r="C6" s="47"/>
      <c r="D6" s="47"/>
      <c r="E6" s="47"/>
      <c r="F6" s="47"/>
      <c r="G6" s="47"/>
      <c r="H6" s="47"/>
      <c r="I6" s="47"/>
    </row>
    <row r="7" spans="1:13" x14ac:dyDescent="0.2">
      <c r="A7" s="149" t="str">
        <f>'CAPGDS1000000782 Input'!A7:J7</f>
        <v>Pro Forma Adjustment - Project In Service During Test Year</v>
      </c>
      <c r="B7" s="149"/>
      <c r="C7" s="149"/>
      <c r="D7" s="149"/>
      <c r="E7" s="149"/>
      <c r="F7" s="149"/>
      <c r="G7" s="149"/>
      <c r="H7" s="149"/>
      <c r="I7" s="149"/>
    </row>
    <row r="8" spans="1:13" x14ac:dyDescent="0.2">
      <c r="A8" s="151" t="str">
        <f>'CAPGDS1000000782 Input'!F9</f>
        <v>SFS - Cliff I229 Interchange</v>
      </c>
      <c r="B8" s="151"/>
      <c r="C8" s="151"/>
      <c r="D8" s="151"/>
      <c r="E8" s="151"/>
      <c r="F8" s="151"/>
      <c r="G8" s="151"/>
      <c r="H8" s="151"/>
      <c r="I8" s="151"/>
    </row>
    <row r="9" spans="1:13" x14ac:dyDescent="0.2">
      <c r="A9" s="62"/>
      <c r="B9" s="62"/>
      <c r="C9" s="62"/>
      <c r="D9" s="62"/>
      <c r="E9" s="62"/>
      <c r="F9" s="62"/>
      <c r="G9" s="62"/>
      <c r="H9" s="62"/>
      <c r="I9" s="62"/>
    </row>
    <row r="10" spans="1:13" x14ac:dyDescent="0.2">
      <c r="A10" s="50" t="str">
        <f>'CAPGDS1000000782 TotalWO'!A10</f>
        <v>PLANT IN SERVICE</v>
      </c>
      <c r="B10" s="50"/>
      <c r="C10" s="48"/>
      <c r="D10" s="48"/>
      <c r="E10" s="48"/>
      <c r="F10" s="48"/>
      <c r="G10" s="48"/>
      <c r="H10" s="48"/>
      <c r="I10" s="48"/>
    </row>
    <row r="11" spans="1:13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</row>
    <row r="13" spans="1:13" ht="12" thickBot="1" x14ac:dyDescent="0.25">
      <c r="A13" s="65" t="s">
        <v>77</v>
      </c>
      <c r="E13" s="52" t="str">
        <f>"Acct "&amp;'CAPGDS1000000782 Input'!F16</f>
        <v>Acct 2.376.00</v>
      </c>
      <c r="F13" s="52"/>
      <c r="G13" s="52"/>
      <c r="H13" s="52"/>
      <c r="I13" s="52"/>
    </row>
    <row r="14" spans="1:13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3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3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2" x14ac:dyDescent="0.2">
      <c r="A17" s="49">
        <v>1</v>
      </c>
      <c r="C17" s="56">
        <f>'CAPGDS1000000782 TotalWO'!C17</f>
        <v>45641</v>
      </c>
      <c r="D17" s="56"/>
      <c r="E17" s="117">
        <f>'CAPGDS1000000782 TotalWO'!E17*'CAPGDS1000000782 Input'!$H$16</f>
        <v>0</v>
      </c>
      <c r="F17" s="123"/>
      <c r="G17" s="117">
        <f>'CAPGDS1000000782 TotalWO'!G17*'CAPGDS1000000782 Input'!$H$16</f>
        <v>576646.77449999994</v>
      </c>
      <c r="H17" s="118"/>
      <c r="I17" s="117">
        <f t="shared" ref="I17:I29" si="0">G17-E17</f>
        <v>576646.77449999994</v>
      </c>
    </row>
    <row r="18" spans="1:12" x14ac:dyDescent="0.2">
      <c r="A18" s="49">
        <f t="shared" ref="A18:A40" si="1">1+A17</f>
        <v>2</v>
      </c>
      <c r="C18" s="56">
        <f>'CAPGDS1000000782 TotalWO'!C18</f>
        <v>45672</v>
      </c>
      <c r="D18" s="56"/>
      <c r="E18" s="78">
        <f>'CAPGDS1000000782 TotalWO'!E18*'CAPGDS1000000782 Input'!$H$16</f>
        <v>0</v>
      </c>
      <c r="F18" s="78"/>
      <c r="G18" s="78">
        <f>'CAPGDS1000000782 TotalWO'!G18*'CAPGDS1000000782 Input'!$H$16</f>
        <v>576646.77449999994</v>
      </c>
      <c r="H18" s="8"/>
      <c r="I18" s="78">
        <f t="shared" si="0"/>
        <v>576646.77449999994</v>
      </c>
      <c r="K18" s="78"/>
      <c r="L18" s="78"/>
    </row>
    <row r="19" spans="1:12" x14ac:dyDescent="0.2">
      <c r="A19" s="49">
        <f t="shared" si="1"/>
        <v>3</v>
      </c>
      <c r="C19" s="56">
        <f t="shared" ref="C19:C29" si="2">C18+31</f>
        <v>45703</v>
      </c>
      <c r="D19" s="56"/>
      <c r="E19" s="78">
        <f>'CAPGDS1000000782 TotalWO'!E19*'CAPGDS1000000782 Input'!$H$16</f>
        <v>0</v>
      </c>
      <c r="F19" s="78"/>
      <c r="G19" s="8">
        <f>'CAPGDS1000000782 TotalWO'!G19*'CAPGDS1000000782 Input'!$H$16</f>
        <v>576646.77449999994</v>
      </c>
      <c r="H19" s="8"/>
      <c r="I19" s="8">
        <f t="shared" si="0"/>
        <v>576646.77449999994</v>
      </c>
    </row>
    <row r="20" spans="1:12" x14ac:dyDescent="0.2">
      <c r="A20" s="49">
        <f t="shared" si="1"/>
        <v>4</v>
      </c>
      <c r="C20" s="56">
        <f t="shared" si="2"/>
        <v>45734</v>
      </c>
      <c r="D20" s="56"/>
      <c r="E20" s="78">
        <f>'CAPGDS1000000782 TotalWO'!E20*'CAPGDS1000000782 Input'!$H$16</f>
        <v>0</v>
      </c>
      <c r="F20" s="78"/>
      <c r="G20" s="8">
        <f>'CAPGDS1000000782 TotalWO'!G20*'CAPGDS1000000782 Input'!$H$16</f>
        <v>576646.77449999994</v>
      </c>
      <c r="H20" s="8"/>
      <c r="I20" s="8">
        <f t="shared" si="0"/>
        <v>576646.77449999994</v>
      </c>
    </row>
    <row r="21" spans="1:12" x14ac:dyDescent="0.2">
      <c r="A21" s="49">
        <f t="shared" si="1"/>
        <v>5</v>
      </c>
      <c r="C21" s="56">
        <f t="shared" si="2"/>
        <v>45765</v>
      </c>
      <c r="D21" s="56"/>
      <c r="E21" s="78">
        <f>'CAPGDS1000000782 TotalWO'!E21*'CAPGDS1000000782 Input'!$H$16</f>
        <v>0</v>
      </c>
      <c r="F21" s="78"/>
      <c r="G21" s="8">
        <f>'CAPGDS1000000782 TotalWO'!G21*'CAPGDS1000000782 Input'!$H$16</f>
        <v>576646.77449999994</v>
      </c>
      <c r="H21" s="8"/>
      <c r="I21" s="8">
        <f t="shared" si="0"/>
        <v>576646.77449999994</v>
      </c>
    </row>
    <row r="22" spans="1:12" x14ac:dyDescent="0.2">
      <c r="A22" s="49">
        <f t="shared" si="1"/>
        <v>6</v>
      </c>
      <c r="C22" s="56">
        <f t="shared" si="2"/>
        <v>45796</v>
      </c>
      <c r="D22" s="56"/>
      <c r="E22" s="78">
        <f>'CAPGDS1000000782 TotalWO'!E22*'CAPGDS1000000782 Input'!$H$16</f>
        <v>0</v>
      </c>
      <c r="F22" s="78"/>
      <c r="G22" s="8">
        <f>'CAPGDS1000000782 TotalWO'!G22*'CAPGDS1000000782 Input'!$H$16</f>
        <v>576646.77449999994</v>
      </c>
      <c r="H22" s="8"/>
      <c r="I22" s="8">
        <f t="shared" si="0"/>
        <v>576646.77449999994</v>
      </c>
    </row>
    <row r="23" spans="1:12" x14ac:dyDescent="0.2">
      <c r="A23" s="49">
        <f t="shared" si="1"/>
        <v>7</v>
      </c>
      <c r="C23" s="56">
        <f t="shared" si="2"/>
        <v>45827</v>
      </c>
      <c r="D23" s="56"/>
      <c r="E23" s="78">
        <f>'CAPGDS1000000782 TotalWO'!E23*'CAPGDS1000000782 Input'!$H$16</f>
        <v>0</v>
      </c>
      <c r="F23" s="78"/>
      <c r="G23" s="8">
        <f>'CAPGDS1000000782 TotalWO'!G23*'CAPGDS1000000782 Input'!$H$16</f>
        <v>576646.77449999994</v>
      </c>
      <c r="H23" s="8"/>
      <c r="I23" s="8">
        <f t="shared" si="0"/>
        <v>576646.77449999994</v>
      </c>
    </row>
    <row r="24" spans="1:12" x14ac:dyDescent="0.2">
      <c r="A24" s="49">
        <f t="shared" si="1"/>
        <v>8</v>
      </c>
      <c r="C24" s="56">
        <f t="shared" si="2"/>
        <v>45858</v>
      </c>
      <c r="D24" s="56"/>
      <c r="E24" s="78">
        <f>'CAPGDS1000000782 TotalWO'!E24*'CAPGDS1000000782 Input'!$H$16</f>
        <v>0</v>
      </c>
      <c r="F24" s="78"/>
      <c r="G24" s="8">
        <f>'CAPGDS1000000782 TotalWO'!G24*'CAPGDS1000000782 Input'!$H$16</f>
        <v>576646.77449999994</v>
      </c>
      <c r="H24" s="8"/>
      <c r="I24" s="8">
        <f t="shared" si="0"/>
        <v>576646.77449999994</v>
      </c>
    </row>
    <row r="25" spans="1:12" x14ac:dyDescent="0.2">
      <c r="A25" s="49">
        <f t="shared" si="1"/>
        <v>9</v>
      </c>
      <c r="C25" s="56">
        <f t="shared" si="2"/>
        <v>45889</v>
      </c>
      <c r="D25" s="56"/>
      <c r="E25" s="78">
        <f>'CAPGDS1000000782 TotalWO'!E25*'CAPGDS1000000782 Input'!$H$16</f>
        <v>0</v>
      </c>
      <c r="F25" s="78"/>
      <c r="G25" s="8">
        <f>'CAPGDS1000000782 TotalWO'!G25*'CAPGDS1000000782 Input'!$H$16</f>
        <v>576646.77449999994</v>
      </c>
      <c r="H25" s="8"/>
      <c r="I25" s="8">
        <f t="shared" si="0"/>
        <v>576646.77449999994</v>
      </c>
    </row>
    <row r="26" spans="1:12" x14ac:dyDescent="0.2">
      <c r="A26" s="49">
        <f t="shared" si="1"/>
        <v>10</v>
      </c>
      <c r="C26" s="56">
        <f t="shared" si="2"/>
        <v>45920</v>
      </c>
      <c r="D26" s="56"/>
      <c r="E26" s="78">
        <f>'CAPGDS1000000782 TotalWO'!E26*'CAPGDS1000000782 Input'!$H$16</f>
        <v>0</v>
      </c>
      <c r="F26" s="78"/>
      <c r="G26" s="8">
        <f>'CAPGDS1000000782 TotalWO'!G26*'CAPGDS1000000782 Input'!$H$16</f>
        <v>576646.77449999994</v>
      </c>
      <c r="H26" s="8"/>
      <c r="I26" s="8">
        <f t="shared" si="0"/>
        <v>576646.77449999994</v>
      </c>
    </row>
    <row r="27" spans="1:12" x14ac:dyDescent="0.2">
      <c r="A27" s="49">
        <f t="shared" si="1"/>
        <v>11</v>
      </c>
      <c r="C27" s="56">
        <f t="shared" si="2"/>
        <v>45951</v>
      </c>
      <c r="D27" s="56"/>
      <c r="E27" s="78">
        <f>'CAPGDS1000000782 TotalWO'!E27*'CAPGDS1000000782 Input'!$H$16</f>
        <v>626105.7585</v>
      </c>
      <c r="F27" s="78"/>
      <c r="G27" s="8">
        <f>'CAPGDS1000000782 TotalWO'!G27*'CAPGDS1000000782 Input'!$H$16</f>
        <v>576646.77449999994</v>
      </c>
      <c r="H27" s="8"/>
      <c r="I27" s="8">
        <f t="shared" si="0"/>
        <v>-49458.984000000055</v>
      </c>
    </row>
    <row r="28" spans="1:12" x14ac:dyDescent="0.2">
      <c r="A28" s="49">
        <f t="shared" si="1"/>
        <v>12</v>
      </c>
      <c r="C28" s="56">
        <f t="shared" si="2"/>
        <v>45982</v>
      </c>
      <c r="D28" s="56"/>
      <c r="E28" s="78">
        <f>'CAPGDS1000000782 TotalWO'!E28*'CAPGDS1000000782 Input'!$H$16</f>
        <v>626105.7585</v>
      </c>
      <c r="F28" s="78"/>
      <c r="G28" s="8">
        <f>'CAPGDS1000000782 TotalWO'!G28*'CAPGDS1000000782 Input'!$H$16</f>
        <v>576646.77449999994</v>
      </c>
      <c r="H28" s="8"/>
      <c r="I28" s="8">
        <f t="shared" si="0"/>
        <v>-49458.984000000055</v>
      </c>
    </row>
    <row r="29" spans="1:12" x14ac:dyDescent="0.2">
      <c r="A29" s="49">
        <f t="shared" si="1"/>
        <v>13</v>
      </c>
      <c r="C29" s="56">
        <f t="shared" si="2"/>
        <v>46013</v>
      </c>
      <c r="D29" s="56"/>
      <c r="E29" s="130">
        <f>'CAPGDS1000000782 TotalWO'!E29*'CAPGDS1000000782 Input'!$H$16</f>
        <v>559541.1534999999</v>
      </c>
      <c r="F29" s="78"/>
      <c r="G29" s="131">
        <f>'CAPGDS1000000782 TotalWO'!G29*'CAPGDS1000000782 Input'!$H$16</f>
        <v>576646.77449999994</v>
      </c>
      <c r="H29" s="8"/>
      <c r="I29" s="131">
        <f t="shared" si="0"/>
        <v>17105.621000000043</v>
      </c>
    </row>
    <row r="30" spans="1:12" x14ac:dyDescent="0.2">
      <c r="A30" s="49">
        <f t="shared" si="1"/>
        <v>14</v>
      </c>
      <c r="C30" s="58" t="s">
        <v>46</v>
      </c>
      <c r="D30" s="58"/>
      <c r="E30" s="118">
        <f>SUM(E17:E29)</f>
        <v>1811752.6705</v>
      </c>
      <c r="F30" s="118"/>
      <c r="G30" s="118">
        <f>SUM(G17:G29)</f>
        <v>7496408.068500001</v>
      </c>
      <c r="H30" s="118"/>
      <c r="I30" s="118">
        <f>SUM(I17:I29)</f>
        <v>5684655.398</v>
      </c>
    </row>
    <row r="31" spans="1:12" x14ac:dyDescent="0.2">
      <c r="A31" s="49">
        <f t="shared" si="1"/>
        <v>15</v>
      </c>
      <c r="E31" s="118"/>
      <c r="F31" s="118"/>
      <c r="G31" s="118"/>
      <c r="H31" s="118"/>
      <c r="I31" s="118"/>
    </row>
    <row r="32" spans="1:12" ht="12" thickBot="1" x14ac:dyDescent="0.25">
      <c r="A32" s="49">
        <f t="shared" si="1"/>
        <v>16</v>
      </c>
      <c r="C32" s="60" t="s">
        <v>116</v>
      </c>
      <c r="D32" s="60"/>
      <c r="E32" s="121">
        <f>ROUND(+E30/13,2)</f>
        <v>139365.59</v>
      </c>
      <c r="F32" s="118"/>
      <c r="G32" s="121">
        <f>ROUND(+G30/13,2)</f>
        <v>576646.77</v>
      </c>
      <c r="H32" s="118"/>
      <c r="I32" s="121">
        <f>ROUND(+I30/13,2)</f>
        <v>437281.18</v>
      </c>
    </row>
    <row r="33" spans="1:13" ht="12" thickTop="1" x14ac:dyDescent="0.2">
      <c r="A33" s="49">
        <f t="shared" si="1"/>
        <v>17</v>
      </c>
      <c r="E33" s="118"/>
      <c r="F33" s="118"/>
      <c r="G33" s="118"/>
      <c r="H33" s="118"/>
      <c r="I33" s="118"/>
    </row>
    <row r="34" spans="1:13" x14ac:dyDescent="0.2">
      <c r="A34" s="49">
        <f t="shared" si="1"/>
        <v>18</v>
      </c>
      <c r="E34" s="122" t="s">
        <v>9</v>
      </c>
      <c r="F34" s="122"/>
      <c r="G34" s="122" t="s">
        <v>9</v>
      </c>
      <c r="H34" s="122"/>
      <c r="I34" s="122" t="s">
        <v>9</v>
      </c>
    </row>
    <row r="35" spans="1:13" ht="12" thickBot="1" x14ac:dyDescent="0.25">
      <c r="A35" s="49">
        <f t="shared" si="1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437281.18</v>
      </c>
    </row>
    <row r="36" spans="1:13" ht="12" thickTop="1" x14ac:dyDescent="0.2">
      <c r="A36" s="49">
        <f t="shared" si="1"/>
        <v>20</v>
      </c>
    </row>
    <row r="37" spans="1:13" x14ac:dyDescent="0.2">
      <c r="A37" s="49">
        <f t="shared" si="1"/>
        <v>21</v>
      </c>
      <c r="I37" s="58" t="s">
        <v>85</v>
      </c>
    </row>
    <row r="38" spans="1:13" x14ac:dyDescent="0.2">
      <c r="A38" s="49">
        <f t="shared" si="1"/>
        <v>22</v>
      </c>
      <c r="I38" s="58" t="s">
        <v>132</v>
      </c>
    </row>
    <row r="39" spans="1:13" x14ac:dyDescent="0.2">
      <c r="A39" s="49">
        <f t="shared" si="1"/>
        <v>23</v>
      </c>
    </row>
    <row r="40" spans="1:13" x14ac:dyDescent="0.2">
      <c r="A40" s="49">
        <f t="shared" si="1"/>
        <v>24</v>
      </c>
    </row>
    <row r="41" spans="1:13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</row>
    <row r="42" spans="1:13" x14ac:dyDescent="0.2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</row>
    <row r="43" spans="1:13" x14ac:dyDescent="0.2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1:13" x14ac:dyDescent="0.2">
      <c r="A44" s="13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</row>
    <row r="46" spans="1:13" x14ac:dyDescent="0.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 x14ac:dyDescent="0.2">
      <c r="A47" s="149" t="str">
        <f>A7</f>
        <v>Pro Forma Adjustment - Project In Service During Test Year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</row>
    <row r="48" spans="1:13" x14ac:dyDescent="0.2">
      <c r="A48" s="150" t="str">
        <f>A8</f>
        <v>SFS - Cliff I229 Interchange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</row>
    <row r="49" spans="1:13" x14ac:dyDescent="0.2">
      <c r="A49" s="50"/>
      <c r="B49" s="50"/>
      <c r="C49" s="48"/>
      <c r="D49" s="48"/>
      <c r="E49" s="48"/>
      <c r="F49" s="48"/>
      <c r="G49" s="48"/>
      <c r="H49" s="48"/>
      <c r="I49" s="48"/>
    </row>
    <row r="50" spans="1:13" x14ac:dyDescent="0.2">
      <c r="A50" s="50" t="s">
        <v>87</v>
      </c>
      <c r="B50" s="50"/>
      <c r="C50" s="48"/>
      <c r="D50" s="48"/>
      <c r="E50" s="48"/>
      <c r="F50" s="48"/>
      <c r="G50" s="48"/>
      <c r="H50" s="48"/>
      <c r="I50" s="48"/>
    </row>
    <row r="51" spans="1:13" x14ac:dyDescent="0.2">
      <c r="A51" s="50" t="s">
        <v>9</v>
      </c>
      <c r="B51" s="50"/>
      <c r="C51" s="48"/>
      <c r="D51" s="48"/>
      <c r="E51" s="48"/>
      <c r="F51" s="48"/>
      <c r="G51" s="48"/>
      <c r="H51" s="48"/>
      <c r="I51" s="48"/>
    </row>
    <row r="52" spans="1:13" x14ac:dyDescent="0.2">
      <c r="K52" s="55" t="s">
        <v>88</v>
      </c>
      <c r="M52" s="55" t="s">
        <v>88</v>
      </c>
    </row>
    <row r="53" spans="1:13" ht="12" thickBot="1" x14ac:dyDescent="0.25">
      <c r="A53" s="65" t="s">
        <v>77</v>
      </c>
      <c r="E53" s="52" t="str">
        <f>E13</f>
        <v>Acct 2.376.00</v>
      </c>
      <c r="F53" s="52"/>
      <c r="G53" s="52"/>
      <c r="H53" s="52"/>
      <c r="I53" s="52"/>
      <c r="K53" s="55" t="s">
        <v>89</v>
      </c>
      <c r="M53" s="55" t="s">
        <v>90</v>
      </c>
    </row>
    <row r="54" spans="1:13" ht="12" thickBot="1" x14ac:dyDescent="0.25">
      <c r="A54" s="88" t="s">
        <v>79</v>
      </c>
      <c r="B54" s="55"/>
      <c r="C54" s="53" t="s">
        <v>80</v>
      </c>
      <c r="D54" s="55"/>
      <c r="E54" s="53" t="s">
        <v>81</v>
      </c>
      <c r="F54" s="55"/>
      <c r="G54" s="53" t="s">
        <v>82</v>
      </c>
      <c r="H54" s="55"/>
      <c r="I54" s="53" t="s">
        <v>83</v>
      </c>
      <c r="K54" s="53" t="s">
        <v>91</v>
      </c>
      <c r="M54" s="53" t="s">
        <v>92</v>
      </c>
    </row>
    <row r="55" spans="1:13" x14ac:dyDescent="0.2">
      <c r="A55" s="55"/>
      <c r="B55" s="55"/>
      <c r="C55" s="39" t="s">
        <v>5</v>
      </c>
      <c r="D55" s="55"/>
      <c r="E55" s="36" t="s">
        <v>6</v>
      </c>
      <c r="F55" s="55"/>
      <c r="G55" s="36" t="s">
        <v>7</v>
      </c>
      <c r="H55" s="33"/>
      <c r="I55" s="36" t="s">
        <v>41</v>
      </c>
      <c r="K55" s="17" t="s">
        <v>42</v>
      </c>
      <c r="M55" s="55" t="s">
        <v>43</v>
      </c>
    </row>
    <row r="56" spans="1:13" x14ac:dyDescent="0.2">
      <c r="A56" s="55"/>
      <c r="B56" s="55"/>
      <c r="C56" s="55"/>
      <c r="D56" s="55"/>
      <c r="E56" s="55"/>
      <c r="F56" s="55"/>
      <c r="G56" s="55"/>
      <c r="H56" s="55"/>
      <c r="I56" s="55"/>
    </row>
    <row r="57" spans="1:13" x14ac:dyDescent="0.2">
      <c r="A57" s="49">
        <v>1</v>
      </c>
      <c r="B57" s="55"/>
      <c r="C57" s="56">
        <f>C17</f>
        <v>45641</v>
      </c>
      <c r="D57" s="56"/>
      <c r="E57" s="117">
        <f t="shared" ref="E57:E69" si="3">ROUND(E17*$G$78,2)</f>
        <v>0</v>
      </c>
      <c r="F57" s="118"/>
      <c r="G57" s="117">
        <f t="shared" ref="G57:G69" si="4">ROUND(+G17*$G$78,2)</f>
        <v>978.47</v>
      </c>
      <c r="H57" s="118"/>
      <c r="I57" s="118">
        <f>G57-E57</f>
        <v>978.47</v>
      </c>
      <c r="J57" s="118"/>
      <c r="K57" s="119"/>
      <c r="L57" s="118"/>
      <c r="M57" s="7">
        <f>+ROUND(M72/13,2)</f>
        <v>-155.82</v>
      </c>
    </row>
    <row r="58" spans="1:13" x14ac:dyDescent="0.2">
      <c r="A58" s="49">
        <f t="shared" ref="A58:A82" si="5">1+A57</f>
        <v>2</v>
      </c>
      <c r="C58" s="56">
        <v>45672</v>
      </c>
      <c r="E58" s="78">
        <f t="shared" si="3"/>
        <v>0</v>
      </c>
      <c r="F58" s="78"/>
      <c r="G58" s="78">
        <f t="shared" si="4"/>
        <v>978.47</v>
      </c>
      <c r="H58" s="8"/>
      <c r="I58" s="8">
        <f>G58-E58</f>
        <v>978.47</v>
      </c>
      <c r="J58" s="8"/>
      <c r="K58" s="8"/>
      <c r="L58" s="8"/>
      <c r="M58" s="8">
        <f>+M57</f>
        <v>-155.82</v>
      </c>
    </row>
    <row r="59" spans="1:13" x14ac:dyDescent="0.2">
      <c r="A59" s="49">
        <f t="shared" si="5"/>
        <v>3</v>
      </c>
      <c r="C59" s="56">
        <f>C58+31</f>
        <v>45703</v>
      </c>
      <c r="D59" s="56"/>
      <c r="E59" s="78">
        <f t="shared" si="3"/>
        <v>0</v>
      </c>
      <c r="F59" s="8"/>
      <c r="G59" s="78">
        <f t="shared" si="4"/>
        <v>978.47</v>
      </c>
      <c r="H59" s="8"/>
      <c r="I59" s="8">
        <f t="shared" ref="I59:I69" si="6">G59-E59</f>
        <v>978.47</v>
      </c>
      <c r="J59" s="8"/>
      <c r="K59" s="8"/>
      <c r="L59" s="8"/>
      <c r="M59" s="8">
        <f t="shared" ref="M59:M69" si="7">+M58</f>
        <v>-155.82</v>
      </c>
    </row>
    <row r="60" spans="1:13" x14ac:dyDescent="0.2">
      <c r="A60" s="49">
        <f t="shared" si="5"/>
        <v>4</v>
      </c>
      <c r="C60" s="56">
        <f t="shared" ref="C60:C69" si="8">C59+31</f>
        <v>45734</v>
      </c>
      <c r="D60" s="56"/>
      <c r="E60" s="78">
        <f t="shared" si="3"/>
        <v>0</v>
      </c>
      <c r="F60" s="78"/>
      <c r="G60" s="78">
        <f t="shared" si="4"/>
        <v>978.47</v>
      </c>
      <c r="H60" s="8"/>
      <c r="I60" s="8">
        <f t="shared" si="6"/>
        <v>978.47</v>
      </c>
      <c r="J60" s="8"/>
      <c r="K60" s="8"/>
      <c r="L60" s="8"/>
      <c r="M60" s="8">
        <f t="shared" si="7"/>
        <v>-155.82</v>
      </c>
    </row>
    <row r="61" spans="1:13" x14ac:dyDescent="0.2">
      <c r="A61" s="49">
        <f t="shared" si="5"/>
        <v>5</v>
      </c>
      <c r="C61" s="56">
        <f t="shared" si="8"/>
        <v>45765</v>
      </c>
      <c r="D61" s="56"/>
      <c r="E61" s="78">
        <f t="shared" si="3"/>
        <v>0</v>
      </c>
      <c r="F61" s="78"/>
      <c r="G61" s="78">
        <f t="shared" si="4"/>
        <v>978.47</v>
      </c>
      <c r="H61" s="8"/>
      <c r="I61" s="8">
        <f t="shared" si="6"/>
        <v>978.47</v>
      </c>
      <c r="J61" s="8"/>
      <c r="K61" s="8"/>
      <c r="L61" s="8"/>
      <c r="M61" s="8">
        <f t="shared" si="7"/>
        <v>-155.82</v>
      </c>
    </row>
    <row r="62" spans="1:13" x14ac:dyDescent="0.2">
      <c r="A62" s="49">
        <f t="shared" si="5"/>
        <v>6</v>
      </c>
      <c r="C62" s="56">
        <f t="shared" si="8"/>
        <v>45796</v>
      </c>
      <c r="D62" s="56"/>
      <c r="E62" s="78">
        <f t="shared" si="3"/>
        <v>0</v>
      </c>
      <c r="F62" s="78"/>
      <c r="G62" s="78">
        <f t="shared" si="4"/>
        <v>978.47</v>
      </c>
      <c r="H62" s="8"/>
      <c r="I62" s="8">
        <f t="shared" si="6"/>
        <v>978.47</v>
      </c>
      <c r="J62" s="8"/>
      <c r="K62" s="8"/>
      <c r="L62" s="8"/>
      <c r="M62" s="8">
        <f t="shared" si="7"/>
        <v>-155.82</v>
      </c>
    </row>
    <row r="63" spans="1:13" x14ac:dyDescent="0.2">
      <c r="A63" s="49">
        <f t="shared" si="5"/>
        <v>7</v>
      </c>
      <c r="C63" s="56">
        <f t="shared" si="8"/>
        <v>45827</v>
      </c>
      <c r="D63" s="56"/>
      <c r="E63" s="78">
        <f t="shared" si="3"/>
        <v>0</v>
      </c>
      <c r="F63" s="78"/>
      <c r="G63" s="78">
        <f t="shared" si="4"/>
        <v>978.47</v>
      </c>
      <c r="H63" s="8"/>
      <c r="I63" s="8">
        <f t="shared" si="6"/>
        <v>978.47</v>
      </c>
      <c r="J63" s="8"/>
      <c r="K63" s="8"/>
      <c r="L63" s="8"/>
      <c r="M63" s="8">
        <f t="shared" si="7"/>
        <v>-155.82</v>
      </c>
    </row>
    <row r="64" spans="1:13" x14ac:dyDescent="0.2">
      <c r="A64" s="49">
        <f t="shared" si="5"/>
        <v>8</v>
      </c>
      <c r="C64" s="56">
        <f t="shared" si="8"/>
        <v>45858</v>
      </c>
      <c r="D64" s="56"/>
      <c r="E64" s="78">
        <f t="shared" si="3"/>
        <v>0</v>
      </c>
      <c r="F64" s="78"/>
      <c r="G64" s="78">
        <f t="shared" si="4"/>
        <v>978.47</v>
      </c>
      <c r="H64" s="8"/>
      <c r="I64" s="8">
        <f t="shared" si="6"/>
        <v>978.47</v>
      </c>
      <c r="J64" s="8"/>
      <c r="K64" s="8"/>
      <c r="L64" s="8"/>
      <c r="M64" s="8">
        <f t="shared" si="7"/>
        <v>-155.82</v>
      </c>
    </row>
    <row r="65" spans="1:13" x14ac:dyDescent="0.2">
      <c r="A65" s="49">
        <f t="shared" si="5"/>
        <v>9</v>
      </c>
      <c r="C65" s="56">
        <f t="shared" si="8"/>
        <v>45889</v>
      </c>
      <c r="D65" s="56"/>
      <c r="E65" s="78">
        <f t="shared" si="3"/>
        <v>0</v>
      </c>
      <c r="F65" s="78"/>
      <c r="G65" s="78">
        <f t="shared" si="4"/>
        <v>978.47</v>
      </c>
      <c r="H65" s="8"/>
      <c r="I65" s="8">
        <f t="shared" si="6"/>
        <v>978.47</v>
      </c>
      <c r="J65" s="8"/>
      <c r="K65" s="8"/>
      <c r="L65" s="8"/>
      <c r="M65" s="8">
        <f t="shared" si="7"/>
        <v>-155.82</v>
      </c>
    </row>
    <row r="66" spans="1:13" x14ac:dyDescent="0.2">
      <c r="A66" s="49">
        <f t="shared" si="5"/>
        <v>10</v>
      </c>
      <c r="C66" s="56">
        <f t="shared" si="8"/>
        <v>45920</v>
      </c>
      <c r="D66" s="56"/>
      <c r="E66" s="78">
        <f t="shared" si="3"/>
        <v>0</v>
      </c>
      <c r="F66" s="78"/>
      <c r="G66" s="78">
        <f t="shared" si="4"/>
        <v>978.47</v>
      </c>
      <c r="H66" s="8"/>
      <c r="I66" s="8">
        <f t="shared" si="6"/>
        <v>978.47</v>
      </c>
      <c r="J66" s="8"/>
      <c r="K66" s="8"/>
      <c r="L66" s="8"/>
      <c r="M66" s="8">
        <f t="shared" si="7"/>
        <v>-155.82</v>
      </c>
    </row>
    <row r="67" spans="1:13" x14ac:dyDescent="0.2">
      <c r="A67" s="49">
        <f t="shared" si="5"/>
        <v>11</v>
      </c>
      <c r="C67" s="56">
        <f t="shared" si="8"/>
        <v>45951</v>
      </c>
      <c r="D67" s="56"/>
      <c r="E67" s="78">
        <f t="shared" si="3"/>
        <v>1062.4000000000001</v>
      </c>
      <c r="F67" s="78"/>
      <c r="G67" s="78">
        <f t="shared" si="4"/>
        <v>978.47</v>
      </c>
      <c r="H67" s="8"/>
      <c r="I67" s="8">
        <f t="shared" si="6"/>
        <v>-83.930000000000064</v>
      </c>
      <c r="J67" s="8"/>
      <c r="K67" s="8"/>
      <c r="L67" s="8"/>
      <c r="M67" s="8">
        <f t="shared" si="7"/>
        <v>-155.82</v>
      </c>
    </row>
    <row r="68" spans="1:13" x14ac:dyDescent="0.2">
      <c r="A68" s="49">
        <f t="shared" si="5"/>
        <v>12</v>
      </c>
      <c r="C68" s="56">
        <f t="shared" si="8"/>
        <v>45982</v>
      </c>
      <c r="D68" s="56"/>
      <c r="E68" s="78">
        <f t="shared" si="3"/>
        <v>1062.4000000000001</v>
      </c>
      <c r="F68" s="78"/>
      <c r="G68" s="78">
        <f t="shared" si="4"/>
        <v>978.47</v>
      </c>
      <c r="H68" s="8"/>
      <c r="I68" s="8">
        <f t="shared" si="6"/>
        <v>-83.930000000000064</v>
      </c>
      <c r="J68" s="8"/>
      <c r="K68" s="8"/>
      <c r="L68" s="8"/>
      <c r="M68" s="8">
        <f t="shared" si="7"/>
        <v>-155.82</v>
      </c>
    </row>
    <row r="69" spans="1:13" x14ac:dyDescent="0.2">
      <c r="A69" s="49">
        <f t="shared" si="5"/>
        <v>13</v>
      </c>
      <c r="C69" s="56">
        <f t="shared" si="8"/>
        <v>46013</v>
      </c>
      <c r="D69" s="56"/>
      <c r="E69" s="130">
        <f t="shared" si="3"/>
        <v>949.45</v>
      </c>
      <c r="F69" s="78"/>
      <c r="G69" s="130">
        <f t="shared" si="4"/>
        <v>978.47</v>
      </c>
      <c r="H69" s="8"/>
      <c r="I69" s="130">
        <f t="shared" si="6"/>
        <v>29.019999999999982</v>
      </c>
      <c r="J69" s="8"/>
      <c r="K69" s="8"/>
      <c r="L69" s="8"/>
      <c r="M69" s="130">
        <f t="shared" si="7"/>
        <v>-155.82</v>
      </c>
    </row>
    <row r="70" spans="1:13" x14ac:dyDescent="0.2">
      <c r="A70" s="49">
        <f t="shared" si="5"/>
        <v>14</v>
      </c>
      <c r="C70" s="58" t="s">
        <v>46</v>
      </c>
      <c r="D70" s="58"/>
      <c r="E70" s="118">
        <f>SUM(E57:E69)</f>
        <v>3074.25</v>
      </c>
      <c r="F70" s="118"/>
      <c r="G70" s="118">
        <f>SUM(G57:G69)</f>
        <v>12720.109999999999</v>
      </c>
      <c r="H70" s="118"/>
      <c r="I70" s="118">
        <f>SUM(I57:I69)</f>
        <v>9645.86</v>
      </c>
      <c r="J70" s="118"/>
      <c r="K70" s="118"/>
      <c r="L70" s="118"/>
      <c r="M70" s="118">
        <f>SUM(M57:M69)</f>
        <v>-2025.6599999999994</v>
      </c>
    </row>
    <row r="71" spans="1:13" x14ac:dyDescent="0.2">
      <c r="A71" s="49">
        <f t="shared" si="5"/>
        <v>15</v>
      </c>
      <c r="E71" s="122" t="s">
        <v>9</v>
      </c>
      <c r="F71" s="122"/>
      <c r="G71" s="122" t="s">
        <v>9</v>
      </c>
      <c r="H71" s="122"/>
      <c r="I71" s="122" t="s">
        <v>9</v>
      </c>
      <c r="J71" s="118"/>
      <c r="K71" s="118"/>
      <c r="L71" s="118"/>
      <c r="M71" s="118"/>
    </row>
    <row r="72" spans="1:13" ht="12" thickBot="1" x14ac:dyDescent="0.25">
      <c r="A72" s="49">
        <f t="shared" si="5"/>
        <v>16</v>
      </c>
      <c r="C72" s="58" t="s">
        <v>84</v>
      </c>
      <c r="D72" s="58"/>
      <c r="E72" s="118"/>
      <c r="F72" s="118"/>
      <c r="G72" s="118"/>
      <c r="H72" s="118"/>
      <c r="I72" s="121">
        <f>I70</f>
        <v>9645.86</v>
      </c>
      <c r="J72" s="118"/>
      <c r="K72" s="121">
        <v>0</v>
      </c>
      <c r="L72" s="118"/>
      <c r="M72" s="121">
        <f>ROUND(+(K72-I72)*M78,2)</f>
        <v>-2025.63</v>
      </c>
    </row>
    <row r="73" spans="1:13" ht="12" thickTop="1" x14ac:dyDescent="0.2">
      <c r="A73" s="49">
        <f t="shared" si="5"/>
        <v>17</v>
      </c>
      <c r="E73" s="57"/>
      <c r="F73" s="57"/>
      <c r="G73" s="57"/>
      <c r="H73" s="57"/>
      <c r="I73" s="58" t="s">
        <v>85</v>
      </c>
    </row>
    <row r="74" spans="1:13" x14ac:dyDescent="0.2">
      <c r="A74" s="49">
        <f t="shared" si="5"/>
        <v>18</v>
      </c>
      <c r="I74" s="58" t="s">
        <v>133</v>
      </c>
      <c r="M74" s="55" t="s">
        <v>88</v>
      </c>
    </row>
    <row r="75" spans="1:13" x14ac:dyDescent="0.2">
      <c r="A75" s="49">
        <f t="shared" si="5"/>
        <v>19</v>
      </c>
      <c r="K75" s="55" t="s">
        <v>93</v>
      </c>
      <c r="M75" s="55" t="s">
        <v>94</v>
      </c>
    </row>
    <row r="76" spans="1:13" x14ac:dyDescent="0.2">
      <c r="A76" s="49">
        <f t="shared" si="5"/>
        <v>20</v>
      </c>
      <c r="E76" s="63" t="s">
        <v>95</v>
      </c>
      <c r="F76" s="63"/>
      <c r="G76" s="63" t="s">
        <v>96</v>
      </c>
      <c r="K76" s="55" t="s">
        <v>97</v>
      </c>
      <c r="M76" s="55" t="s">
        <v>98</v>
      </c>
    </row>
    <row r="77" spans="1:13" ht="12" thickBot="1" x14ac:dyDescent="0.25">
      <c r="A77" s="49">
        <f t="shared" si="5"/>
        <v>21</v>
      </c>
      <c r="E77" s="64" t="s">
        <v>99</v>
      </c>
      <c r="F77" s="63"/>
      <c r="G77" s="64" t="s">
        <v>99</v>
      </c>
      <c r="K77" s="64" t="s">
        <v>100</v>
      </c>
      <c r="M77" s="64" t="s">
        <v>101</v>
      </c>
    </row>
    <row r="78" spans="1:13" x14ac:dyDescent="0.2">
      <c r="A78" s="49">
        <f t="shared" si="5"/>
        <v>22</v>
      </c>
      <c r="C78" s="65" t="str">
        <f>E53</f>
        <v>Acct 2.376.00</v>
      </c>
      <c r="D78" s="65"/>
      <c r="E78" s="66">
        <f>'CAPGDS1000000782 Input'!J16</f>
        <v>2.2058823529411766E-2</v>
      </c>
      <c r="F78" s="66"/>
      <c r="G78" s="66">
        <f>E78/13</f>
        <v>1.6968325791855204E-3</v>
      </c>
      <c r="K78" s="80">
        <f>+'CAPGDS1000000782 Input'!L16</f>
        <v>3.7499999999999999E-2</v>
      </c>
      <c r="M78" s="81">
        <f>+'CAPGDS1000000782 Input'!N16</f>
        <v>0.21</v>
      </c>
    </row>
    <row r="79" spans="1:13" x14ac:dyDescent="0.2">
      <c r="A79" s="49">
        <f t="shared" si="5"/>
        <v>23</v>
      </c>
      <c r="H79" s="61"/>
      <c r="I79" s="57"/>
      <c r="K79" s="55" t="s">
        <v>102</v>
      </c>
    </row>
    <row r="80" spans="1:13" x14ac:dyDescent="0.2">
      <c r="A80" s="49">
        <f t="shared" si="5"/>
        <v>24</v>
      </c>
      <c r="H80" s="66"/>
      <c r="I80" s="57"/>
    </row>
    <row r="81" spans="1:13" x14ac:dyDescent="0.2">
      <c r="A81" s="49">
        <f t="shared" si="5"/>
        <v>25</v>
      </c>
    </row>
    <row r="82" spans="1:13" x14ac:dyDescent="0.2">
      <c r="A82" s="49">
        <f t="shared" si="5"/>
        <v>26</v>
      </c>
      <c r="H82" s="66"/>
      <c r="I82" s="57"/>
    </row>
    <row r="83" spans="1:13" x14ac:dyDescent="0.2">
      <c r="A83" s="149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</row>
    <row r="84" spans="1:13" x14ac:dyDescent="0.2">
      <c r="A84" s="149"/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</row>
    <row r="85" spans="1:13" x14ac:dyDescent="0.2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</row>
    <row r="86" spans="1:13" x14ac:dyDescent="0.2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</row>
    <row r="88" spans="1:13" x14ac:dyDescent="0.2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</row>
    <row r="89" spans="1:13" x14ac:dyDescent="0.2">
      <c r="A89" s="149" t="str">
        <f>A7</f>
        <v>Pro Forma Adjustment - Project In Service During Test Year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</row>
    <row r="90" spans="1:13" x14ac:dyDescent="0.2">
      <c r="A90" s="150" t="str">
        <f>A8</f>
        <v>SFS - Cliff I229 Interchange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</row>
    <row r="91" spans="1:13" x14ac:dyDescent="0.2">
      <c r="A91" s="50"/>
      <c r="B91" s="50"/>
      <c r="C91" s="48"/>
      <c r="D91" s="48"/>
      <c r="E91" s="48"/>
      <c r="F91" s="48"/>
      <c r="G91" s="48"/>
      <c r="H91" s="48"/>
      <c r="I91" s="48"/>
    </row>
    <row r="92" spans="1:13" x14ac:dyDescent="0.2">
      <c r="A92" s="50" t="s">
        <v>103</v>
      </c>
      <c r="B92" s="50"/>
      <c r="C92" s="48"/>
      <c r="D92" s="48"/>
      <c r="E92" s="48"/>
      <c r="F92" s="48"/>
      <c r="G92" s="48"/>
      <c r="H92" s="48"/>
      <c r="I92" s="48"/>
    </row>
    <row r="93" spans="1:13" x14ac:dyDescent="0.2">
      <c r="A93" s="50" t="s">
        <v>9</v>
      </c>
      <c r="B93" s="50"/>
      <c r="C93" s="48"/>
      <c r="D93" s="48"/>
      <c r="E93" s="48"/>
      <c r="F93" s="48"/>
      <c r="G93" s="48"/>
      <c r="H93" s="48"/>
      <c r="I93" s="48"/>
    </row>
    <row r="95" spans="1:13" ht="12" thickBot="1" x14ac:dyDescent="0.25">
      <c r="A95" s="65" t="s">
        <v>77</v>
      </c>
      <c r="E95" s="52" t="str">
        <f>E13</f>
        <v>Acct 2.376.00</v>
      </c>
      <c r="F95" s="52"/>
      <c r="G95" s="52"/>
      <c r="H95" s="52"/>
      <c r="I95" s="52"/>
      <c r="M95" s="55" t="s">
        <v>104</v>
      </c>
    </row>
    <row r="96" spans="1:13" ht="12" thickBot="1" x14ac:dyDescent="0.25">
      <c r="A96" s="88" t="s">
        <v>79</v>
      </c>
      <c r="B96" s="55"/>
      <c r="C96" s="53" t="s">
        <v>80</v>
      </c>
      <c r="D96" s="55"/>
      <c r="E96" s="53" t="s">
        <v>81</v>
      </c>
      <c r="F96" s="55"/>
      <c r="G96" s="53" t="s">
        <v>82</v>
      </c>
      <c r="H96" s="55"/>
      <c r="I96" s="53" t="s">
        <v>83</v>
      </c>
      <c r="M96" s="53" t="s">
        <v>105</v>
      </c>
    </row>
    <row r="97" spans="1:13" x14ac:dyDescent="0.2">
      <c r="A97" s="55"/>
      <c r="B97" s="55"/>
      <c r="C97" s="39" t="s">
        <v>5</v>
      </c>
      <c r="D97" s="55"/>
      <c r="E97" s="36" t="s">
        <v>6</v>
      </c>
      <c r="F97" s="55"/>
      <c r="G97" s="36" t="s">
        <v>7</v>
      </c>
      <c r="H97" s="33"/>
      <c r="I97" s="36" t="s">
        <v>41</v>
      </c>
      <c r="K97" s="17" t="s">
        <v>42</v>
      </c>
      <c r="M97" s="55" t="s">
        <v>43</v>
      </c>
    </row>
    <row r="98" spans="1:13" x14ac:dyDescent="0.2">
      <c r="A98" s="55"/>
      <c r="B98" s="55"/>
      <c r="C98" s="55"/>
      <c r="D98" s="55"/>
      <c r="E98" s="55"/>
      <c r="F98" s="55"/>
      <c r="G98" s="55"/>
      <c r="H98" s="55"/>
      <c r="I98" s="55"/>
    </row>
    <row r="99" spans="1:13" x14ac:dyDescent="0.2">
      <c r="A99" s="49">
        <v>1</v>
      </c>
      <c r="C99" s="56">
        <f>C17</f>
        <v>45641</v>
      </c>
      <c r="D99" s="56"/>
      <c r="E99" s="117">
        <f>E57</f>
        <v>0</v>
      </c>
      <c r="F99" s="118"/>
      <c r="G99" s="117">
        <f>G57</f>
        <v>978.47</v>
      </c>
      <c r="H99" s="118"/>
      <c r="I99" s="118">
        <f>G99-E99</f>
        <v>978.47</v>
      </c>
      <c r="J99" s="118"/>
      <c r="K99" s="119"/>
      <c r="L99" s="118"/>
      <c r="M99" s="7">
        <f>+M57</f>
        <v>-155.82</v>
      </c>
    </row>
    <row r="100" spans="1:13" x14ac:dyDescent="0.2">
      <c r="A100" s="49">
        <f t="shared" ref="A100:A128" si="9">1+A99</f>
        <v>2</v>
      </c>
      <c r="C100" s="56">
        <f>C18</f>
        <v>45672</v>
      </c>
      <c r="D100" s="56"/>
      <c r="E100" s="8">
        <f>E98+E57</f>
        <v>0</v>
      </c>
      <c r="F100" s="8"/>
      <c r="G100" s="8">
        <f t="shared" ref="G100:G111" si="10">G99+G58</f>
        <v>1956.94</v>
      </c>
      <c r="H100" s="8"/>
      <c r="I100" s="8">
        <f t="shared" ref="I100:I111" si="11">G100-E100</f>
        <v>1956.94</v>
      </c>
      <c r="J100" s="8"/>
      <c r="K100" s="8"/>
      <c r="L100" s="8"/>
      <c r="M100" s="8">
        <f t="shared" ref="M100:M111" si="12">+M99+M58</f>
        <v>-311.64</v>
      </c>
    </row>
    <row r="101" spans="1:13" x14ac:dyDescent="0.2">
      <c r="A101" s="49">
        <f t="shared" si="9"/>
        <v>3</v>
      </c>
      <c r="C101" s="56">
        <f t="shared" ref="C101:C111" si="13">C100+31</f>
        <v>45703</v>
      </c>
      <c r="D101" s="56"/>
      <c r="E101" s="8">
        <f>E99+E58</f>
        <v>0</v>
      </c>
      <c r="F101" s="8"/>
      <c r="G101" s="8">
        <f t="shared" si="10"/>
        <v>2935.41</v>
      </c>
      <c r="H101" s="8"/>
      <c r="I101" s="8">
        <f t="shared" si="11"/>
        <v>2935.41</v>
      </c>
      <c r="J101" s="8"/>
      <c r="K101" s="8"/>
      <c r="L101" s="8"/>
      <c r="M101" s="8">
        <f t="shared" si="12"/>
        <v>-467.46</v>
      </c>
    </row>
    <row r="102" spans="1:13" x14ac:dyDescent="0.2">
      <c r="A102" s="49">
        <f t="shared" si="9"/>
        <v>4</v>
      </c>
      <c r="C102" s="56">
        <f t="shared" si="13"/>
        <v>45734</v>
      </c>
      <c r="D102" s="56"/>
      <c r="E102" s="8">
        <f t="shared" ref="E102:E111" si="14">E101+E60</f>
        <v>0</v>
      </c>
      <c r="F102" s="8"/>
      <c r="G102" s="8">
        <f t="shared" si="10"/>
        <v>3913.88</v>
      </c>
      <c r="H102" s="8"/>
      <c r="I102" s="8">
        <f t="shared" si="11"/>
        <v>3913.88</v>
      </c>
      <c r="J102" s="8"/>
      <c r="K102" s="8"/>
      <c r="L102" s="8"/>
      <c r="M102" s="8">
        <f t="shared" si="12"/>
        <v>-623.28</v>
      </c>
    </row>
    <row r="103" spans="1:13" x14ac:dyDescent="0.2">
      <c r="A103" s="49">
        <f t="shared" si="9"/>
        <v>5</v>
      </c>
      <c r="C103" s="56">
        <f t="shared" si="13"/>
        <v>45765</v>
      </c>
      <c r="D103" s="56"/>
      <c r="E103" s="8">
        <f t="shared" si="14"/>
        <v>0</v>
      </c>
      <c r="F103" s="8"/>
      <c r="G103" s="8">
        <f t="shared" si="10"/>
        <v>4892.3500000000004</v>
      </c>
      <c r="H103" s="8"/>
      <c r="I103" s="8">
        <f t="shared" si="11"/>
        <v>4892.3500000000004</v>
      </c>
      <c r="J103" s="8"/>
      <c r="K103" s="8"/>
      <c r="L103" s="8"/>
      <c r="M103" s="8">
        <f t="shared" si="12"/>
        <v>-779.09999999999991</v>
      </c>
    </row>
    <row r="104" spans="1:13" x14ac:dyDescent="0.2">
      <c r="A104" s="49">
        <f t="shared" si="9"/>
        <v>6</v>
      </c>
      <c r="C104" s="56">
        <f t="shared" si="13"/>
        <v>45796</v>
      </c>
      <c r="D104" s="56"/>
      <c r="E104" s="8">
        <f t="shared" si="14"/>
        <v>0</v>
      </c>
      <c r="F104" s="8"/>
      <c r="G104" s="8">
        <f t="shared" si="10"/>
        <v>5870.8200000000006</v>
      </c>
      <c r="H104" s="8"/>
      <c r="I104" s="8">
        <f t="shared" si="11"/>
        <v>5870.8200000000006</v>
      </c>
      <c r="J104" s="8"/>
      <c r="K104" s="8"/>
      <c r="L104" s="8"/>
      <c r="M104" s="8">
        <f t="shared" si="12"/>
        <v>-934.91999999999985</v>
      </c>
    </row>
    <row r="105" spans="1:13" x14ac:dyDescent="0.2">
      <c r="A105" s="49">
        <f t="shared" si="9"/>
        <v>7</v>
      </c>
      <c r="C105" s="56">
        <f t="shared" si="13"/>
        <v>45827</v>
      </c>
      <c r="D105" s="56"/>
      <c r="E105" s="8">
        <f t="shared" si="14"/>
        <v>0</v>
      </c>
      <c r="F105" s="8"/>
      <c r="G105" s="8">
        <f t="shared" si="10"/>
        <v>6849.2900000000009</v>
      </c>
      <c r="H105" s="8"/>
      <c r="I105" s="8">
        <f t="shared" si="11"/>
        <v>6849.2900000000009</v>
      </c>
      <c r="J105" s="8"/>
      <c r="K105" s="8"/>
      <c r="L105" s="8"/>
      <c r="M105" s="8">
        <f t="shared" si="12"/>
        <v>-1090.7399999999998</v>
      </c>
    </row>
    <row r="106" spans="1:13" x14ac:dyDescent="0.2">
      <c r="A106" s="49">
        <f t="shared" si="9"/>
        <v>8</v>
      </c>
      <c r="C106" s="56">
        <f t="shared" si="13"/>
        <v>45858</v>
      </c>
      <c r="D106" s="56"/>
      <c r="E106" s="8">
        <f t="shared" si="14"/>
        <v>0</v>
      </c>
      <c r="F106" s="8"/>
      <c r="G106" s="8">
        <f t="shared" si="10"/>
        <v>7827.7600000000011</v>
      </c>
      <c r="H106" s="8"/>
      <c r="I106" s="8">
        <f t="shared" si="11"/>
        <v>7827.7600000000011</v>
      </c>
      <c r="J106" s="8"/>
      <c r="K106" s="8"/>
      <c r="L106" s="8"/>
      <c r="M106" s="8">
        <f t="shared" si="12"/>
        <v>-1246.5599999999997</v>
      </c>
    </row>
    <row r="107" spans="1:13" x14ac:dyDescent="0.2">
      <c r="A107" s="49">
        <f t="shared" si="9"/>
        <v>9</v>
      </c>
      <c r="C107" s="56">
        <f t="shared" si="13"/>
        <v>45889</v>
      </c>
      <c r="D107" s="56"/>
      <c r="E107" s="8">
        <f t="shared" si="14"/>
        <v>0</v>
      </c>
      <c r="F107" s="8"/>
      <c r="G107" s="8">
        <f t="shared" si="10"/>
        <v>8806.2300000000014</v>
      </c>
      <c r="H107" s="8"/>
      <c r="I107" s="8">
        <f t="shared" si="11"/>
        <v>8806.2300000000014</v>
      </c>
      <c r="J107" s="8"/>
      <c r="K107" s="8"/>
      <c r="L107" s="8"/>
      <c r="M107" s="8">
        <f t="shared" si="12"/>
        <v>-1402.3799999999997</v>
      </c>
    </row>
    <row r="108" spans="1:13" x14ac:dyDescent="0.2">
      <c r="A108" s="49">
        <f t="shared" si="9"/>
        <v>10</v>
      </c>
      <c r="C108" s="56">
        <f t="shared" si="13"/>
        <v>45920</v>
      </c>
      <c r="D108" s="56"/>
      <c r="E108" s="8">
        <f t="shared" si="14"/>
        <v>0</v>
      </c>
      <c r="F108" s="8"/>
      <c r="G108" s="8">
        <f t="shared" si="10"/>
        <v>9784.7000000000007</v>
      </c>
      <c r="H108" s="8"/>
      <c r="I108" s="8">
        <f t="shared" si="11"/>
        <v>9784.7000000000007</v>
      </c>
      <c r="J108" s="8"/>
      <c r="K108" s="8"/>
      <c r="L108" s="8"/>
      <c r="M108" s="8">
        <f t="shared" si="12"/>
        <v>-1558.1999999999996</v>
      </c>
    </row>
    <row r="109" spans="1:13" x14ac:dyDescent="0.2">
      <c r="A109" s="49">
        <f t="shared" si="9"/>
        <v>11</v>
      </c>
      <c r="C109" s="56">
        <f t="shared" si="13"/>
        <v>45951</v>
      </c>
      <c r="D109" s="56"/>
      <c r="E109" s="8">
        <f t="shared" si="14"/>
        <v>1062.4000000000001</v>
      </c>
      <c r="F109" s="8"/>
      <c r="G109" s="8">
        <f t="shared" si="10"/>
        <v>10763.17</v>
      </c>
      <c r="H109" s="8"/>
      <c r="I109" s="8">
        <f t="shared" si="11"/>
        <v>9700.77</v>
      </c>
      <c r="J109" s="8"/>
      <c r="K109" s="8"/>
      <c r="L109" s="8"/>
      <c r="M109" s="8">
        <f t="shared" si="12"/>
        <v>-1714.0199999999995</v>
      </c>
    </row>
    <row r="110" spans="1:13" x14ac:dyDescent="0.2">
      <c r="A110" s="49">
        <f t="shared" si="9"/>
        <v>12</v>
      </c>
      <c r="C110" s="56">
        <f t="shared" si="13"/>
        <v>45982</v>
      </c>
      <c r="D110" s="56"/>
      <c r="E110" s="8">
        <f t="shared" si="14"/>
        <v>2124.8000000000002</v>
      </c>
      <c r="F110" s="8"/>
      <c r="G110" s="8">
        <f t="shared" si="10"/>
        <v>11741.64</v>
      </c>
      <c r="H110" s="8"/>
      <c r="I110" s="8">
        <f t="shared" si="11"/>
        <v>9616.84</v>
      </c>
      <c r="J110" s="8"/>
      <c r="K110" s="8"/>
      <c r="L110" s="8"/>
      <c r="M110" s="8">
        <f t="shared" si="12"/>
        <v>-1869.8399999999995</v>
      </c>
    </row>
    <row r="111" spans="1:13" x14ac:dyDescent="0.2">
      <c r="A111" s="49">
        <f t="shared" si="9"/>
        <v>13</v>
      </c>
      <c r="C111" s="56">
        <f t="shared" si="13"/>
        <v>46013</v>
      </c>
      <c r="D111" s="56"/>
      <c r="E111" s="131">
        <f t="shared" si="14"/>
        <v>3074.25</v>
      </c>
      <c r="F111" s="8"/>
      <c r="G111" s="131">
        <f t="shared" si="10"/>
        <v>12720.109999999999</v>
      </c>
      <c r="H111" s="8"/>
      <c r="I111" s="131">
        <f t="shared" si="11"/>
        <v>9645.8599999999988</v>
      </c>
      <c r="J111" s="8"/>
      <c r="K111" s="8"/>
      <c r="L111" s="8"/>
      <c r="M111" s="131">
        <f t="shared" si="12"/>
        <v>-2025.6599999999994</v>
      </c>
    </row>
    <row r="112" spans="1:13" x14ac:dyDescent="0.2">
      <c r="A112" s="49">
        <f t="shared" si="9"/>
        <v>14</v>
      </c>
      <c r="C112" s="58" t="s">
        <v>46</v>
      </c>
      <c r="D112" s="58"/>
      <c r="E112" s="118">
        <f>SUM(E99:E111)</f>
        <v>6261.4500000000007</v>
      </c>
      <c r="F112" s="118"/>
      <c r="G112" s="118">
        <f>SUM(G99:G111)</f>
        <v>89040.77</v>
      </c>
      <c r="H112" s="118"/>
      <c r="I112" s="118">
        <f>SUM(I99:I111)</f>
        <v>82779.320000000007</v>
      </c>
      <c r="J112" s="118"/>
      <c r="K112" s="118"/>
      <c r="L112" s="118"/>
      <c r="M112" s="118">
        <f>SUM(M99:M111)</f>
        <v>-14179.619999999995</v>
      </c>
    </row>
    <row r="113" spans="1:13" x14ac:dyDescent="0.2">
      <c r="A113" s="49">
        <f t="shared" si="9"/>
        <v>15</v>
      </c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1:13" ht="12" thickBot="1" x14ac:dyDescent="0.25">
      <c r="A114" s="49">
        <f t="shared" si="9"/>
        <v>16</v>
      </c>
      <c r="C114" s="67" t="s">
        <v>117</v>
      </c>
      <c r="D114" s="67"/>
      <c r="E114" s="121">
        <f>ROUND(+E112/13,2)</f>
        <v>481.65</v>
      </c>
      <c r="F114" s="118"/>
      <c r="G114" s="121">
        <f>ROUND(+G112/13,2)</f>
        <v>6849.29</v>
      </c>
      <c r="H114" s="118"/>
      <c r="I114" s="121">
        <f>ROUND(+I112/13,2)</f>
        <v>6367.64</v>
      </c>
      <c r="J114" s="118"/>
      <c r="K114" s="118"/>
      <c r="L114" s="118"/>
      <c r="M114" s="121">
        <f>ROUND(+M112/13,2)</f>
        <v>-1090.74</v>
      </c>
    </row>
    <row r="115" spans="1:13" ht="12" thickTop="1" x14ac:dyDescent="0.2">
      <c r="A115" s="49">
        <f t="shared" si="9"/>
        <v>17</v>
      </c>
      <c r="E115" s="122" t="s">
        <v>9</v>
      </c>
      <c r="F115" s="122"/>
      <c r="G115" s="122" t="s">
        <v>9</v>
      </c>
      <c r="H115" s="122"/>
      <c r="I115" s="122" t="s">
        <v>9</v>
      </c>
      <c r="J115" s="118"/>
      <c r="K115" s="118"/>
      <c r="L115" s="118"/>
      <c r="M115" s="118"/>
    </row>
    <row r="116" spans="1:13" x14ac:dyDescent="0.2">
      <c r="A116" s="49">
        <f t="shared" si="9"/>
        <v>18</v>
      </c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1:13" ht="12" thickBot="1" x14ac:dyDescent="0.25">
      <c r="A117" s="49">
        <f t="shared" si="9"/>
        <v>19</v>
      </c>
      <c r="C117" s="58" t="s">
        <v>84</v>
      </c>
      <c r="D117" s="58"/>
      <c r="E117" s="118"/>
      <c r="F117" s="118"/>
      <c r="G117" s="118"/>
      <c r="H117" s="118"/>
      <c r="I117" s="128">
        <f>I114</f>
        <v>6367.64</v>
      </c>
      <c r="J117" s="118"/>
      <c r="K117" s="118"/>
      <c r="L117" s="118"/>
      <c r="M117" s="128">
        <f>+M114</f>
        <v>-1090.74</v>
      </c>
    </row>
    <row r="118" spans="1:13" ht="12" thickTop="1" x14ac:dyDescent="0.2">
      <c r="A118" s="49">
        <f t="shared" si="9"/>
        <v>20</v>
      </c>
      <c r="E118" s="57"/>
      <c r="F118" s="57"/>
      <c r="G118" s="57"/>
      <c r="H118" s="57"/>
      <c r="I118" s="58" t="s">
        <v>85</v>
      </c>
      <c r="M118" s="58" t="s">
        <v>85</v>
      </c>
    </row>
    <row r="119" spans="1:13" x14ac:dyDescent="0.2">
      <c r="A119" s="49">
        <f t="shared" si="9"/>
        <v>21</v>
      </c>
      <c r="I119" s="58" t="s">
        <v>134</v>
      </c>
      <c r="M119" s="58" t="s">
        <v>135</v>
      </c>
    </row>
    <row r="120" spans="1:13" x14ac:dyDescent="0.2">
      <c r="A120" s="49">
        <f t="shared" si="9"/>
        <v>22</v>
      </c>
    </row>
    <row r="121" spans="1:13" x14ac:dyDescent="0.2">
      <c r="A121" s="49">
        <f t="shared" si="9"/>
        <v>23</v>
      </c>
      <c r="E121" s="63" t="s">
        <v>95</v>
      </c>
      <c r="F121" s="63"/>
      <c r="G121" s="63" t="s">
        <v>96</v>
      </c>
    </row>
    <row r="122" spans="1:13" ht="12" thickBot="1" x14ac:dyDescent="0.25">
      <c r="A122" s="49">
        <f t="shared" si="9"/>
        <v>24</v>
      </c>
      <c r="E122" s="64" t="s">
        <v>99</v>
      </c>
      <c r="F122" s="63"/>
      <c r="G122" s="64" t="s">
        <v>99</v>
      </c>
    </row>
    <row r="123" spans="1:13" x14ac:dyDescent="0.2">
      <c r="A123" s="49">
        <f t="shared" si="9"/>
        <v>25</v>
      </c>
      <c r="C123" s="65" t="str">
        <f>C78</f>
        <v>Acct 2.376.00</v>
      </c>
      <c r="D123" s="65"/>
      <c r="E123" s="68">
        <f>E78</f>
        <v>2.2058823529411766E-2</v>
      </c>
      <c r="F123" s="68"/>
      <c r="G123" s="68">
        <f>G78</f>
        <v>1.6968325791855204E-3</v>
      </c>
    </row>
    <row r="124" spans="1:13" x14ac:dyDescent="0.2">
      <c r="A124" s="49">
        <f t="shared" si="9"/>
        <v>26</v>
      </c>
      <c r="E124" s="57"/>
      <c r="F124" s="57"/>
      <c r="G124" s="57"/>
      <c r="H124" s="57"/>
      <c r="I124" s="57"/>
    </row>
    <row r="125" spans="1:13" x14ac:dyDescent="0.2">
      <c r="A125" s="49">
        <f t="shared" si="9"/>
        <v>27</v>
      </c>
      <c r="H125" s="57"/>
      <c r="I125" s="57"/>
    </row>
    <row r="126" spans="1:13" x14ac:dyDescent="0.2">
      <c r="A126" s="49">
        <f t="shared" si="9"/>
        <v>28</v>
      </c>
    </row>
    <row r="127" spans="1:13" x14ac:dyDescent="0.2">
      <c r="A127" s="49">
        <f t="shared" si="9"/>
        <v>29</v>
      </c>
    </row>
    <row r="128" spans="1:13" x14ac:dyDescent="0.2">
      <c r="A128" s="49">
        <f t="shared" si="9"/>
        <v>30</v>
      </c>
    </row>
  </sheetData>
  <mergeCells count="14">
    <mergeCell ref="A89:M89"/>
    <mergeCell ref="A90:M90"/>
    <mergeCell ref="A46:M46"/>
    <mergeCell ref="A47:M47"/>
    <mergeCell ref="A48:M48"/>
    <mergeCell ref="A83:M83"/>
    <mergeCell ref="A84:M84"/>
    <mergeCell ref="A88:M88"/>
    <mergeCell ref="A42:M42"/>
    <mergeCell ref="A1:I1"/>
    <mergeCell ref="A2:I2"/>
    <mergeCell ref="A7:I7"/>
    <mergeCell ref="A8:I8"/>
    <mergeCell ref="A41:M41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6B5C6-87FD-4E4B-BAAC-A1C6B69B36F8}">
  <dimension ref="A1:M128"/>
  <sheetViews>
    <sheetView view="pageLayout" zoomScaleNormal="100" workbookViewId="0">
      <selection sqref="A1:I1"/>
    </sheetView>
  </sheetViews>
  <sheetFormatPr defaultColWidth="10.28515625" defaultRowHeight="11.25" x14ac:dyDescent="0.2"/>
  <cols>
    <col min="1" max="1" width="4.85546875" style="49" customWidth="1"/>
    <col min="2" max="2" width="1" style="49" customWidth="1"/>
    <col min="3" max="3" width="11.85546875" style="49" customWidth="1"/>
    <col min="4" max="4" width="1" style="49" customWidth="1"/>
    <col min="5" max="5" width="15" style="49" customWidth="1"/>
    <col min="6" max="6" width="1" style="49" customWidth="1"/>
    <col min="7" max="7" width="15" style="49" customWidth="1"/>
    <col min="8" max="8" width="1" style="49" customWidth="1"/>
    <col min="9" max="9" width="12.42578125" style="49" customWidth="1"/>
    <col min="10" max="10" width="1.85546875" style="49" customWidth="1"/>
    <col min="11" max="11" width="11" style="49" customWidth="1"/>
    <col min="12" max="12" width="1.140625" style="49" customWidth="1"/>
    <col min="13" max="13" width="13.140625" style="49" customWidth="1"/>
    <col min="14" max="16384" width="10.28515625" style="49"/>
  </cols>
  <sheetData>
    <row r="1" spans="1:13" x14ac:dyDescent="0.2">
      <c r="A1" s="149"/>
      <c r="B1" s="149"/>
      <c r="C1" s="149"/>
      <c r="D1" s="149"/>
      <c r="E1" s="149"/>
      <c r="F1" s="149"/>
      <c r="G1" s="149"/>
      <c r="H1" s="149"/>
      <c r="I1" s="149"/>
      <c r="J1" s="83"/>
      <c r="K1" s="83"/>
      <c r="L1" s="83"/>
      <c r="M1" s="83"/>
    </row>
    <row r="2" spans="1:13" x14ac:dyDescent="0.2">
      <c r="A2" s="149"/>
      <c r="B2" s="149"/>
      <c r="C2" s="149"/>
      <c r="D2" s="149"/>
      <c r="E2" s="149"/>
      <c r="F2" s="149"/>
      <c r="G2" s="149"/>
      <c r="H2" s="149"/>
      <c r="I2" s="149"/>
    </row>
    <row r="3" spans="1:13" x14ac:dyDescent="0.2">
      <c r="A3" s="137"/>
      <c r="B3" s="137"/>
      <c r="C3" s="137"/>
      <c r="D3" s="137"/>
      <c r="E3" s="137"/>
      <c r="F3" s="137"/>
      <c r="G3" s="137"/>
      <c r="H3" s="137"/>
      <c r="I3" s="137"/>
    </row>
    <row r="4" spans="1:13" x14ac:dyDescent="0.2">
      <c r="A4" s="137"/>
      <c r="B4" s="137"/>
      <c r="C4" s="137"/>
      <c r="D4" s="137"/>
      <c r="E4" s="137"/>
      <c r="F4" s="137"/>
      <c r="G4" s="137"/>
      <c r="H4" s="137"/>
      <c r="I4" s="137"/>
    </row>
    <row r="6" spans="1:13" x14ac:dyDescent="0.2">
      <c r="A6" s="46"/>
      <c r="B6" s="46"/>
      <c r="C6" s="47"/>
      <c r="D6" s="47"/>
      <c r="E6" s="47"/>
      <c r="F6" s="47"/>
      <c r="G6" s="47"/>
      <c r="H6" s="47"/>
      <c r="I6" s="47"/>
    </row>
    <row r="7" spans="1:13" x14ac:dyDescent="0.2">
      <c r="A7" s="149" t="str">
        <f>'CAPGDS1000000782 Input'!A7:J7</f>
        <v>Pro Forma Adjustment - Project In Service During Test Year</v>
      </c>
      <c r="B7" s="149"/>
      <c r="C7" s="149"/>
      <c r="D7" s="149"/>
      <c r="E7" s="149"/>
      <c r="F7" s="149"/>
      <c r="G7" s="149"/>
      <c r="H7" s="149"/>
      <c r="I7" s="149"/>
    </row>
    <row r="8" spans="1:13" x14ac:dyDescent="0.2">
      <c r="A8" s="151" t="str">
        <f>'CAPGDS1000000782 Input'!F9</f>
        <v>SFS - Cliff I229 Interchange</v>
      </c>
      <c r="B8" s="151"/>
      <c r="C8" s="151"/>
      <c r="D8" s="151"/>
      <c r="E8" s="151"/>
      <c r="F8" s="151"/>
      <c r="G8" s="151"/>
      <c r="H8" s="151"/>
      <c r="I8" s="151"/>
    </row>
    <row r="9" spans="1:13" x14ac:dyDescent="0.2">
      <c r="A9" s="62"/>
      <c r="B9" s="62"/>
      <c r="C9" s="62"/>
      <c r="D9" s="62"/>
      <c r="E9" s="62"/>
      <c r="F9" s="62"/>
      <c r="G9" s="62"/>
      <c r="H9" s="62"/>
      <c r="I9" s="62"/>
    </row>
    <row r="10" spans="1:13" x14ac:dyDescent="0.2">
      <c r="A10" s="50" t="str">
        <f>'CAPGDS1000000782 TotalWO'!A10</f>
        <v>PLANT IN SERVICE</v>
      </c>
      <c r="B10" s="50"/>
      <c r="C10" s="48"/>
      <c r="D10" s="48"/>
      <c r="E10" s="48"/>
      <c r="F10" s="48"/>
      <c r="G10" s="48"/>
      <c r="H10" s="48"/>
      <c r="I10" s="48"/>
    </row>
    <row r="11" spans="1:13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</row>
    <row r="13" spans="1:13" ht="12" thickBot="1" x14ac:dyDescent="0.25">
      <c r="A13" s="65" t="s">
        <v>77</v>
      </c>
      <c r="E13" s="52" t="str">
        <f>"Acct "&amp;'CAPGDS1000000782 Input'!F17</f>
        <v>Acct 2.378.03</v>
      </c>
      <c r="F13" s="52"/>
      <c r="G13" s="52"/>
      <c r="H13" s="52"/>
      <c r="I13" s="52"/>
    </row>
    <row r="14" spans="1:13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3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3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2" x14ac:dyDescent="0.2">
      <c r="A17" s="49">
        <v>1</v>
      </c>
      <c r="C17" s="56">
        <f>'CAPGDS1000000782 TotalWO'!C17</f>
        <v>45641</v>
      </c>
      <c r="D17" s="56"/>
      <c r="E17" s="117">
        <f>'CAPGDS1000000782 TotalWO'!E17*'CAPGDS1000000782 Input'!$H$16</f>
        <v>0</v>
      </c>
      <c r="F17" s="123"/>
      <c r="G17" s="117">
        <f>'CAPGDS1000000782 TotalWO'!G17*'CAPGDS1000000782 Input'!$H$17</f>
        <v>88193.036099999998</v>
      </c>
      <c r="H17" s="118"/>
      <c r="I17" s="117">
        <f t="shared" ref="I17:I29" si="0">G17-E17</f>
        <v>88193.036099999998</v>
      </c>
    </row>
    <row r="18" spans="1:12" x14ac:dyDescent="0.2">
      <c r="A18" s="49">
        <f t="shared" ref="A18:A40" si="1">1+A17</f>
        <v>2</v>
      </c>
      <c r="C18" s="56">
        <f>'CAPGDS1000000782 TotalWO'!C18</f>
        <v>45672</v>
      </c>
      <c r="D18" s="56"/>
      <c r="E18" s="78">
        <f>'CAPGDS1000000782 TotalWO'!E18*'CAPGDS1000000782 Input'!$H$16</f>
        <v>0</v>
      </c>
      <c r="F18" s="78"/>
      <c r="G18" s="78">
        <f>'CAPGDS1000000782 TotalWO'!G17*'CAPGDS1000000782 Input'!$H$17</f>
        <v>88193.036099999998</v>
      </c>
      <c r="H18" s="8"/>
      <c r="I18" s="78">
        <f t="shared" si="0"/>
        <v>88193.036099999998</v>
      </c>
      <c r="K18" s="78"/>
      <c r="L18" s="78"/>
    </row>
    <row r="19" spans="1:12" x14ac:dyDescent="0.2">
      <c r="A19" s="49">
        <f t="shared" si="1"/>
        <v>3</v>
      </c>
      <c r="C19" s="56">
        <f t="shared" ref="C19:C29" si="2">C18+31</f>
        <v>45703</v>
      </c>
      <c r="D19" s="56"/>
      <c r="E19" s="78">
        <f>'CAPGDS1000000782 TotalWO'!E19*'CAPGDS1000000782 Input'!$H$16</f>
        <v>0</v>
      </c>
      <c r="F19" s="78"/>
      <c r="G19" s="78">
        <f>'CAPGDS1000000782 TotalWO'!G18*'CAPGDS1000000782 Input'!$H$17</f>
        <v>88193.036099999998</v>
      </c>
      <c r="H19" s="8"/>
      <c r="I19" s="8">
        <f t="shared" si="0"/>
        <v>88193.036099999998</v>
      </c>
    </row>
    <row r="20" spans="1:12" x14ac:dyDescent="0.2">
      <c r="A20" s="49">
        <f t="shared" si="1"/>
        <v>4</v>
      </c>
      <c r="C20" s="56">
        <f t="shared" si="2"/>
        <v>45734</v>
      </c>
      <c r="D20" s="56"/>
      <c r="E20" s="78">
        <f>'CAPGDS1000000782 TotalWO'!E20*'CAPGDS1000000782 Input'!$H$16</f>
        <v>0</v>
      </c>
      <c r="F20" s="78"/>
      <c r="G20" s="78">
        <f>'CAPGDS1000000782 TotalWO'!G19*'CAPGDS1000000782 Input'!$H$17</f>
        <v>88193.036099999998</v>
      </c>
      <c r="H20" s="8"/>
      <c r="I20" s="8">
        <f t="shared" si="0"/>
        <v>88193.036099999998</v>
      </c>
    </row>
    <row r="21" spans="1:12" x14ac:dyDescent="0.2">
      <c r="A21" s="49">
        <f t="shared" si="1"/>
        <v>5</v>
      </c>
      <c r="C21" s="56">
        <f t="shared" si="2"/>
        <v>45765</v>
      </c>
      <c r="D21" s="56"/>
      <c r="E21" s="78">
        <f>'CAPGDS1000000782 TotalWO'!E21*'CAPGDS1000000782 Input'!$H$16</f>
        <v>0</v>
      </c>
      <c r="F21" s="78"/>
      <c r="G21" s="78">
        <f>'CAPGDS1000000782 TotalWO'!G20*'CAPGDS1000000782 Input'!$H$17</f>
        <v>88193.036099999998</v>
      </c>
      <c r="H21" s="8"/>
      <c r="I21" s="8">
        <f t="shared" si="0"/>
        <v>88193.036099999998</v>
      </c>
    </row>
    <row r="22" spans="1:12" x14ac:dyDescent="0.2">
      <c r="A22" s="49">
        <f t="shared" si="1"/>
        <v>6</v>
      </c>
      <c r="C22" s="56">
        <f t="shared" si="2"/>
        <v>45796</v>
      </c>
      <c r="D22" s="56"/>
      <c r="E22" s="78">
        <f>'CAPGDS1000000782 TotalWO'!E22*'CAPGDS1000000782 Input'!$H$16</f>
        <v>0</v>
      </c>
      <c r="F22" s="78"/>
      <c r="G22" s="78">
        <f>'CAPGDS1000000782 TotalWO'!G21*'CAPGDS1000000782 Input'!$H$17</f>
        <v>88193.036099999998</v>
      </c>
      <c r="H22" s="8"/>
      <c r="I22" s="8">
        <f t="shared" si="0"/>
        <v>88193.036099999998</v>
      </c>
    </row>
    <row r="23" spans="1:12" x14ac:dyDescent="0.2">
      <c r="A23" s="49">
        <f t="shared" si="1"/>
        <v>7</v>
      </c>
      <c r="C23" s="56">
        <f t="shared" si="2"/>
        <v>45827</v>
      </c>
      <c r="D23" s="56"/>
      <c r="E23" s="78">
        <f>'CAPGDS1000000782 TotalWO'!E23*'CAPGDS1000000782 Input'!$H$16</f>
        <v>0</v>
      </c>
      <c r="F23" s="78"/>
      <c r="G23" s="78">
        <f>'CAPGDS1000000782 TotalWO'!G22*'CAPGDS1000000782 Input'!$H$17</f>
        <v>88193.036099999998</v>
      </c>
      <c r="H23" s="8"/>
      <c r="I23" s="8">
        <f t="shared" si="0"/>
        <v>88193.036099999998</v>
      </c>
    </row>
    <row r="24" spans="1:12" x14ac:dyDescent="0.2">
      <c r="A24" s="49">
        <f t="shared" si="1"/>
        <v>8</v>
      </c>
      <c r="C24" s="56">
        <f t="shared" si="2"/>
        <v>45858</v>
      </c>
      <c r="D24" s="56"/>
      <c r="E24" s="78">
        <f>'CAPGDS1000000782 TotalWO'!E24*'CAPGDS1000000782 Input'!$H$16</f>
        <v>0</v>
      </c>
      <c r="F24" s="78"/>
      <c r="G24" s="78">
        <f>'CAPGDS1000000782 TotalWO'!G23*'CAPGDS1000000782 Input'!$H$17</f>
        <v>88193.036099999998</v>
      </c>
      <c r="H24" s="8"/>
      <c r="I24" s="8">
        <f t="shared" si="0"/>
        <v>88193.036099999998</v>
      </c>
    </row>
    <row r="25" spans="1:12" x14ac:dyDescent="0.2">
      <c r="A25" s="49">
        <f t="shared" si="1"/>
        <v>9</v>
      </c>
      <c r="C25" s="56">
        <f t="shared" si="2"/>
        <v>45889</v>
      </c>
      <c r="D25" s="56"/>
      <c r="E25" s="78">
        <f>'CAPGDS1000000782 TotalWO'!E25*'CAPGDS1000000782 Input'!$H$16</f>
        <v>0</v>
      </c>
      <c r="F25" s="78"/>
      <c r="G25" s="78">
        <f>'CAPGDS1000000782 TotalWO'!G24*'CAPGDS1000000782 Input'!$H$17</f>
        <v>88193.036099999998</v>
      </c>
      <c r="H25" s="8"/>
      <c r="I25" s="8">
        <f t="shared" si="0"/>
        <v>88193.036099999998</v>
      </c>
    </row>
    <row r="26" spans="1:12" x14ac:dyDescent="0.2">
      <c r="A26" s="49">
        <f t="shared" si="1"/>
        <v>10</v>
      </c>
      <c r="C26" s="56">
        <f t="shared" si="2"/>
        <v>45920</v>
      </c>
      <c r="D26" s="56"/>
      <c r="E26" s="78">
        <f>'CAPGDS1000000782 TotalWO'!E26*'CAPGDS1000000782 Input'!$H$16</f>
        <v>0</v>
      </c>
      <c r="F26" s="78"/>
      <c r="G26" s="78">
        <f>'CAPGDS1000000782 TotalWO'!G25*'CAPGDS1000000782 Input'!$H$17</f>
        <v>88193.036099999998</v>
      </c>
      <c r="H26" s="8"/>
      <c r="I26" s="8">
        <f t="shared" si="0"/>
        <v>88193.036099999998</v>
      </c>
    </row>
    <row r="27" spans="1:12" x14ac:dyDescent="0.2">
      <c r="A27" s="49">
        <f t="shared" si="1"/>
        <v>11</v>
      </c>
      <c r="C27" s="56">
        <f t="shared" si="2"/>
        <v>45951</v>
      </c>
      <c r="D27" s="56"/>
      <c r="E27" s="78">
        <f>'CAPGDS1000000782 TotalWO'!E27*'CAPGDS1000000782 Input'!$H$17</f>
        <v>95757.351300000009</v>
      </c>
      <c r="F27" s="78"/>
      <c r="G27" s="78">
        <f>'CAPGDS1000000782 TotalWO'!G26*'CAPGDS1000000782 Input'!$H$17</f>
        <v>88193.036099999998</v>
      </c>
      <c r="H27" s="8"/>
      <c r="I27" s="8">
        <f t="shared" si="0"/>
        <v>-7564.3152000000118</v>
      </c>
    </row>
    <row r="28" spans="1:12" x14ac:dyDescent="0.2">
      <c r="A28" s="49">
        <f t="shared" si="1"/>
        <v>12</v>
      </c>
      <c r="C28" s="56">
        <f t="shared" si="2"/>
        <v>45982</v>
      </c>
      <c r="D28" s="56"/>
      <c r="E28" s="78">
        <f>'CAPGDS1000000782 TotalWO'!E28*'CAPGDS1000000782 Input'!$H$17</f>
        <v>95757.351300000009</v>
      </c>
      <c r="F28" s="78"/>
      <c r="G28" s="78">
        <f>'CAPGDS1000000782 TotalWO'!G27*'CAPGDS1000000782 Input'!$H$17</f>
        <v>88193.036099999998</v>
      </c>
      <c r="H28" s="8"/>
      <c r="I28" s="8">
        <f t="shared" si="0"/>
        <v>-7564.3152000000118</v>
      </c>
    </row>
    <row r="29" spans="1:12" x14ac:dyDescent="0.2">
      <c r="A29" s="49">
        <f t="shared" si="1"/>
        <v>13</v>
      </c>
      <c r="C29" s="56">
        <f t="shared" si="2"/>
        <v>46013</v>
      </c>
      <c r="D29" s="56"/>
      <c r="E29" s="130">
        <f>'CAPGDS1000000782 TotalWO'!E29*'CAPGDS1000000782 Input'!$H$17</f>
        <v>85576.882299999997</v>
      </c>
      <c r="F29" s="78"/>
      <c r="G29" s="131">
        <f>'CAPGDS1000000782 TotalWO'!G28*'CAPGDS1000000782 Input'!$H$17</f>
        <v>88193.036099999998</v>
      </c>
      <c r="H29" s="8"/>
      <c r="I29" s="131">
        <f t="shared" si="0"/>
        <v>2616.1538</v>
      </c>
    </row>
    <row r="30" spans="1:12" x14ac:dyDescent="0.2">
      <c r="A30" s="49">
        <f t="shared" si="1"/>
        <v>14</v>
      </c>
      <c r="C30" s="58" t="s">
        <v>46</v>
      </c>
      <c r="D30" s="58"/>
      <c r="E30" s="118">
        <f>SUM(E17:E29)</f>
        <v>277091.58490000002</v>
      </c>
      <c r="F30" s="118"/>
      <c r="G30" s="118">
        <f>SUM(G17:G29)</f>
        <v>1146509.4693</v>
      </c>
      <c r="H30" s="118"/>
      <c r="I30" s="118">
        <f>SUM(I17:I29)</f>
        <v>869417.8844000001</v>
      </c>
    </row>
    <row r="31" spans="1:12" x14ac:dyDescent="0.2">
      <c r="A31" s="49">
        <f t="shared" si="1"/>
        <v>15</v>
      </c>
      <c r="E31" s="118"/>
      <c r="F31" s="118"/>
      <c r="G31" s="118"/>
      <c r="H31" s="118"/>
      <c r="I31" s="118"/>
    </row>
    <row r="32" spans="1:12" ht="12" thickBot="1" x14ac:dyDescent="0.25">
      <c r="A32" s="49">
        <f t="shared" si="1"/>
        <v>16</v>
      </c>
      <c r="C32" s="60" t="s">
        <v>116</v>
      </c>
      <c r="D32" s="60"/>
      <c r="E32" s="121">
        <f>ROUND(+E30/13,2)</f>
        <v>21314.74</v>
      </c>
      <c r="F32" s="118"/>
      <c r="G32" s="121">
        <f>ROUND(+G30/13,2)</f>
        <v>88193.04</v>
      </c>
      <c r="H32" s="118"/>
      <c r="I32" s="121">
        <f>ROUND(+I30/13,2)</f>
        <v>66878.3</v>
      </c>
    </row>
    <row r="33" spans="1:13" ht="12" thickTop="1" x14ac:dyDescent="0.2">
      <c r="A33" s="49">
        <f t="shared" si="1"/>
        <v>17</v>
      </c>
      <c r="E33" s="118"/>
      <c r="F33" s="118"/>
      <c r="G33" s="118"/>
      <c r="H33" s="118"/>
      <c r="I33" s="118"/>
    </row>
    <row r="34" spans="1:13" x14ac:dyDescent="0.2">
      <c r="A34" s="49">
        <f t="shared" si="1"/>
        <v>18</v>
      </c>
      <c r="E34" s="122" t="s">
        <v>9</v>
      </c>
      <c r="F34" s="122"/>
      <c r="G34" s="122" t="s">
        <v>9</v>
      </c>
      <c r="H34" s="122"/>
      <c r="I34" s="122" t="s">
        <v>9</v>
      </c>
    </row>
    <row r="35" spans="1:13" ht="12" thickBot="1" x14ac:dyDescent="0.25">
      <c r="A35" s="49">
        <f t="shared" si="1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66878.3</v>
      </c>
    </row>
    <row r="36" spans="1:13" ht="12" thickTop="1" x14ac:dyDescent="0.2">
      <c r="A36" s="49">
        <f t="shared" si="1"/>
        <v>20</v>
      </c>
    </row>
    <row r="37" spans="1:13" x14ac:dyDescent="0.2">
      <c r="A37" s="49">
        <f t="shared" si="1"/>
        <v>21</v>
      </c>
      <c r="I37" s="58" t="s">
        <v>85</v>
      </c>
    </row>
    <row r="38" spans="1:13" x14ac:dyDescent="0.2">
      <c r="A38" s="49">
        <f t="shared" si="1"/>
        <v>22</v>
      </c>
      <c r="I38" s="58" t="s">
        <v>132</v>
      </c>
    </row>
    <row r="39" spans="1:13" x14ac:dyDescent="0.2">
      <c r="A39" s="49">
        <f t="shared" si="1"/>
        <v>23</v>
      </c>
    </row>
    <row r="40" spans="1:13" x14ac:dyDescent="0.2">
      <c r="A40" s="49">
        <f t="shared" si="1"/>
        <v>24</v>
      </c>
    </row>
    <row r="41" spans="1:13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</row>
    <row r="42" spans="1:13" x14ac:dyDescent="0.2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</row>
    <row r="43" spans="1:13" x14ac:dyDescent="0.2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1:13" x14ac:dyDescent="0.2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</row>
    <row r="46" spans="1:13" x14ac:dyDescent="0.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 x14ac:dyDescent="0.2">
      <c r="A47" s="149" t="str">
        <f>A7</f>
        <v>Pro Forma Adjustment - Project In Service During Test Year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</row>
    <row r="48" spans="1:13" x14ac:dyDescent="0.2">
      <c r="A48" s="150" t="str">
        <f>A8</f>
        <v>SFS - Cliff I229 Interchange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</row>
    <row r="49" spans="1:13" x14ac:dyDescent="0.2">
      <c r="A49" s="50"/>
      <c r="B49" s="50"/>
      <c r="C49" s="48"/>
      <c r="D49" s="48"/>
      <c r="E49" s="48"/>
      <c r="F49" s="48"/>
      <c r="G49" s="48"/>
      <c r="H49" s="48"/>
      <c r="I49" s="48"/>
    </row>
    <row r="50" spans="1:13" x14ac:dyDescent="0.2">
      <c r="A50" s="50" t="s">
        <v>87</v>
      </c>
      <c r="B50" s="50"/>
      <c r="C50" s="48"/>
      <c r="D50" s="48"/>
      <c r="E50" s="48"/>
      <c r="F50" s="48"/>
      <c r="G50" s="48"/>
      <c r="H50" s="48"/>
      <c r="I50" s="48"/>
    </row>
    <row r="51" spans="1:13" x14ac:dyDescent="0.2">
      <c r="A51" s="50" t="s">
        <v>9</v>
      </c>
      <c r="B51" s="50"/>
      <c r="C51" s="48"/>
      <c r="D51" s="48"/>
      <c r="E51" s="48"/>
      <c r="F51" s="48"/>
      <c r="G51" s="48"/>
      <c r="H51" s="48"/>
      <c r="I51" s="48"/>
    </row>
    <row r="52" spans="1:13" x14ac:dyDescent="0.2">
      <c r="K52" s="55" t="s">
        <v>88</v>
      </c>
      <c r="M52" s="55" t="s">
        <v>88</v>
      </c>
    </row>
    <row r="53" spans="1:13" ht="12" thickBot="1" x14ac:dyDescent="0.25">
      <c r="A53" s="65" t="s">
        <v>77</v>
      </c>
      <c r="E53" s="52" t="str">
        <f>E13</f>
        <v>Acct 2.378.03</v>
      </c>
      <c r="F53" s="52"/>
      <c r="G53" s="52"/>
      <c r="H53" s="52"/>
      <c r="I53" s="52"/>
      <c r="K53" s="55" t="s">
        <v>89</v>
      </c>
      <c r="M53" s="55" t="s">
        <v>90</v>
      </c>
    </row>
    <row r="54" spans="1:13" ht="12" thickBot="1" x14ac:dyDescent="0.25">
      <c r="A54" s="88" t="s">
        <v>79</v>
      </c>
      <c r="B54" s="55"/>
      <c r="C54" s="53" t="s">
        <v>80</v>
      </c>
      <c r="D54" s="55"/>
      <c r="E54" s="53" t="s">
        <v>81</v>
      </c>
      <c r="F54" s="55"/>
      <c r="G54" s="53" t="s">
        <v>82</v>
      </c>
      <c r="H54" s="55"/>
      <c r="I54" s="53" t="s">
        <v>83</v>
      </c>
      <c r="K54" s="53" t="s">
        <v>91</v>
      </c>
      <c r="M54" s="53" t="s">
        <v>92</v>
      </c>
    </row>
    <row r="55" spans="1:13" x14ac:dyDescent="0.2">
      <c r="A55" s="55"/>
      <c r="B55" s="55"/>
      <c r="C55" s="39" t="s">
        <v>5</v>
      </c>
      <c r="D55" s="55"/>
      <c r="E55" s="36" t="s">
        <v>6</v>
      </c>
      <c r="F55" s="55"/>
      <c r="G55" s="36" t="s">
        <v>7</v>
      </c>
      <c r="H55" s="33"/>
      <c r="I55" s="36" t="s">
        <v>41</v>
      </c>
      <c r="K55" s="17" t="s">
        <v>42</v>
      </c>
      <c r="M55" s="55" t="s">
        <v>43</v>
      </c>
    </row>
    <row r="56" spans="1:13" x14ac:dyDescent="0.2">
      <c r="A56" s="55"/>
      <c r="B56" s="55"/>
      <c r="C56" s="55"/>
      <c r="D56" s="55"/>
      <c r="E56" s="55"/>
      <c r="F56" s="55"/>
      <c r="G56" s="55"/>
      <c r="H56" s="55"/>
      <c r="I56" s="55"/>
    </row>
    <row r="57" spans="1:13" x14ac:dyDescent="0.2">
      <c r="A57" s="49">
        <v>1</v>
      </c>
      <c r="B57" s="55"/>
      <c r="C57" s="56">
        <f>C17</f>
        <v>45641</v>
      </c>
      <c r="D57" s="56"/>
      <c r="E57" s="117">
        <f t="shared" ref="E57:E69" si="3">ROUND(E17*$G$78,2)</f>
        <v>0</v>
      </c>
      <c r="F57" s="118"/>
      <c r="G57" s="117">
        <f t="shared" ref="G57:G69" si="4">ROUND(+G17*$G$78,2)</f>
        <v>149.65</v>
      </c>
      <c r="H57" s="118"/>
      <c r="I57" s="118">
        <f>G57-E57</f>
        <v>149.65</v>
      </c>
      <c r="J57" s="118"/>
      <c r="K57" s="119"/>
      <c r="L57" s="118"/>
      <c r="M57" s="7">
        <f>+ROUND(M72/13,2)</f>
        <v>-23.83</v>
      </c>
    </row>
    <row r="58" spans="1:13" x14ac:dyDescent="0.2">
      <c r="A58" s="49">
        <f t="shared" ref="A58:A82" si="5">1+A57</f>
        <v>2</v>
      </c>
      <c r="C58" s="56">
        <v>45672</v>
      </c>
      <c r="E58" s="78">
        <f t="shared" si="3"/>
        <v>0</v>
      </c>
      <c r="F58" s="78"/>
      <c r="G58" s="78">
        <f t="shared" si="4"/>
        <v>149.65</v>
      </c>
      <c r="H58" s="8"/>
      <c r="I58" s="8">
        <f>G58-E58</f>
        <v>149.65</v>
      </c>
      <c r="J58" s="8"/>
      <c r="K58" s="8"/>
      <c r="L58" s="8"/>
      <c r="M58" s="8">
        <f>+M57</f>
        <v>-23.83</v>
      </c>
    </row>
    <row r="59" spans="1:13" x14ac:dyDescent="0.2">
      <c r="A59" s="49">
        <f t="shared" si="5"/>
        <v>3</v>
      </c>
      <c r="C59" s="56">
        <f>C58+31</f>
        <v>45703</v>
      </c>
      <c r="D59" s="56"/>
      <c r="E59" s="78">
        <f t="shared" si="3"/>
        <v>0</v>
      </c>
      <c r="F59" s="8"/>
      <c r="G59" s="78">
        <f t="shared" si="4"/>
        <v>149.65</v>
      </c>
      <c r="H59" s="8"/>
      <c r="I59" s="8">
        <f t="shared" ref="I59:I69" si="6">G59-E59</f>
        <v>149.65</v>
      </c>
      <c r="J59" s="8"/>
      <c r="K59" s="8"/>
      <c r="L59" s="8"/>
      <c r="M59" s="8">
        <f t="shared" ref="M59:M69" si="7">+M58</f>
        <v>-23.83</v>
      </c>
    </row>
    <row r="60" spans="1:13" x14ac:dyDescent="0.2">
      <c r="A60" s="49">
        <f t="shared" si="5"/>
        <v>4</v>
      </c>
      <c r="C60" s="56">
        <f t="shared" ref="C60:C69" si="8">C59+31</f>
        <v>45734</v>
      </c>
      <c r="D60" s="56"/>
      <c r="E60" s="78">
        <f t="shared" si="3"/>
        <v>0</v>
      </c>
      <c r="F60" s="78"/>
      <c r="G60" s="78">
        <f t="shared" si="4"/>
        <v>149.65</v>
      </c>
      <c r="H60" s="8"/>
      <c r="I60" s="8">
        <f t="shared" si="6"/>
        <v>149.65</v>
      </c>
      <c r="J60" s="8"/>
      <c r="K60" s="8"/>
      <c r="L60" s="8"/>
      <c r="M60" s="8">
        <f t="shared" si="7"/>
        <v>-23.83</v>
      </c>
    </row>
    <row r="61" spans="1:13" x14ac:dyDescent="0.2">
      <c r="A61" s="49">
        <f t="shared" si="5"/>
        <v>5</v>
      </c>
      <c r="C61" s="56">
        <f t="shared" si="8"/>
        <v>45765</v>
      </c>
      <c r="D61" s="56"/>
      <c r="E61" s="78">
        <f t="shared" si="3"/>
        <v>0</v>
      </c>
      <c r="F61" s="78"/>
      <c r="G61" s="78">
        <f t="shared" si="4"/>
        <v>149.65</v>
      </c>
      <c r="H61" s="8"/>
      <c r="I61" s="8">
        <f t="shared" si="6"/>
        <v>149.65</v>
      </c>
      <c r="J61" s="8"/>
      <c r="K61" s="8"/>
      <c r="L61" s="8"/>
      <c r="M61" s="8">
        <f t="shared" si="7"/>
        <v>-23.83</v>
      </c>
    </row>
    <row r="62" spans="1:13" x14ac:dyDescent="0.2">
      <c r="A62" s="49">
        <f t="shared" si="5"/>
        <v>6</v>
      </c>
      <c r="C62" s="56">
        <f t="shared" si="8"/>
        <v>45796</v>
      </c>
      <c r="D62" s="56"/>
      <c r="E62" s="78">
        <f t="shared" si="3"/>
        <v>0</v>
      </c>
      <c r="F62" s="78"/>
      <c r="G62" s="78">
        <f t="shared" si="4"/>
        <v>149.65</v>
      </c>
      <c r="H62" s="8"/>
      <c r="I62" s="8">
        <f t="shared" si="6"/>
        <v>149.65</v>
      </c>
      <c r="J62" s="8"/>
      <c r="K62" s="8"/>
      <c r="L62" s="8"/>
      <c r="M62" s="8">
        <f t="shared" si="7"/>
        <v>-23.83</v>
      </c>
    </row>
    <row r="63" spans="1:13" x14ac:dyDescent="0.2">
      <c r="A63" s="49">
        <f t="shared" si="5"/>
        <v>7</v>
      </c>
      <c r="C63" s="56">
        <f t="shared" si="8"/>
        <v>45827</v>
      </c>
      <c r="D63" s="56"/>
      <c r="E63" s="78">
        <f t="shared" si="3"/>
        <v>0</v>
      </c>
      <c r="F63" s="78"/>
      <c r="G63" s="78">
        <f t="shared" si="4"/>
        <v>149.65</v>
      </c>
      <c r="H63" s="8"/>
      <c r="I63" s="8">
        <f t="shared" si="6"/>
        <v>149.65</v>
      </c>
      <c r="J63" s="8"/>
      <c r="K63" s="8"/>
      <c r="L63" s="8"/>
      <c r="M63" s="8">
        <f t="shared" si="7"/>
        <v>-23.83</v>
      </c>
    </row>
    <row r="64" spans="1:13" x14ac:dyDescent="0.2">
      <c r="A64" s="49">
        <f t="shared" si="5"/>
        <v>8</v>
      </c>
      <c r="C64" s="56">
        <f t="shared" si="8"/>
        <v>45858</v>
      </c>
      <c r="D64" s="56"/>
      <c r="E64" s="78">
        <f t="shared" si="3"/>
        <v>0</v>
      </c>
      <c r="F64" s="78"/>
      <c r="G64" s="78">
        <f t="shared" si="4"/>
        <v>149.65</v>
      </c>
      <c r="H64" s="8"/>
      <c r="I64" s="8">
        <f t="shared" si="6"/>
        <v>149.65</v>
      </c>
      <c r="J64" s="8"/>
      <c r="K64" s="8"/>
      <c r="L64" s="8"/>
      <c r="M64" s="8">
        <f t="shared" si="7"/>
        <v>-23.83</v>
      </c>
    </row>
    <row r="65" spans="1:13" x14ac:dyDescent="0.2">
      <c r="A65" s="49">
        <f t="shared" si="5"/>
        <v>9</v>
      </c>
      <c r="C65" s="56">
        <f t="shared" si="8"/>
        <v>45889</v>
      </c>
      <c r="D65" s="56"/>
      <c r="E65" s="78">
        <f t="shared" si="3"/>
        <v>0</v>
      </c>
      <c r="F65" s="78"/>
      <c r="G65" s="78">
        <f t="shared" si="4"/>
        <v>149.65</v>
      </c>
      <c r="H65" s="8"/>
      <c r="I65" s="8">
        <f t="shared" si="6"/>
        <v>149.65</v>
      </c>
      <c r="J65" s="8"/>
      <c r="K65" s="8"/>
      <c r="L65" s="8"/>
      <c r="M65" s="8">
        <f t="shared" si="7"/>
        <v>-23.83</v>
      </c>
    </row>
    <row r="66" spans="1:13" x14ac:dyDescent="0.2">
      <c r="A66" s="49">
        <f t="shared" si="5"/>
        <v>10</v>
      </c>
      <c r="C66" s="56">
        <f t="shared" si="8"/>
        <v>45920</v>
      </c>
      <c r="D66" s="56"/>
      <c r="E66" s="78">
        <f t="shared" si="3"/>
        <v>0</v>
      </c>
      <c r="F66" s="78"/>
      <c r="G66" s="78">
        <f t="shared" si="4"/>
        <v>149.65</v>
      </c>
      <c r="H66" s="8"/>
      <c r="I66" s="8">
        <f t="shared" si="6"/>
        <v>149.65</v>
      </c>
      <c r="J66" s="8"/>
      <c r="K66" s="8"/>
      <c r="L66" s="8"/>
      <c r="M66" s="8">
        <f t="shared" si="7"/>
        <v>-23.83</v>
      </c>
    </row>
    <row r="67" spans="1:13" x14ac:dyDescent="0.2">
      <c r="A67" s="49">
        <f t="shared" si="5"/>
        <v>11</v>
      </c>
      <c r="C67" s="56">
        <f t="shared" si="8"/>
        <v>45951</v>
      </c>
      <c r="D67" s="56"/>
      <c r="E67" s="78">
        <f t="shared" si="3"/>
        <v>162.47999999999999</v>
      </c>
      <c r="F67" s="78"/>
      <c r="G67" s="78">
        <f t="shared" si="4"/>
        <v>149.65</v>
      </c>
      <c r="H67" s="8"/>
      <c r="I67" s="8">
        <f t="shared" si="6"/>
        <v>-12.829999999999984</v>
      </c>
      <c r="J67" s="8"/>
      <c r="K67" s="8"/>
      <c r="L67" s="8"/>
      <c r="M67" s="8">
        <f t="shared" si="7"/>
        <v>-23.83</v>
      </c>
    </row>
    <row r="68" spans="1:13" x14ac:dyDescent="0.2">
      <c r="A68" s="49">
        <f t="shared" si="5"/>
        <v>12</v>
      </c>
      <c r="C68" s="56">
        <f t="shared" si="8"/>
        <v>45982</v>
      </c>
      <c r="D68" s="56"/>
      <c r="E68" s="78">
        <f t="shared" si="3"/>
        <v>162.47999999999999</v>
      </c>
      <c r="F68" s="78"/>
      <c r="G68" s="78">
        <f t="shared" si="4"/>
        <v>149.65</v>
      </c>
      <c r="H68" s="8"/>
      <c r="I68" s="8">
        <f t="shared" si="6"/>
        <v>-12.829999999999984</v>
      </c>
      <c r="J68" s="8"/>
      <c r="K68" s="8"/>
      <c r="L68" s="8"/>
      <c r="M68" s="8">
        <f t="shared" si="7"/>
        <v>-23.83</v>
      </c>
    </row>
    <row r="69" spans="1:13" x14ac:dyDescent="0.2">
      <c r="A69" s="49">
        <f t="shared" si="5"/>
        <v>13</v>
      </c>
      <c r="C69" s="56">
        <f t="shared" si="8"/>
        <v>46013</v>
      </c>
      <c r="D69" s="56"/>
      <c r="E69" s="130">
        <f t="shared" si="3"/>
        <v>145.21</v>
      </c>
      <c r="F69" s="78"/>
      <c r="G69" s="130">
        <f t="shared" si="4"/>
        <v>149.65</v>
      </c>
      <c r="H69" s="8"/>
      <c r="I69" s="130">
        <f t="shared" si="6"/>
        <v>4.4399999999999977</v>
      </c>
      <c r="J69" s="8"/>
      <c r="K69" s="8"/>
      <c r="L69" s="8"/>
      <c r="M69" s="130">
        <f t="shared" si="7"/>
        <v>-23.83</v>
      </c>
    </row>
    <row r="70" spans="1:13" x14ac:dyDescent="0.2">
      <c r="A70" s="49">
        <f t="shared" si="5"/>
        <v>14</v>
      </c>
      <c r="C70" s="58" t="s">
        <v>46</v>
      </c>
      <c r="D70" s="58"/>
      <c r="E70" s="118">
        <f>SUM(E57:E69)</f>
        <v>470.16999999999996</v>
      </c>
      <c r="F70" s="118"/>
      <c r="G70" s="118">
        <f>SUM(G57:G69)</f>
        <v>1945.4500000000005</v>
      </c>
      <c r="H70" s="118"/>
      <c r="I70" s="118">
        <f>SUM(I57:I69)</f>
        <v>1475.2800000000004</v>
      </c>
      <c r="J70" s="118"/>
      <c r="K70" s="118"/>
      <c r="L70" s="118"/>
      <c r="M70" s="118">
        <f>SUM(M57:M69)</f>
        <v>-309.78999999999991</v>
      </c>
    </row>
    <row r="71" spans="1:13" x14ac:dyDescent="0.2">
      <c r="A71" s="49">
        <f t="shared" si="5"/>
        <v>15</v>
      </c>
      <c r="E71" s="122" t="s">
        <v>9</v>
      </c>
      <c r="F71" s="122"/>
      <c r="G71" s="122" t="s">
        <v>9</v>
      </c>
      <c r="H71" s="122"/>
      <c r="I71" s="122" t="s">
        <v>9</v>
      </c>
      <c r="J71" s="118"/>
      <c r="K71" s="118"/>
      <c r="L71" s="118"/>
      <c r="M71" s="118"/>
    </row>
    <row r="72" spans="1:13" ht="12" thickBot="1" x14ac:dyDescent="0.25">
      <c r="A72" s="49">
        <f t="shared" si="5"/>
        <v>16</v>
      </c>
      <c r="C72" s="58" t="s">
        <v>84</v>
      </c>
      <c r="D72" s="58"/>
      <c r="E72" s="118"/>
      <c r="F72" s="118"/>
      <c r="G72" s="118"/>
      <c r="H72" s="118"/>
      <c r="I72" s="121">
        <f>I70</f>
        <v>1475.2800000000004</v>
      </c>
      <c r="J72" s="118"/>
      <c r="K72" s="121">
        <v>0</v>
      </c>
      <c r="L72" s="118"/>
      <c r="M72" s="121">
        <f>ROUND(+(K72-I72)*M78,2)</f>
        <v>-309.81</v>
      </c>
    </row>
    <row r="73" spans="1:13" ht="12" thickTop="1" x14ac:dyDescent="0.2">
      <c r="A73" s="49">
        <f t="shared" si="5"/>
        <v>17</v>
      </c>
      <c r="E73" s="118"/>
      <c r="F73" s="118"/>
      <c r="G73" s="118"/>
      <c r="H73" s="118"/>
      <c r="I73" s="129" t="s">
        <v>85</v>
      </c>
      <c r="J73" s="118"/>
      <c r="K73" s="118"/>
      <c r="L73" s="118"/>
      <c r="M73" s="118"/>
    </row>
    <row r="74" spans="1:13" x14ac:dyDescent="0.2">
      <c r="A74" s="49">
        <f t="shared" si="5"/>
        <v>18</v>
      </c>
      <c r="I74" s="58" t="s">
        <v>133</v>
      </c>
      <c r="M74" s="55" t="s">
        <v>88</v>
      </c>
    </row>
    <row r="75" spans="1:13" x14ac:dyDescent="0.2">
      <c r="A75" s="49">
        <f t="shared" si="5"/>
        <v>19</v>
      </c>
      <c r="K75" s="55" t="s">
        <v>93</v>
      </c>
      <c r="M75" s="55" t="s">
        <v>94</v>
      </c>
    </row>
    <row r="76" spans="1:13" x14ac:dyDescent="0.2">
      <c r="A76" s="49">
        <f t="shared" si="5"/>
        <v>20</v>
      </c>
      <c r="E76" s="63" t="s">
        <v>95</v>
      </c>
      <c r="F76" s="63"/>
      <c r="G76" s="63" t="s">
        <v>96</v>
      </c>
      <c r="K76" s="55" t="s">
        <v>97</v>
      </c>
      <c r="M76" s="55" t="s">
        <v>98</v>
      </c>
    </row>
    <row r="77" spans="1:13" ht="12" thickBot="1" x14ac:dyDescent="0.25">
      <c r="A77" s="49">
        <f t="shared" si="5"/>
        <v>21</v>
      </c>
      <c r="E77" s="64" t="s">
        <v>99</v>
      </c>
      <c r="F77" s="63"/>
      <c r="G77" s="64" t="s">
        <v>99</v>
      </c>
      <c r="K77" s="64" t="s">
        <v>100</v>
      </c>
      <c r="M77" s="64" t="s">
        <v>101</v>
      </c>
    </row>
    <row r="78" spans="1:13" x14ac:dyDescent="0.2">
      <c r="A78" s="49">
        <f t="shared" si="5"/>
        <v>22</v>
      </c>
      <c r="C78" s="65" t="str">
        <f>E53</f>
        <v>Acct 2.378.03</v>
      </c>
      <c r="D78" s="65"/>
      <c r="E78" s="66">
        <f>'CAPGDS1000000782 Input'!J16</f>
        <v>2.2058823529411766E-2</v>
      </c>
      <c r="F78" s="66"/>
      <c r="G78" s="66">
        <f>E78/13</f>
        <v>1.6968325791855204E-3</v>
      </c>
      <c r="K78" s="80">
        <f>+'CAPGDS1000000782 Input'!L16</f>
        <v>3.7499999999999999E-2</v>
      </c>
      <c r="M78" s="81">
        <f>+'CAPGDS1000000782 Input'!N16</f>
        <v>0.21</v>
      </c>
    </row>
    <row r="79" spans="1:13" x14ac:dyDescent="0.2">
      <c r="A79" s="49">
        <f t="shared" si="5"/>
        <v>23</v>
      </c>
      <c r="H79" s="61"/>
      <c r="I79" s="57"/>
      <c r="K79" s="55" t="s">
        <v>102</v>
      </c>
    </row>
    <row r="80" spans="1:13" x14ac:dyDescent="0.2">
      <c r="A80" s="49">
        <f t="shared" si="5"/>
        <v>24</v>
      </c>
      <c r="H80" s="66"/>
      <c r="I80" s="57"/>
    </row>
    <row r="81" spans="1:13" x14ac:dyDescent="0.2">
      <c r="A81" s="49">
        <f t="shared" si="5"/>
        <v>25</v>
      </c>
    </row>
    <row r="82" spans="1:13" x14ac:dyDescent="0.2">
      <c r="A82" s="49">
        <f t="shared" si="5"/>
        <v>26</v>
      </c>
      <c r="H82" s="66"/>
      <c r="I82" s="57"/>
    </row>
    <row r="83" spans="1:13" x14ac:dyDescent="0.2">
      <c r="A83" s="149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</row>
    <row r="84" spans="1:13" x14ac:dyDescent="0.2">
      <c r="A84" s="149"/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</row>
    <row r="85" spans="1:13" x14ac:dyDescent="0.2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</row>
    <row r="86" spans="1:13" x14ac:dyDescent="0.2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</row>
    <row r="88" spans="1:13" x14ac:dyDescent="0.2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</row>
    <row r="89" spans="1:13" x14ac:dyDescent="0.2">
      <c r="A89" s="149" t="str">
        <f>A7</f>
        <v>Pro Forma Adjustment - Project In Service During Test Year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</row>
    <row r="90" spans="1:13" x14ac:dyDescent="0.2">
      <c r="A90" s="150" t="str">
        <f>A8</f>
        <v>SFS - Cliff I229 Interchange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</row>
    <row r="91" spans="1:13" x14ac:dyDescent="0.2">
      <c r="A91" s="50"/>
      <c r="B91" s="50"/>
      <c r="C91" s="48"/>
      <c r="D91" s="48"/>
      <c r="E91" s="48"/>
      <c r="F91" s="48"/>
      <c r="G91" s="48"/>
      <c r="H91" s="48"/>
      <c r="I91" s="48"/>
    </row>
    <row r="92" spans="1:13" x14ac:dyDescent="0.2">
      <c r="A92" s="50" t="s">
        <v>103</v>
      </c>
      <c r="B92" s="50"/>
      <c r="C92" s="48"/>
      <c r="D92" s="48"/>
      <c r="E92" s="48"/>
      <c r="F92" s="48"/>
      <c r="G92" s="48"/>
      <c r="H92" s="48"/>
      <c r="I92" s="48"/>
    </row>
    <row r="93" spans="1:13" x14ac:dyDescent="0.2">
      <c r="A93" s="50" t="s">
        <v>9</v>
      </c>
      <c r="B93" s="50"/>
      <c r="C93" s="48"/>
      <c r="D93" s="48"/>
      <c r="E93" s="48"/>
      <c r="F93" s="48"/>
      <c r="G93" s="48"/>
      <c r="H93" s="48"/>
      <c r="I93" s="48"/>
    </row>
    <row r="95" spans="1:13" ht="12" thickBot="1" x14ac:dyDescent="0.25">
      <c r="A95" s="65" t="s">
        <v>77</v>
      </c>
      <c r="E95" s="52" t="str">
        <f>E13</f>
        <v>Acct 2.378.03</v>
      </c>
      <c r="F95" s="52"/>
      <c r="G95" s="52"/>
      <c r="H95" s="52"/>
      <c r="I95" s="52"/>
      <c r="M95" s="55" t="s">
        <v>104</v>
      </c>
    </row>
    <row r="96" spans="1:13" ht="12" thickBot="1" x14ac:dyDescent="0.25">
      <c r="A96" s="88" t="s">
        <v>79</v>
      </c>
      <c r="B96" s="55"/>
      <c r="C96" s="53" t="s">
        <v>80</v>
      </c>
      <c r="D96" s="55"/>
      <c r="E96" s="53" t="s">
        <v>81</v>
      </c>
      <c r="F96" s="55"/>
      <c r="G96" s="53" t="s">
        <v>82</v>
      </c>
      <c r="H96" s="55"/>
      <c r="I96" s="53" t="s">
        <v>83</v>
      </c>
      <c r="M96" s="53" t="s">
        <v>105</v>
      </c>
    </row>
    <row r="97" spans="1:13" x14ac:dyDescent="0.2">
      <c r="A97" s="55"/>
      <c r="B97" s="55"/>
      <c r="C97" s="39" t="s">
        <v>5</v>
      </c>
      <c r="D97" s="55"/>
      <c r="E97" s="36" t="s">
        <v>6</v>
      </c>
      <c r="F97" s="55"/>
      <c r="G97" s="36" t="s">
        <v>7</v>
      </c>
      <c r="H97" s="33"/>
      <c r="I97" s="36" t="s">
        <v>41</v>
      </c>
      <c r="K97" s="17" t="s">
        <v>42</v>
      </c>
      <c r="M97" s="55" t="s">
        <v>43</v>
      </c>
    </row>
    <row r="98" spans="1:13" x14ac:dyDescent="0.2">
      <c r="A98" s="55"/>
      <c r="B98" s="55"/>
      <c r="C98" s="55"/>
      <c r="D98" s="55"/>
      <c r="E98" s="55"/>
      <c r="F98" s="55"/>
      <c r="G98" s="55"/>
      <c r="H98" s="55"/>
      <c r="I98" s="55"/>
    </row>
    <row r="99" spans="1:13" x14ac:dyDescent="0.2">
      <c r="A99" s="49">
        <v>1</v>
      </c>
      <c r="C99" s="56">
        <f>C17</f>
        <v>45641</v>
      </c>
      <c r="D99" s="56"/>
      <c r="E99" s="117">
        <f>E57</f>
        <v>0</v>
      </c>
      <c r="F99" s="118"/>
      <c r="G99" s="117">
        <f>G57</f>
        <v>149.65</v>
      </c>
      <c r="H99" s="118"/>
      <c r="I99" s="118">
        <f>G99-E99</f>
        <v>149.65</v>
      </c>
      <c r="J99" s="118"/>
      <c r="K99" s="119"/>
      <c r="L99" s="118"/>
      <c r="M99" s="7">
        <f>+M57</f>
        <v>-23.83</v>
      </c>
    </row>
    <row r="100" spans="1:13" x14ac:dyDescent="0.2">
      <c r="A100" s="49">
        <f t="shared" ref="A100:A128" si="9">1+A99</f>
        <v>2</v>
      </c>
      <c r="C100" s="56">
        <f>C18</f>
        <v>45672</v>
      </c>
      <c r="D100" s="56"/>
      <c r="E100" s="8">
        <f>E98+E57</f>
        <v>0</v>
      </c>
      <c r="F100" s="8"/>
      <c r="G100" s="8">
        <f t="shared" ref="G100:G111" si="10">G99+G58</f>
        <v>299.3</v>
      </c>
      <c r="H100" s="8"/>
      <c r="I100" s="8">
        <f t="shared" ref="I100:I111" si="11">G100-E100</f>
        <v>299.3</v>
      </c>
      <c r="J100" s="8"/>
      <c r="K100" s="8"/>
      <c r="L100" s="8"/>
      <c r="M100" s="8">
        <f t="shared" ref="M100:M111" si="12">+M99+M58</f>
        <v>-47.66</v>
      </c>
    </row>
    <row r="101" spans="1:13" x14ac:dyDescent="0.2">
      <c r="A101" s="49">
        <f t="shared" si="9"/>
        <v>3</v>
      </c>
      <c r="C101" s="56">
        <f t="shared" ref="C101:C111" si="13">C100+31</f>
        <v>45703</v>
      </c>
      <c r="D101" s="56"/>
      <c r="E101" s="8">
        <f>E99+E58</f>
        <v>0</v>
      </c>
      <c r="F101" s="8"/>
      <c r="G101" s="8">
        <f t="shared" si="10"/>
        <v>448.95000000000005</v>
      </c>
      <c r="H101" s="8"/>
      <c r="I101" s="8">
        <f t="shared" si="11"/>
        <v>448.95000000000005</v>
      </c>
      <c r="J101" s="8"/>
      <c r="K101" s="8"/>
      <c r="L101" s="8"/>
      <c r="M101" s="8">
        <f t="shared" si="12"/>
        <v>-71.489999999999995</v>
      </c>
    </row>
    <row r="102" spans="1:13" x14ac:dyDescent="0.2">
      <c r="A102" s="49">
        <f t="shared" si="9"/>
        <v>4</v>
      </c>
      <c r="C102" s="56">
        <f t="shared" si="13"/>
        <v>45734</v>
      </c>
      <c r="D102" s="56"/>
      <c r="E102" s="8">
        <f t="shared" ref="E102:E111" si="14">E101+E60</f>
        <v>0</v>
      </c>
      <c r="F102" s="8"/>
      <c r="G102" s="8">
        <f t="shared" si="10"/>
        <v>598.6</v>
      </c>
      <c r="H102" s="8"/>
      <c r="I102" s="8">
        <f t="shared" si="11"/>
        <v>598.6</v>
      </c>
      <c r="J102" s="8"/>
      <c r="K102" s="8"/>
      <c r="L102" s="8"/>
      <c r="M102" s="8">
        <f t="shared" si="12"/>
        <v>-95.32</v>
      </c>
    </row>
    <row r="103" spans="1:13" x14ac:dyDescent="0.2">
      <c r="A103" s="49">
        <f t="shared" si="9"/>
        <v>5</v>
      </c>
      <c r="C103" s="56">
        <f t="shared" si="13"/>
        <v>45765</v>
      </c>
      <c r="D103" s="56"/>
      <c r="E103" s="8">
        <f t="shared" si="14"/>
        <v>0</v>
      </c>
      <c r="F103" s="8"/>
      <c r="G103" s="8">
        <f t="shared" si="10"/>
        <v>748.25</v>
      </c>
      <c r="H103" s="8"/>
      <c r="I103" s="8">
        <f t="shared" si="11"/>
        <v>748.25</v>
      </c>
      <c r="J103" s="8"/>
      <c r="K103" s="8"/>
      <c r="L103" s="8"/>
      <c r="M103" s="8">
        <f t="shared" si="12"/>
        <v>-119.14999999999999</v>
      </c>
    </row>
    <row r="104" spans="1:13" x14ac:dyDescent="0.2">
      <c r="A104" s="49">
        <f t="shared" si="9"/>
        <v>6</v>
      </c>
      <c r="C104" s="56">
        <f t="shared" si="13"/>
        <v>45796</v>
      </c>
      <c r="D104" s="56"/>
      <c r="E104" s="8">
        <f t="shared" si="14"/>
        <v>0</v>
      </c>
      <c r="F104" s="8"/>
      <c r="G104" s="8">
        <f t="shared" si="10"/>
        <v>897.9</v>
      </c>
      <c r="H104" s="8"/>
      <c r="I104" s="8">
        <f t="shared" si="11"/>
        <v>897.9</v>
      </c>
      <c r="J104" s="8"/>
      <c r="K104" s="8"/>
      <c r="L104" s="8"/>
      <c r="M104" s="8">
        <f t="shared" si="12"/>
        <v>-142.97999999999999</v>
      </c>
    </row>
    <row r="105" spans="1:13" x14ac:dyDescent="0.2">
      <c r="A105" s="49">
        <f t="shared" si="9"/>
        <v>7</v>
      </c>
      <c r="C105" s="56">
        <f t="shared" si="13"/>
        <v>45827</v>
      </c>
      <c r="D105" s="56"/>
      <c r="E105" s="8">
        <f t="shared" si="14"/>
        <v>0</v>
      </c>
      <c r="F105" s="8"/>
      <c r="G105" s="8">
        <f t="shared" si="10"/>
        <v>1047.55</v>
      </c>
      <c r="H105" s="8"/>
      <c r="I105" s="8">
        <f t="shared" si="11"/>
        <v>1047.55</v>
      </c>
      <c r="J105" s="8"/>
      <c r="K105" s="8"/>
      <c r="L105" s="8"/>
      <c r="M105" s="8">
        <f t="shared" si="12"/>
        <v>-166.81</v>
      </c>
    </row>
    <row r="106" spans="1:13" x14ac:dyDescent="0.2">
      <c r="A106" s="49">
        <f t="shared" si="9"/>
        <v>8</v>
      </c>
      <c r="C106" s="56">
        <f t="shared" si="13"/>
        <v>45858</v>
      </c>
      <c r="D106" s="56"/>
      <c r="E106" s="8">
        <f t="shared" si="14"/>
        <v>0</v>
      </c>
      <c r="F106" s="8"/>
      <c r="G106" s="8">
        <f t="shared" si="10"/>
        <v>1197.2</v>
      </c>
      <c r="H106" s="8"/>
      <c r="I106" s="8">
        <f t="shared" si="11"/>
        <v>1197.2</v>
      </c>
      <c r="J106" s="8"/>
      <c r="K106" s="8"/>
      <c r="L106" s="8"/>
      <c r="M106" s="8">
        <f t="shared" si="12"/>
        <v>-190.64</v>
      </c>
    </row>
    <row r="107" spans="1:13" x14ac:dyDescent="0.2">
      <c r="A107" s="49">
        <f t="shared" si="9"/>
        <v>9</v>
      </c>
      <c r="C107" s="56">
        <f t="shared" si="13"/>
        <v>45889</v>
      </c>
      <c r="D107" s="56"/>
      <c r="E107" s="8">
        <f t="shared" si="14"/>
        <v>0</v>
      </c>
      <c r="F107" s="8"/>
      <c r="G107" s="8">
        <f t="shared" si="10"/>
        <v>1346.8500000000001</v>
      </c>
      <c r="H107" s="8"/>
      <c r="I107" s="8">
        <f t="shared" si="11"/>
        <v>1346.8500000000001</v>
      </c>
      <c r="J107" s="8"/>
      <c r="K107" s="8"/>
      <c r="L107" s="8"/>
      <c r="M107" s="8">
        <f t="shared" si="12"/>
        <v>-214.46999999999997</v>
      </c>
    </row>
    <row r="108" spans="1:13" x14ac:dyDescent="0.2">
      <c r="A108" s="49">
        <f t="shared" si="9"/>
        <v>10</v>
      </c>
      <c r="C108" s="56">
        <f t="shared" si="13"/>
        <v>45920</v>
      </c>
      <c r="D108" s="56"/>
      <c r="E108" s="8">
        <f t="shared" si="14"/>
        <v>0</v>
      </c>
      <c r="F108" s="8"/>
      <c r="G108" s="8">
        <f t="shared" si="10"/>
        <v>1496.5000000000002</v>
      </c>
      <c r="H108" s="8"/>
      <c r="I108" s="8">
        <f t="shared" si="11"/>
        <v>1496.5000000000002</v>
      </c>
      <c r="J108" s="8"/>
      <c r="K108" s="8"/>
      <c r="L108" s="8"/>
      <c r="M108" s="8">
        <f t="shared" si="12"/>
        <v>-238.29999999999995</v>
      </c>
    </row>
    <row r="109" spans="1:13" x14ac:dyDescent="0.2">
      <c r="A109" s="49">
        <f t="shared" si="9"/>
        <v>11</v>
      </c>
      <c r="C109" s="56">
        <f t="shared" si="13"/>
        <v>45951</v>
      </c>
      <c r="D109" s="56"/>
      <c r="E109" s="8">
        <f t="shared" si="14"/>
        <v>162.47999999999999</v>
      </c>
      <c r="F109" s="8"/>
      <c r="G109" s="8">
        <f t="shared" si="10"/>
        <v>1646.1500000000003</v>
      </c>
      <c r="H109" s="8"/>
      <c r="I109" s="8">
        <f t="shared" si="11"/>
        <v>1483.6700000000003</v>
      </c>
      <c r="J109" s="8"/>
      <c r="K109" s="8"/>
      <c r="L109" s="8"/>
      <c r="M109" s="8">
        <f t="shared" si="12"/>
        <v>-262.12999999999994</v>
      </c>
    </row>
    <row r="110" spans="1:13" x14ac:dyDescent="0.2">
      <c r="A110" s="49">
        <f t="shared" si="9"/>
        <v>12</v>
      </c>
      <c r="C110" s="56">
        <f t="shared" si="13"/>
        <v>45982</v>
      </c>
      <c r="D110" s="56"/>
      <c r="E110" s="8">
        <f t="shared" si="14"/>
        <v>324.95999999999998</v>
      </c>
      <c r="F110" s="8"/>
      <c r="G110" s="8">
        <f t="shared" si="10"/>
        <v>1795.8000000000004</v>
      </c>
      <c r="H110" s="8"/>
      <c r="I110" s="8">
        <f t="shared" si="11"/>
        <v>1470.8400000000004</v>
      </c>
      <c r="J110" s="8"/>
      <c r="K110" s="8"/>
      <c r="L110" s="8"/>
      <c r="M110" s="8">
        <f t="shared" si="12"/>
        <v>-285.95999999999992</v>
      </c>
    </row>
    <row r="111" spans="1:13" x14ac:dyDescent="0.2">
      <c r="A111" s="49">
        <f t="shared" si="9"/>
        <v>13</v>
      </c>
      <c r="C111" s="56">
        <f t="shared" si="13"/>
        <v>46013</v>
      </c>
      <c r="D111" s="56"/>
      <c r="E111" s="131">
        <f t="shared" si="14"/>
        <v>470.16999999999996</v>
      </c>
      <c r="F111" s="8"/>
      <c r="G111" s="131">
        <f t="shared" si="10"/>
        <v>1945.4500000000005</v>
      </c>
      <c r="H111" s="8"/>
      <c r="I111" s="131">
        <f t="shared" si="11"/>
        <v>1475.2800000000007</v>
      </c>
      <c r="J111" s="8"/>
      <c r="K111" s="8"/>
      <c r="L111" s="8"/>
      <c r="M111" s="131">
        <f t="shared" si="12"/>
        <v>-309.78999999999991</v>
      </c>
    </row>
    <row r="112" spans="1:13" x14ac:dyDescent="0.2">
      <c r="A112" s="49">
        <f t="shared" si="9"/>
        <v>14</v>
      </c>
      <c r="C112" s="58" t="s">
        <v>46</v>
      </c>
      <c r="D112" s="58"/>
      <c r="E112" s="118">
        <f>SUM(E99:E111)</f>
        <v>957.6099999999999</v>
      </c>
      <c r="F112" s="118"/>
      <c r="G112" s="118">
        <f>SUM(G99:G111)</f>
        <v>13618.150000000001</v>
      </c>
      <c r="H112" s="118"/>
      <c r="I112" s="118">
        <f>SUM(I99:I111)</f>
        <v>12660.54</v>
      </c>
      <c r="J112" s="118"/>
      <c r="K112" s="118"/>
      <c r="L112" s="118"/>
      <c r="M112" s="118">
        <f>SUM(M99:M111)</f>
        <v>-2168.5299999999997</v>
      </c>
    </row>
    <row r="113" spans="1:13" x14ac:dyDescent="0.2">
      <c r="A113" s="49">
        <f t="shared" si="9"/>
        <v>15</v>
      </c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1:13" ht="12" thickBot="1" x14ac:dyDescent="0.25">
      <c r="A114" s="49">
        <f t="shared" si="9"/>
        <v>16</v>
      </c>
      <c r="C114" s="67" t="s">
        <v>117</v>
      </c>
      <c r="D114" s="67"/>
      <c r="E114" s="121">
        <f>ROUND(+E112/13,2)</f>
        <v>73.66</v>
      </c>
      <c r="F114" s="118"/>
      <c r="G114" s="121">
        <f>ROUND(+G112/13,2)</f>
        <v>1047.55</v>
      </c>
      <c r="H114" s="118"/>
      <c r="I114" s="121">
        <f>ROUND(+I112/13,2)</f>
        <v>973.89</v>
      </c>
      <c r="J114" s="118"/>
      <c r="K114" s="118"/>
      <c r="L114" s="118"/>
      <c r="M114" s="121">
        <f>ROUND(+M112/13,2)</f>
        <v>-166.81</v>
      </c>
    </row>
    <row r="115" spans="1:13" ht="12" thickTop="1" x14ac:dyDescent="0.2">
      <c r="A115" s="49">
        <f t="shared" si="9"/>
        <v>17</v>
      </c>
      <c r="E115" s="122" t="s">
        <v>9</v>
      </c>
      <c r="F115" s="122"/>
      <c r="G115" s="122" t="s">
        <v>9</v>
      </c>
      <c r="H115" s="122"/>
      <c r="I115" s="122" t="s">
        <v>9</v>
      </c>
      <c r="J115" s="118"/>
      <c r="K115" s="118"/>
      <c r="L115" s="118"/>
      <c r="M115" s="118"/>
    </row>
    <row r="116" spans="1:13" x14ac:dyDescent="0.2">
      <c r="A116" s="49">
        <f t="shared" si="9"/>
        <v>18</v>
      </c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1:13" ht="12" thickBot="1" x14ac:dyDescent="0.25">
      <c r="A117" s="49">
        <f t="shared" si="9"/>
        <v>19</v>
      </c>
      <c r="C117" s="58" t="s">
        <v>84</v>
      </c>
      <c r="D117" s="58"/>
      <c r="E117" s="118"/>
      <c r="F117" s="118"/>
      <c r="G117" s="118"/>
      <c r="H117" s="118"/>
      <c r="I117" s="128">
        <f>I114</f>
        <v>973.89</v>
      </c>
      <c r="J117" s="118"/>
      <c r="K117" s="118"/>
      <c r="L117" s="118"/>
      <c r="M117" s="128">
        <f>+M114</f>
        <v>-166.81</v>
      </c>
    </row>
    <row r="118" spans="1:13" ht="12" thickTop="1" x14ac:dyDescent="0.2">
      <c r="A118" s="49">
        <f t="shared" si="9"/>
        <v>20</v>
      </c>
      <c r="E118" s="57"/>
      <c r="F118" s="57"/>
      <c r="G118" s="57"/>
      <c r="H118" s="57"/>
      <c r="I118" s="58" t="s">
        <v>85</v>
      </c>
      <c r="M118" s="58" t="s">
        <v>85</v>
      </c>
    </row>
    <row r="119" spans="1:13" x14ac:dyDescent="0.2">
      <c r="A119" s="49">
        <f t="shared" si="9"/>
        <v>21</v>
      </c>
      <c r="I119" s="58" t="s">
        <v>134</v>
      </c>
      <c r="M119" s="58" t="s">
        <v>135</v>
      </c>
    </row>
    <row r="120" spans="1:13" x14ac:dyDescent="0.2">
      <c r="A120" s="49">
        <f t="shared" si="9"/>
        <v>22</v>
      </c>
    </row>
    <row r="121" spans="1:13" x14ac:dyDescent="0.2">
      <c r="A121" s="49">
        <f t="shared" si="9"/>
        <v>23</v>
      </c>
      <c r="E121" s="63" t="s">
        <v>95</v>
      </c>
      <c r="F121" s="63"/>
      <c r="G121" s="63" t="s">
        <v>96</v>
      </c>
    </row>
    <row r="122" spans="1:13" ht="12" thickBot="1" x14ac:dyDescent="0.25">
      <c r="A122" s="49">
        <f t="shared" si="9"/>
        <v>24</v>
      </c>
      <c r="E122" s="64" t="s">
        <v>99</v>
      </c>
      <c r="F122" s="63"/>
      <c r="G122" s="64" t="s">
        <v>99</v>
      </c>
    </row>
    <row r="123" spans="1:13" x14ac:dyDescent="0.2">
      <c r="A123" s="49">
        <f t="shared" si="9"/>
        <v>25</v>
      </c>
      <c r="C123" s="65" t="str">
        <f>C78</f>
        <v>Acct 2.378.03</v>
      </c>
      <c r="D123" s="65"/>
      <c r="E123" s="68">
        <f>E78</f>
        <v>2.2058823529411766E-2</v>
      </c>
      <c r="F123" s="68"/>
      <c r="G123" s="68">
        <f>G78</f>
        <v>1.6968325791855204E-3</v>
      </c>
    </row>
    <row r="124" spans="1:13" x14ac:dyDescent="0.2">
      <c r="A124" s="49">
        <f t="shared" si="9"/>
        <v>26</v>
      </c>
      <c r="E124" s="57"/>
      <c r="F124" s="57"/>
      <c r="G124" s="57"/>
      <c r="H124" s="57"/>
      <c r="I124" s="57"/>
    </row>
    <row r="125" spans="1:13" x14ac:dyDescent="0.2">
      <c r="A125" s="49">
        <f t="shared" si="9"/>
        <v>27</v>
      </c>
      <c r="H125" s="57"/>
      <c r="I125" s="57"/>
    </row>
    <row r="126" spans="1:13" x14ac:dyDescent="0.2">
      <c r="A126" s="49">
        <f t="shared" si="9"/>
        <v>28</v>
      </c>
    </row>
    <row r="127" spans="1:13" x14ac:dyDescent="0.2">
      <c r="A127" s="49">
        <f t="shared" si="9"/>
        <v>29</v>
      </c>
    </row>
    <row r="128" spans="1:13" x14ac:dyDescent="0.2">
      <c r="A128" s="49">
        <f t="shared" si="9"/>
        <v>30</v>
      </c>
    </row>
  </sheetData>
  <mergeCells count="14">
    <mergeCell ref="A89:M89"/>
    <mergeCell ref="A90:M90"/>
    <mergeCell ref="A46:M46"/>
    <mergeCell ref="A47:M47"/>
    <mergeCell ref="A48:M48"/>
    <mergeCell ref="A83:M83"/>
    <mergeCell ref="A84:M84"/>
    <mergeCell ref="A88:M88"/>
    <mergeCell ref="A44:M44"/>
    <mergeCell ref="A1:I1"/>
    <mergeCell ref="A2:I2"/>
    <mergeCell ref="A7:I7"/>
    <mergeCell ref="A8:I8"/>
    <mergeCell ref="A41:M41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737C-195F-4458-BC6A-C65DCEADB8A2}">
  <dimension ref="A1:M128"/>
  <sheetViews>
    <sheetView view="pageLayout" zoomScaleNormal="100" workbookViewId="0">
      <selection sqref="A1:I1"/>
    </sheetView>
  </sheetViews>
  <sheetFormatPr defaultColWidth="10.28515625" defaultRowHeight="11.25" x14ac:dyDescent="0.2"/>
  <cols>
    <col min="1" max="1" width="4.85546875" style="49" customWidth="1"/>
    <col min="2" max="2" width="1" style="49" customWidth="1"/>
    <col min="3" max="3" width="11.85546875" style="49" customWidth="1"/>
    <col min="4" max="4" width="1" style="49" customWidth="1"/>
    <col min="5" max="5" width="15" style="49" customWidth="1"/>
    <col min="6" max="6" width="1" style="49" customWidth="1"/>
    <col min="7" max="7" width="15" style="49" customWidth="1"/>
    <col min="8" max="8" width="1" style="49" customWidth="1"/>
    <col min="9" max="9" width="12.42578125" style="49" customWidth="1"/>
    <col min="10" max="10" width="1.85546875" style="49" customWidth="1"/>
    <col min="11" max="11" width="11" style="49" customWidth="1"/>
    <col min="12" max="12" width="1.140625" style="49" customWidth="1"/>
    <col min="13" max="13" width="13.140625" style="49" customWidth="1"/>
    <col min="14" max="16384" width="10.28515625" style="49"/>
  </cols>
  <sheetData>
    <row r="1" spans="1:13" x14ac:dyDescent="0.2">
      <c r="A1" s="149"/>
      <c r="B1" s="149"/>
      <c r="C1" s="149"/>
      <c r="D1" s="149"/>
      <c r="E1" s="149"/>
      <c r="F1" s="149"/>
      <c r="G1" s="149"/>
      <c r="H1" s="149"/>
      <c r="I1" s="149"/>
      <c r="J1" s="83"/>
      <c r="K1" s="83"/>
      <c r="L1" s="83"/>
      <c r="M1" s="83"/>
    </row>
    <row r="2" spans="1:13" x14ac:dyDescent="0.2">
      <c r="A2" s="137"/>
      <c r="B2" s="137"/>
      <c r="C2" s="137"/>
      <c r="D2" s="137"/>
      <c r="E2" s="137"/>
      <c r="F2" s="137"/>
      <c r="G2" s="137"/>
      <c r="H2" s="137"/>
      <c r="I2" s="137"/>
      <c r="J2" s="83"/>
      <c r="K2" s="83"/>
      <c r="L2" s="83"/>
      <c r="M2" s="83"/>
    </row>
    <row r="3" spans="1:13" x14ac:dyDescent="0.2">
      <c r="A3" s="137"/>
      <c r="B3" s="137"/>
      <c r="C3" s="137"/>
      <c r="D3" s="137"/>
      <c r="E3" s="137"/>
      <c r="F3" s="137"/>
      <c r="G3" s="137"/>
      <c r="H3" s="137"/>
      <c r="I3" s="137"/>
      <c r="J3" s="83"/>
      <c r="K3" s="83"/>
      <c r="L3" s="83"/>
      <c r="M3" s="83"/>
    </row>
    <row r="4" spans="1:13" x14ac:dyDescent="0.2">
      <c r="A4" s="149"/>
      <c r="B4" s="149"/>
      <c r="C4" s="149"/>
      <c r="D4" s="149"/>
      <c r="E4" s="149"/>
      <c r="F4" s="149"/>
      <c r="G4" s="149"/>
      <c r="H4" s="149"/>
      <c r="I4" s="149"/>
    </row>
    <row r="6" spans="1:13" x14ac:dyDescent="0.2">
      <c r="A6" s="46"/>
      <c r="B6" s="46"/>
      <c r="C6" s="47"/>
      <c r="D6" s="47"/>
      <c r="E6" s="47"/>
      <c r="F6" s="47"/>
      <c r="G6" s="47"/>
      <c r="H6" s="47"/>
      <c r="I6" s="47"/>
    </row>
    <row r="7" spans="1:13" x14ac:dyDescent="0.2">
      <c r="A7" s="149" t="str">
        <f>'CAPGDS1000000782 Input'!A7:J7</f>
        <v>Pro Forma Adjustment - Project In Service During Test Year</v>
      </c>
      <c r="B7" s="149"/>
      <c r="C7" s="149"/>
      <c r="D7" s="149"/>
      <c r="E7" s="149"/>
      <c r="F7" s="149"/>
      <c r="G7" s="149"/>
      <c r="H7" s="149"/>
      <c r="I7" s="149"/>
    </row>
    <row r="8" spans="1:13" x14ac:dyDescent="0.2">
      <c r="A8" s="151" t="str">
        <f>'CAPGDS1000000782 Input'!F9</f>
        <v>SFS - Cliff I229 Interchange</v>
      </c>
      <c r="B8" s="151"/>
      <c r="C8" s="151"/>
      <c r="D8" s="151"/>
      <c r="E8" s="151"/>
      <c r="F8" s="151"/>
      <c r="G8" s="151"/>
      <c r="H8" s="151"/>
      <c r="I8" s="151"/>
    </row>
    <row r="9" spans="1:13" x14ac:dyDescent="0.2">
      <c r="A9" s="62"/>
      <c r="B9" s="62"/>
      <c r="C9" s="62"/>
      <c r="D9" s="62"/>
      <c r="E9" s="62"/>
      <c r="F9" s="62"/>
      <c r="G9" s="62"/>
      <c r="H9" s="62"/>
      <c r="I9" s="62"/>
    </row>
    <row r="10" spans="1:13" x14ac:dyDescent="0.2">
      <c r="A10" s="50" t="str">
        <f>'CAPGDS1000000782 TotalWO'!A10</f>
        <v>PLANT IN SERVICE</v>
      </c>
      <c r="B10" s="50"/>
      <c r="C10" s="48"/>
      <c r="D10" s="48"/>
      <c r="E10" s="48"/>
      <c r="F10" s="48"/>
      <c r="G10" s="48"/>
      <c r="H10" s="48"/>
      <c r="I10" s="48"/>
    </row>
    <row r="11" spans="1:13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</row>
    <row r="13" spans="1:13" ht="12" thickBot="1" x14ac:dyDescent="0.25">
      <c r="A13" s="65" t="s">
        <v>77</v>
      </c>
      <c r="E13" s="52" t="str">
        <f>"Acct "&amp;'CAPGDS1000000782 Input'!F18</f>
        <v>Acct 2.380.00</v>
      </c>
      <c r="F13" s="52"/>
      <c r="G13" s="52"/>
      <c r="H13" s="52"/>
      <c r="I13" s="52"/>
    </row>
    <row r="14" spans="1:13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3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3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2" x14ac:dyDescent="0.2">
      <c r="A17" s="49">
        <v>1</v>
      </c>
      <c r="C17" s="56">
        <f>'CAPGDS1000000782 TotalWO'!C17</f>
        <v>45641</v>
      </c>
      <c r="D17" s="56"/>
      <c r="E17" s="117">
        <f>'CAPGDS1000000782 TotalWO'!E17*'CAPGDS1000000782 Input'!$H$16</f>
        <v>0</v>
      </c>
      <c r="F17" s="123"/>
      <c r="G17" s="117">
        <f>'CAPGDS1000000782 TotalWO'!G17*'CAPGDS1000000782 Input'!$H$18</f>
        <v>13568.1594</v>
      </c>
      <c r="H17" s="118"/>
      <c r="I17" s="117">
        <f t="shared" ref="I17:I29" si="0">G17-E17</f>
        <v>13568.1594</v>
      </c>
    </row>
    <row r="18" spans="1:12" x14ac:dyDescent="0.2">
      <c r="A18" s="49">
        <f t="shared" ref="A18:A40" si="1">1+A17</f>
        <v>2</v>
      </c>
      <c r="C18" s="56">
        <f>'CAPGDS1000000782 TotalWO'!C18</f>
        <v>45672</v>
      </c>
      <c r="D18" s="56"/>
      <c r="E18" s="78">
        <f>'CAPGDS1000000782 TotalWO'!E18*'CAPGDS1000000782 Input'!$H$16</f>
        <v>0</v>
      </c>
      <c r="F18" s="78"/>
      <c r="G18" s="78">
        <f>'CAPGDS1000000782 TotalWO'!G17*'CAPGDS1000000782 Input'!$H$18</f>
        <v>13568.1594</v>
      </c>
      <c r="H18" s="8"/>
      <c r="I18" s="78">
        <f t="shared" si="0"/>
        <v>13568.1594</v>
      </c>
      <c r="K18" s="78"/>
      <c r="L18" s="78"/>
    </row>
    <row r="19" spans="1:12" x14ac:dyDescent="0.2">
      <c r="A19" s="49">
        <f t="shared" si="1"/>
        <v>3</v>
      </c>
      <c r="C19" s="56">
        <f t="shared" ref="C19:C29" si="2">C18+31</f>
        <v>45703</v>
      </c>
      <c r="D19" s="56"/>
      <c r="E19" s="78">
        <f>'CAPGDS1000000782 TotalWO'!E19*'CAPGDS1000000782 Input'!$H$16</f>
        <v>0</v>
      </c>
      <c r="F19" s="78"/>
      <c r="G19" s="78">
        <f>'CAPGDS1000000782 TotalWO'!G18*'CAPGDS1000000782 Input'!$H$18</f>
        <v>13568.1594</v>
      </c>
      <c r="H19" s="8"/>
      <c r="I19" s="8">
        <f t="shared" si="0"/>
        <v>13568.1594</v>
      </c>
    </row>
    <row r="20" spans="1:12" x14ac:dyDescent="0.2">
      <c r="A20" s="49">
        <f t="shared" si="1"/>
        <v>4</v>
      </c>
      <c r="C20" s="56">
        <f t="shared" si="2"/>
        <v>45734</v>
      </c>
      <c r="D20" s="56"/>
      <c r="E20" s="78">
        <f>'CAPGDS1000000782 TotalWO'!E20*'CAPGDS1000000782 Input'!$H$16</f>
        <v>0</v>
      </c>
      <c r="F20" s="78"/>
      <c r="G20" s="78">
        <f>'CAPGDS1000000782 TotalWO'!G19*'CAPGDS1000000782 Input'!$H$18</f>
        <v>13568.1594</v>
      </c>
      <c r="H20" s="8"/>
      <c r="I20" s="8">
        <f t="shared" si="0"/>
        <v>13568.1594</v>
      </c>
    </row>
    <row r="21" spans="1:12" x14ac:dyDescent="0.2">
      <c r="A21" s="49">
        <f t="shared" si="1"/>
        <v>5</v>
      </c>
      <c r="C21" s="56">
        <f t="shared" si="2"/>
        <v>45765</v>
      </c>
      <c r="D21" s="56"/>
      <c r="E21" s="78">
        <f>'CAPGDS1000000782 TotalWO'!E21*'CAPGDS1000000782 Input'!$H$16</f>
        <v>0</v>
      </c>
      <c r="F21" s="78"/>
      <c r="G21" s="78">
        <f>'CAPGDS1000000782 TotalWO'!G20*'CAPGDS1000000782 Input'!$H$18</f>
        <v>13568.1594</v>
      </c>
      <c r="H21" s="8"/>
      <c r="I21" s="8">
        <f t="shared" si="0"/>
        <v>13568.1594</v>
      </c>
    </row>
    <row r="22" spans="1:12" x14ac:dyDescent="0.2">
      <c r="A22" s="49">
        <f t="shared" si="1"/>
        <v>6</v>
      </c>
      <c r="C22" s="56">
        <f t="shared" si="2"/>
        <v>45796</v>
      </c>
      <c r="D22" s="56"/>
      <c r="E22" s="78">
        <f>'CAPGDS1000000782 TotalWO'!E22*'CAPGDS1000000782 Input'!$H$16</f>
        <v>0</v>
      </c>
      <c r="F22" s="78"/>
      <c r="G22" s="78">
        <f>'CAPGDS1000000782 TotalWO'!G21*'CAPGDS1000000782 Input'!$H$18</f>
        <v>13568.1594</v>
      </c>
      <c r="H22" s="8"/>
      <c r="I22" s="8">
        <f t="shared" si="0"/>
        <v>13568.1594</v>
      </c>
    </row>
    <row r="23" spans="1:12" x14ac:dyDescent="0.2">
      <c r="A23" s="49">
        <f t="shared" si="1"/>
        <v>7</v>
      </c>
      <c r="C23" s="56">
        <f t="shared" si="2"/>
        <v>45827</v>
      </c>
      <c r="D23" s="56"/>
      <c r="E23" s="78">
        <f>'CAPGDS1000000782 TotalWO'!E23*'CAPGDS1000000782 Input'!$H$16</f>
        <v>0</v>
      </c>
      <c r="F23" s="78"/>
      <c r="G23" s="78">
        <f>'CAPGDS1000000782 TotalWO'!G22*'CAPGDS1000000782 Input'!$H$18</f>
        <v>13568.1594</v>
      </c>
      <c r="H23" s="8"/>
      <c r="I23" s="8">
        <f t="shared" si="0"/>
        <v>13568.1594</v>
      </c>
    </row>
    <row r="24" spans="1:12" x14ac:dyDescent="0.2">
      <c r="A24" s="49">
        <f t="shared" si="1"/>
        <v>8</v>
      </c>
      <c r="C24" s="56">
        <f t="shared" si="2"/>
        <v>45858</v>
      </c>
      <c r="D24" s="56"/>
      <c r="E24" s="78">
        <f>'CAPGDS1000000782 TotalWO'!E24*'CAPGDS1000000782 Input'!$H$16</f>
        <v>0</v>
      </c>
      <c r="F24" s="78"/>
      <c r="G24" s="78">
        <f>'CAPGDS1000000782 TotalWO'!G23*'CAPGDS1000000782 Input'!$H$18</f>
        <v>13568.1594</v>
      </c>
      <c r="H24" s="8"/>
      <c r="I24" s="8">
        <f t="shared" si="0"/>
        <v>13568.1594</v>
      </c>
    </row>
    <row r="25" spans="1:12" x14ac:dyDescent="0.2">
      <c r="A25" s="49">
        <f t="shared" si="1"/>
        <v>9</v>
      </c>
      <c r="C25" s="56">
        <f t="shared" si="2"/>
        <v>45889</v>
      </c>
      <c r="D25" s="56"/>
      <c r="E25" s="78">
        <f>'CAPGDS1000000782 TotalWO'!E25*'CAPGDS1000000782 Input'!$H$16</f>
        <v>0</v>
      </c>
      <c r="F25" s="78"/>
      <c r="G25" s="78">
        <f>'CAPGDS1000000782 TotalWO'!G24*'CAPGDS1000000782 Input'!$H$18</f>
        <v>13568.1594</v>
      </c>
      <c r="H25" s="8"/>
      <c r="I25" s="8">
        <f t="shared" si="0"/>
        <v>13568.1594</v>
      </c>
    </row>
    <row r="26" spans="1:12" x14ac:dyDescent="0.2">
      <c r="A26" s="49">
        <f t="shared" si="1"/>
        <v>10</v>
      </c>
      <c r="C26" s="56">
        <f t="shared" si="2"/>
        <v>45920</v>
      </c>
      <c r="D26" s="56"/>
      <c r="E26" s="78">
        <f>'CAPGDS1000000782 TotalWO'!E26*'CAPGDS1000000782 Input'!$H$16</f>
        <v>0</v>
      </c>
      <c r="F26" s="78"/>
      <c r="G26" s="78">
        <f>'CAPGDS1000000782 TotalWO'!G25*'CAPGDS1000000782 Input'!$H$18</f>
        <v>13568.1594</v>
      </c>
      <c r="H26" s="8"/>
      <c r="I26" s="8">
        <f t="shared" si="0"/>
        <v>13568.1594</v>
      </c>
    </row>
    <row r="27" spans="1:12" x14ac:dyDescent="0.2">
      <c r="A27" s="49">
        <f t="shared" si="1"/>
        <v>11</v>
      </c>
      <c r="C27" s="56">
        <f t="shared" si="2"/>
        <v>45951</v>
      </c>
      <c r="D27" s="56"/>
      <c r="E27" s="78">
        <f>'CAPGDS1000000782 TotalWO'!E27*'CAPGDS1000000782 Input'!$H$18</f>
        <v>14731.9002</v>
      </c>
      <c r="F27" s="78"/>
      <c r="G27" s="78">
        <f>'CAPGDS1000000782 TotalWO'!G26*'CAPGDS1000000782 Input'!$H$18</f>
        <v>13568.1594</v>
      </c>
      <c r="H27" s="8"/>
      <c r="I27" s="8">
        <f t="shared" si="0"/>
        <v>-1163.7407999999996</v>
      </c>
    </row>
    <row r="28" spans="1:12" x14ac:dyDescent="0.2">
      <c r="A28" s="49">
        <f t="shared" si="1"/>
        <v>12</v>
      </c>
      <c r="C28" s="56">
        <f t="shared" si="2"/>
        <v>45982</v>
      </c>
      <c r="D28" s="56"/>
      <c r="E28" s="78">
        <f>'CAPGDS1000000782 TotalWO'!E28*'CAPGDS1000000782 Input'!$H$18</f>
        <v>14731.9002</v>
      </c>
      <c r="F28" s="78"/>
      <c r="G28" s="78">
        <f>'CAPGDS1000000782 TotalWO'!G27*'CAPGDS1000000782 Input'!$H$18</f>
        <v>13568.1594</v>
      </c>
      <c r="H28" s="8"/>
      <c r="I28" s="8">
        <f t="shared" si="0"/>
        <v>-1163.7407999999996</v>
      </c>
    </row>
    <row r="29" spans="1:12" x14ac:dyDescent="0.2">
      <c r="A29" s="49">
        <f t="shared" si="1"/>
        <v>13</v>
      </c>
      <c r="C29" s="56">
        <f t="shared" si="2"/>
        <v>46013</v>
      </c>
      <c r="D29" s="56"/>
      <c r="E29" s="130">
        <f>'CAPGDS1000000782 TotalWO'!E29*'CAPGDS1000000782 Input'!$H$18</f>
        <v>13165.674199999999</v>
      </c>
      <c r="F29" s="78"/>
      <c r="G29" s="131">
        <f>'CAPGDS1000000782 TotalWO'!G28*'CAPGDS1000000782 Input'!$H$18</f>
        <v>13568.1594</v>
      </c>
      <c r="H29" s="8"/>
      <c r="I29" s="131">
        <f t="shared" si="0"/>
        <v>402.48520000000099</v>
      </c>
    </row>
    <row r="30" spans="1:12" x14ac:dyDescent="0.2">
      <c r="A30" s="49">
        <f t="shared" si="1"/>
        <v>14</v>
      </c>
      <c r="C30" s="58" t="s">
        <v>46</v>
      </c>
      <c r="D30" s="58"/>
      <c r="E30" s="118">
        <f>SUM(E17:E29)</f>
        <v>42629.474600000001</v>
      </c>
      <c r="F30" s="118"/>
      <c r="G30" s="118">
        <f>SUM(G17:G29)</f>
        <v>176386.07220000002</v>
      </c>
      <c r="H30" s="118"/>
      <c r="I30" s="118">
        <f>SUM(I17:I29)</f>
        <v>133756.59760000001</v>
      </c>
    </row>
    <row r="31" spans="1:12" x14ac:dyDescent="0.2">
      <c r="A31" s="49">
        <f t="shared" si="1"/>
        <v>15</v>
      </c>
      <c r="E31" s="118"/>
      <c r="F31" s="118"/>
      <c r="G31" s="118"/>
      <c r="H31" s="118"/>
      <c r="I31" s="118"/>
    </row>
    <row r="32" spans="1:12" ht="12" thickBot="1" x14ac:dyDescent="0.25">
      <c r="A32" s="49">
        <f t="shared" si="1"/>
        <v>16</v>
      </c>
      <c r="C32" s="60" t="s">
        <v>116</v>
      </c>
      <c r="D32" s="60"/>
      <c r="E32" s="121">
        <f>ROUND(+E30/13,2)</f>
        <v>3279.19</v>
      </c>
      <c r="F32" s="118"/>
      <c r="G32" s="121">
        <f>ROUND(+G30/13,2)</f>
        <v>13568.16</v>
      </c>
      <c r="H32" s="118"/>
      <c r="I32" s="121">
        <f>ROUND(+I30/13,2)</f>
        <v>10288.969999999999</v>
      </c>
    </row>
    <row r="33" spans="1:13" ht="12" thickTop="1" x14ac:dyDescent="0.2">
      <c r="A33" s="49">
        <f t="shared" si="1"/>
        <v>17</v>
      </c>
      <c r="E33" s="118"/>
      <c r="F33" s="118"/>
      <c r="G33" s="118"/>
      <c r="H33" s="118"/>
      <c r="I33" s="118"/>
    </row>
    <row r="34" spans="1:13" x14ac:dyDescent="0.2">
      <c r="A34" s="49">
        <f t="shared" si="1"/>
        <v>18</v>
      </c>
      <c r="E34" s="122" t="s">
        <v>9</v>
      </c>
      <c r="F34" s="122"/>
      <c r="G34" s="122" t="s">
        <v>9</v>
      </c>
      <c r="H34" s="122"/>
      <c r="I34" s="122" t="s">
        <v>9</v>
      </c>
    </row>
    <row r="35" spans="1:13" ht="12" thickBot="1" x14ac:dyDescent="0.25">
      <c r="A35" s="49">
        <f t="shared" si="1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10288.969999999999</v>
      </c>
    </row>
    <row r="36" spans="1:13" ht="12" thickTop="1" x14ac:dyDescent="0.2">
      <c r="A36" s="49">
        <f t="shared" si="1"/>
        <v>20</v>
      </c>
    </row>
    <row r="37" spans="1:13" x14ac:dyDescent="0.2">
      <c r="A37" s="49">
        <f t="shared" si="1"/>
        <v>21</v>
      </c>
      <c r="I37" s="58" t="s">
        <v>85</v>
      </c>
    </row>
    <row r="38" spans="1:13" x14ac:dyDescent="0.2">
      <c r="A38" s="49">
        <f t="shared" si="1"/>
        <v>22</v>
      </c>
      <c r="I38" s="58" t="s">
        <v>132</v>
      </c>
    </row>
    <row r="39" spans="1:13" x14ac:dyDescent="0.2">
      <c r="A39" s="49">
        <f t="shared" si="1"/>
        <v>23</v>
      </c>
    </row>
    <row r="40" spans="1:13" x14ac:dyDescent="0.2">
      <c r="A40" s="49">
        <f t="shared" si="1"/>
        <v>24</v>
      </c>
    </row>
    <row r="41" spans="1:13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</row>
    <row r="42" spans="1:13" x14ac:dyDescent="0.2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</row>
    <row r="43" spans="1:13" x14ac:dyDescent="0.2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1:13" x14ac:dyDescent="0.2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</row>
    <row r="46" spans="1:13" x14ac:dyDescent="0.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 x14ac:dyDescent="0.2">
      <c r="A47" s="149" t="str">
        <f>A7</f>
        <v>Pro Forma Adjustment - Project In Service During Test Year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</row>
    <row r="48" spans="1:13" x14ac:dyDescent="0.2">
      <c r="A48" s="150" t="str">
        <f>A8</f>
        <v>SFS - Cliff I229 Interchange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</row>
    <row r="49" spans="1:13" x14ac:dyDescent="0.2">
      <c r="A49" s="50"/>
      <c r="B49" s="50"/>
      <c r="C49" s="48"/>
      <c r="D49" s="48"/>
      <c r="E49" s="48"/>
      <c r="F49" s="48"/>
      <c r="G49" s="48"/>
      <c r="H49" s="48"/>
      <c r="I49" s="48"/>
    </row>
    <row r="50" spans="1:13" x14ac:dyDescent="0.2">
      <c r="A50" s="50" t="s">
        <v>87</v>
      </c>
      <c r="B50" s="50"/>
      <c r="C50" s="48"/>
      <c r="D50" s="48"/>
      <c r="E50" s="48"/>
      <c r="F50" s="48"/>
      <c r="G50" s="48"/>
      <c r="H50" s="48"/>
      <c r="I50" s="48"/>
    </row>
    <row r="51" spans="1:13" x14ac:dyDescent="0.2">
      <c r="A51" s="50" t="s">
        <v>9</v>
      </c>
      <c r="B51" s="50"/>
      <c r="C51" s="48"/>
      <c r="D51" s="48"/>
      <c r="E51" s="48"/>
      <c r="F51" s="48"/>
      <c r="G51" s="48"/>
      <c r="H51" s="48"/>
      <c r="I51" s="48"/>
    </row>
    <row r="52" spans="1:13" x14ac:dyDescent="0.2">
      <c r="K52" s="55" t="s">
        <v>88</v>
      </c>
      <c r="M52" s="55" t="s">
        <v>88</v>
      </c>
    </row>
    <row r="53" spans="1:13" ht="12" thickBot="1" x14ac:dyDescent="0.25">
      <c r="A53" s="65" t="s">
        <v>77</v>
      </c>
      <c r="E53" s="52" t="str">
        <f>E13</f>
        <v>Acct 2.380.00</v>
      </c>
      <c r="F53" s="52"/>
      <c r="G53" s="52"/>
      <c r="H53" s="52"/>
      <c r="I53" s="52"/>
      <c r="K53" s="55" t="s">
        <v>89</v>
      </c>
      <c r="M53" s="55" t="s">
        <v>90</v>
      </c>
    </row>
    <row r="54" spans="1:13" ht="12" thickBot="1" x14ac:dyDescent="0.25">
      <c r="A54" s="88" t="s">
        <v>79</v>
      </c>
      <c r="B54" s="55"/>
      <c r="C54" s="53" t="s">
        <v>80</v>
      </c>
      <c r="D54" s="55"/>
      <c r="E54" s="53" t="s">
        <v>81</v>
      </c>
      <c r="F54" s="55"/>
      <c r="G54" s="53" t="s">
        <v>82</v>
      </c>
      <c r="H54" s="55"/>
      <c r="I54" s="53" t="s">
        <v>83</v>
      </c>
      <c r="K54" s="53" t="s">
        <v>91</v>
      </c>
      <c r="M54" s="53" t="s">
        <v>92</v>
      </c>
    </row>
    <row r="55" spans="1:13" x14ac:dyDescent="0.2">
      <c r="A55" s="55"/>
      <c r="B55" s="55"/>
      <c r="C55" s="39" t="s">
        <v>5</v>
      </c>
      <c r="D55" s="55"/>
      <c r="E55" s="36" t="s">
        <v>6</v>
      </c>
      <c r="F55" s="55"/>
      <c r="G55" s="36" t="s">
        <v>7</v>
      </c>
      <c r="H55" s="33"/>
      <c r="I55" s="36" t="s">
        <v>41</v>
      </c>
      <c r="K55" s="17" t="s">
        <v>42</v>
      </c>
      <c r="M55" s="55" t="s">
        <v>43</v>
      </c>
    </row>
    <row r="56" spans="1:13" x14ac:dyDescent="0.2">
      <c r="A56" s="55"/>
      <c r="B56" s="55"/>
      <c r="C56" s="55"/>
      <c r="D56" s="55"/>
      <c r="E56" s="55"/>
      <c r="F56" s="55"/>
      <c r="G56" s="55"/>
      <c r="H56" s="55"/>
      <c r="I56" s="55"/>
    </row>
    <row r="57" spans="1:13" x14ac:dyDescent="0.2">
      <c r="A57" s="49">
        <v>1</v>
      </c>
      <c r="B57" s="55"/>
      <c r="C57" s="56">
        <f>C17</f>
        <v>45641</v>
      </c>
      <c r="D57" s="56"/>
      <c r="E57" s="117">
        <f t="shared" ref="E57:E69" si="3">ROUND(E17*$G$78,2)</f>
        <v>0</v>
      </c>
      <c r="F57" s="118"/>
      <c r="G57" s="117">
        <f t="shared" ref="G57:G69" si="4">ROUND(+G17*$G$78,2)</f>
        <v>23.02</v>
      </c>
      <c r="H57" s="118"/>
      <c r="I57" s="118">
        <f>G57-E57</f>
        <v>23.02</v>
      </c>
      <c r="J57" s="118"/>
      <c r="K57" s="119"/>
      <c r="L57" s="118"/>
      <c r="M57" s="7">
        <f>+ROUND(M72/13,2)</f>
        <v>-3.67</v>
      </c>
    </row>
    <row r="58" spans="1:13" x14ac:dyDescent="0.2">
      <c r="A58" s="49">
        <f t="shared" ref="A58:A82" si="5">1+A57</f>
        <v>2</v>
      </c>
      <c r="C58" s="56">
        <v>45672</v>
      </c>
      <c r="E58" s="78">
        <f t="shared" si="3"/>
        <v>0</v>
      </c>
      <c r="F58" s="78"/>
      <c r="G58" s="78">
        <f t="shared" si="4"/>
        <v>23.02</v>
      </c>
      <c r="H58" s="8"/>
      <c r="I58" s="8">
        <f>G58-E58</f>
        <v>23.02</v>
      </c>
      <c r="J58" s="8"/>
      <c r="K58" s="8"/>
      <c r="L58" s="8"/>
      <c r="M58" s="8">
        <f>+M57</f>
        <v>-3.67</v>
      </c>
    </row>
    <row r="59" spans="1:13" x14ac:dyDescent="0.2">
      <c r="A59" s="49">
        <f t="shared" si="5"/>
        <v>3</v>
      </c>
      <c r="C59" s="56">
        <f>C58+31</f>
        <v>45703</v>
      </c>
      <c r="D59" s="56"/>
      <c r="E59" s="78">
        <f t="shared" si="3"/>
        <v>0</v>
      </c>
      <c r="F59" s="8"/>
      <c r="G59" s="78">
        <f t="shared" si="4"/>
        <v>23.02</v>
      </c>
      <c r="H59" s="8"/>
      <c r="I59" s="8">
        <f t="shared" ref="I59:I69" si="6">G59-E59</f>
        <v>23.02</v>
      </c>
      <c r="J59" s="8"/>
      <c r="K59" s="8"/>
      <c r="L59" s="8"/>
      <c r="M59" s="8">
        <f t="shared" ref="M59:M69" si="7">+M58</f>
        <v>-3.67</v>
      </c>
    </row>
    <row r="60" spans="1:13" x14ac:dyDescent="0.2">
      <c r="A60" s="49">
        <f t="shared" si="5"/>
        <v>4</v>
      </c>
      <c r="C60" s="56">
        <f t="shared" ref="C60:C69" si="8">C59+31</f>
        <v>45734</v>
      </c>
      <c r="D60" s="56"/>
      <c r="E60" s="78">
        <f t="shared" si="3"/>
        <v>0</v>
      </c>
      <c r="F60" s="78"/>
      <c r="G60" s="78">
        <f t="shared" si="4"/>
        <v>23.02</v>
      </c>
      <c r="H60" s="8"/>
      <c r="I60" s="8">
        <f t="shared" si="6"/>
        <v>23.02</v>
      </c>
      <c r="J60" s="8"/>
      <c r="K60" s="8"/>
      <c r="L60" s="8"/>
      <c r="M60" s="8">
        <f t="shared" si="7"/>
        <v>-3.67</v>
      </c>
    </row>
    <row r="61" spans="1:13" x14ac:dyDescent="0.2">
      <c r="A61" s="49">
        <f t="shared" si="5"/>
        <v>5</v>
      </c>
      <c r="C61" s="56">
        <f t="shared" si="8"/>
        <v>45765</v>
      </c>
      <c r="D61" s="56"/>
      <c r="E61" s="78">
        <f t="shared" si="3"/>
        <v>0</v>
      </c>
      <c r="F61" s="78"/>
      <c r="G61" s="78">
        <f t="shared" si="4"/>
        <v>23.02</v>
      </c>
      <c r="H61" s="8"/>
      <c r="I61" s="8">
        <f t="shared" si="6"/>
        <v>23.02</v>
      </c>
      <c r="J61" s="8"/>
      <c r="K61" s="8"/>
      <c r="L61" s="8"/>
      <c r="M61" s="8">
        <f t="shared" si="7"/>
        <v>-3.67</v>
      </c>
    </row>
    <row r="62" spans="1:13" x14ac:dyDescent="0.2">
      <c r="A62" s="49">
        <f t="shared" si="5"/>
        <v>6</v>
      </c>
      <c r="C62" s="56">
        <f t="shared" si="8"/>
        <v>45796</v>
      </c>
      <c r="D62" s="56"/>
      <c r="E62" s="78">
        <f t="shared" si="3"/>
        <v>0</v>
      </c>
      <c r="F62" s="78"/>
      <c r="G62" s="78">
        <f t="shared" si="4"/>
        <v>23.02</v>
      </c>
      <c r="H62" s="8"/>
      <c r="I62" s="8">
        <f t="shared" si="6"/>
        <v>23.02</v>
      </c>
      <c r="J62" s="8"/>
      <c r="K62" s="8"/>
      <c r="L62" s="8"/>
      <c r="M62" s="8">
        <f t="shared" si="7"/>
        <v>-3.67</v>
      </c>
    </row>
    <row r="63" spans="1:13" x14ac:dyDescent="0.2">
      <c r="A63" s="49">
        <f t="shared" si="5"/>
        <v>7</v>
      </c>
      <c r="C63" s="56">
        <f t="shared" si="8"/>
        <v>45827</v>
      </c>
      <c r="D63" s="56"/>
      <c r="E63" s="78">
        <f t="shared" si="3"/>
        <v>0</v>
      </c>
      <c r="F63" s="78"/>
      <c r="G63" s="78">
        <f t="shared" si="4"/>
        <v>23.02</v>
      </c>
      <c r="H63" s="8"/>
      <c r="I63" s="8">
        <f t="shared" si="6"/>
        <v>23.02</v>
      </c>
      <c r="J63" s="8"/>
      <c r="K63" s="8"/>
      <c r="L63" s="8"/>
      <c r="M63" s="8">
        <f t="shared" si="7"/>
        <v>-3.67</v>
      </c>
    </row>
    <row r="64" spans="1:13" x14ac:dyDescent="0.2">
      <c r="A64" s="49">
        <f t="shared" si="5"/>
        <v>8</v>
      </c>
      <c r="C64" s="56">
        <f t="shared" si="8"/>
        <v>45858</v>
      </c>
      <c r="D64" s="56"/>
      <c r="E64" s="78">
        <f t="shared" si="3"/>
        <v>0</v>
      </c>
      <c r="F64" s="78"/>
      <c r="G64" s="78">
        <f t="shared" si="4"/>
        <v>23.02</v>
      </c>
      <c r="H64" s="8"/>
      <c r="I64" s="8">
        <f t="shared" si="6"/>
        <v>23.02</v>
      </c>
      <c r="J64" s="8"/>
      <c r="K64" s="8"/>
      <c r="L64" s="8"/>
      <c r="M64" s="8">
        <f t="shared" si="7"/>
        <v>-3.67</v>
      </c>
    </row>
    <row r="65" spans="1:13" x14ac:dyDescent="0.2">
      <c r="A65" s="49">
        <f t="shared" si="5"/>
        <v>9</v>
      </c>
      <c r="C65" s="56">
        <f t="shared" si="8"/>
        <v>45889</v>
      </c>
      <c r="D65" s="56"/>
      <c r="E65" s="78">
        <f t="shared" si="3"/>
        <v>0</v>
      </c>
      <c r="F65" s="78"/>
      <c r="G65" s="78">
        <f t="shared" si="4"/>
        <v>23.02</v>
      </c>
      <c r="H65" s="8"/>
      <c r="I65" s="8">
        <f t="shared" si="6"/>
        <v>23.02</v>
      </c>
      <c r="J65" s="8"/>
      <c r="K65" s="8"/>
      <c r="L65" s="8"/>
      <c r="M65" s="8">
        <f t="shared" si="7"/>
        <v>-3.67</v>
      </c>
    </row>
    <row r="66" spans="1:13" x14ac:dyDescent="0.2">
      <c r="A66" s="49">
        <f t="shared" si="5"/>
        <v>10</v>
      </c>
      <c r="C66" s="56">
        <f t="shared" si="8"/>
        <v>45920</v>
      </c>
      <c r="D66" s="56"/>
      <c r="E66" s="78">
        <f t="shared" si="3"/>
        <v>0</v>
      </c>
      <c r="F66" s="78"/>
      <c r="G66" s="78">
        <f t="shared" si="4"/>
        <v>23.02</v>
      </c>
      <c r="H66" s="8"/>
      <c r="I66" s="8">
        <f t="shared" si="6"/>
        <v>23.02</v>
      </c>
      <c r="J66" s="8"/>
      <c r="K66" s="8"/>
      <c r="L66" s="8"/>
      <c r="M66" s="8">
        <f t="shared" si="7"/>
        <v>-3.67</v>
      </c>
    </row>
    <row r="67" spans="1:13" x14ac:dyDescent="0.2">
      <c r="A67" s="49">
        <f t="shared" si="5"/>
        <v>11</v>
      </c>
      <c r="C67" s="56">
        <f t="shared" si="8"/>
        <v>45951</v>
      </c>
      <c r="D67" s="56"/>
      <c r="E67" s="78">
        <f t="shared" si="3"/>
        <v>25</v>
      </c>
      <c r="F67" s="78"/>
      <c r="G67" s="78">
        <f t="shared" si="4"/>
        <v>23.02</v>
      </c>
      <c r="H67" s="8"/>
      <c r="I67" s="8">
        <f t="shared" si="6"/>
        <v>-1.9800000000000004</v>
      </c>
      <c r="J67" s="8"/>
      <c r="K67" s="8"/>
      <c r="L67" s="8"/>
      <c r="M67" s="8">
        <f t="shared" si="7"/>
        <v>-3.67</v>
      </c>
    </row>
    <row r="68" spans="1:13" x14ac:dyDescent="0.2">
      <c r="A68" s="49">
        <f t="shared" si="5"/>
        <v>12</v>
      </c>
      <c r="C68" s="56">
        <f t="shared" si="8"/>
        <v>45982</v>
      </c>
      <c r="D68" s="56"/>
      <c r="E68" s="78">
        <f t="shared" si="3"/>
        <v>25</v>
      </c>
      <c r="F68" s="78"/>
      <c r="G68" s="78">
        <f t="shared" si="4"/>
        <v>23.02</v>
      </c>
      <c r="H68" s="8"/>
      <c r="I68" s="8">
        <f t="shared" si="6"/>
        <v>-1.9800000000000004</v>
      </c>
      <c r="J68" s="8"/>
      <c r="K68" s="8"/>
      <c r="L68" s="8"/>
      <c r="M68" s="8">
        <f t="shared" si="7"/>
        <v>-3.67</v>
      </c>
    </row>
    <row r="69" spans="1:13" x14ac:dyDescent="0.2">
      <c r="A69" s="49">
        <f t="shared" si="5"/>
        <v>13</v>
      </c>
      <c r="C69" s="56">
        <f t="shared" si="8"/>
        <v>46013</v>
      </c>
      <c r="D69" s="56"/>
      <c r="E69" s="130">
        <f t="shared" si="3"/>
        <v>22.34</v>
      </c>
      <c r="F69" s="78"/>
      <c r="G69" s="130">
        <f t="shared" si="4"/>
        <v>23.02</v>
      </c>
      <c r="H69" s="8"/>
      <c r="I69" s="130">
        <f t="shared" si="6"/>
        <v>0.67999999999999972</v>
      </c>
      <c r="J69" s="8"/>
      <c r="K69" s="8"/>
      <c r="L69" s="8"/>
      <c r="M69" s="130">
        <f t="shared" si="7"/>
        <v>-3.67</v>
      </c>
    </row>
    <row r="70" spans="1:13" x14ac:dyDescent="0.2">
      <c r="A70" s="49">
        <f t="shared" si="5"/>
        <v>14</v>
      </c>
      <c r="C70" s="58" t="s">
        <v>46</v>
      </c>
      <c r="D70" s="58"/>
      <c r="E70" s="118">
        <f>SUM(E57:E69)</f>
        <v>72.34</v>
      </c>
      <c r="F70" s="118"/>
      <c r="G70" s="118">
        <f>SUM(G57:G69)</f>
        <v>299.26000000000005</v>
      </c>
      <c r="H70" s="118"/>
      <c r="I70" s="118">
        <f>SUM(I57:I69)</f>
        <v>226.92000000000007</v>
      </c>
      <c r="J70" s="118"/>
      <c r="K70" s="118"/>
      <c r="L70" s="118"/>
      <c r="M70" s="118">
        <f>SUM(M57:M69)</f>
        <v>-47.710000000000015</v>
      </c>
    </row>
    <row r="71" spans="1:13" x14ac:dyDescent="0.2">
      <c r="A71" s="49">
        <f t="shared" si="5"/>
        <v>15</v>
      </c>
      <c r="E71" s="122" t="s">
        <v>9</v>
      </c>
      <c r="F71" s="122"/>
      <c r="G71" s="122" t="s">
        <v>9</v>
      </c>
      <c r="H71" s="122"/>
      <c r="I71" s="122" t="s">
        <v>9</v>
      </c>
      <c r="J71" s="118"/>
      <c r="K71" s="118"/>
      <c r="L71" s="118"/>
      <c r="M71" s="118"/>
    </row>
    <row r="72" spans="1:13" ht="12" thickBot="1" x14ac:dyDescent="0.25">
      <c r="A72" s="49">
        <f t="shared" si="5"/>
        <v>16</v>
      </c>
      <c r="C72" s="58" t="s">
        <v>84</v>
      </c>
      <c r="D72" s="58"/>
      <c r="E72" s="118"/>
      <c r="F72" s="118"/>
      <c r="G72" s="118"/>
      <c r="H72" s="118"/>
      <c r="I72" s="121">
        <f>I70</f>
        <v>226.92000000000007</v>
      </c>
      <c r="J72" s="118"/>
      <c r="K72" s="121">
        <v>0</v>
      </c>
      <c r="L72" s="118"/>
      <c r="M72" s="121">
        <f>ROUND(+(K72-I72)*M78,2)</f>
        <v>-47.65</v>
      </c>
    </row>
    <row r="73" spans="1:13" ht="12" thickTop="1" x14ac:dyDescent="0.2">
      <c r="A73" s="49">
        <f t="shared" si="5"/>
        <v>17</v>
      </c>
      <c r="E73" s="57"/>
      <c r="F73" s="57"/>
      <c r="G73" s="57"/>
      <c r="H73" s="57"/>
      <c r="I73" s="58" t="s">
        <v>85</v>
      </c>
    </row>
    <row r="74" spans="1:13" x14ac:dyDescent="0.2">
      <c r="A74" s="49">
        <f t="shared" si="5"/>
        <v>18</v>
      </c>
      <c r="I74" s="58" t="s">
        <v>133</v>
      </c>
      <c r="M74" s="55" t="s">
        <v>88</v>
      </c>
    </row>
    <row r="75" spans="1:13" x14ac:dyDescent="0.2">
      <c r="A75" s="49">
        <f t="shared" si="5"/>
        <v>19</v>
      </c>
      <c r="K75" s="55" t="s">
        <v>93</v>
      </c>
      <c r="M75" s="55" t="s">
        <v>94</v>
      </c>
    </row>
    <row r="76" spans="1:13" x14ac:dyDescent="0.2">
      <c r="A76" s="49">
        <f t="shared" si="5"/>
        <v>20</v>
      </c>
      <c r="E76" s="63" t="s">
        <v>95</v>
      </c>
      <c r="F76" s="63"/>
      <c r="G76" s="63" t="s">
        <v>96</v>
      </c>
      <c r="K76" s="55" t="s">
        <v>97</v>
      </c>
      <c r="M76" s="55" t="s">
        <v>98</v>
      </c>
    </row>
    <row r="77" spans="1:13" ht="12" thickBot="1" x14ac:dyDescent="0.25">
      <c r="A77" s="49">
        <f t="shared" si="5"/>
        <v>21</v>
      </c>
      <c r="E77" s="64" t="s">
        <v>99</v>
      </c>
      <c r="F77" s="63"/>
      <c r="G77" s="64" t="s">
        <v>99</v>
      </c>
      <c r="K77" s="64" t="s">
        <v>100</v>
      </c>
      <c r="M77" s="64" t="s">
        <v>101</v>
      </c>
    </row>
    <row r="78" spans="1:13" x14ac:dyDescent="0.2">
      <c r="A78" s="49">
        <f t="shared" si="5"/>
        <v>22</v>
      </c>
      <c r="C78" s="65" t="str">
        <f>E53</f>
        <v>Acct 2.380.00</v>
      </c>
      <c r="D78" s="65"/>
      <c r="E78" s="66">
        <f>'CAPGDS1000000782 Input'!J16</f>
        <v>2.2058823529411766E-2</v>
      </c>
      <c r="F78" s="66"/>
      <c r="G78" s="66">
        <f>E78/13</f>
        <v>1.6968325791855204E-3</v>
      </c>
      <c r="K78" s="80">
        <f>+'CAPGDS1000000782 Input'!L16</f>
        <v>3.7499999999999999E-2</v>
      </c>
      <c r="M78" s="81">
        <f>+'CAPGDS1000000782 Input'!N16</f>
        <v>0.21</v>
      </c>
    </row>
    <row r="79" spans="1:13" x14ac:dyDescent="0.2">
      <c r="A79" s="49">
        <f t="shared" si="5"/>
        <v>23</v>
      </c>
      <c r="H79" s="61"/>
      <c r="I79" s="57"/>
      <c r="K79" s="55" t="s">
        <v>102</v>
      </c>
    </row>
    <row r="80" spans="1:13" x14ac:dyDescent="0.2">
      <c r="A80" s="49">
        <f t="shared" si="5"/>
        <v>24</v>
      </c>
      <c r="H80" s="66"/>
      <c r="I80" s="57"/>
    </row>
    <row r="81" spans="1:13" x14ac:dyDescent="0.2">
      <c r="A81" s="49">
        <f t="shared" si="5"/>
        <v>25</v>
      </c>
    </row>
    <row r="82" spans="1:13" x14ac:dyDescent="0.2">
      <c r="A82" s="49">
        <f t="shared" si="5"/>
        <v>26</v>
      </c>
      <c r="H82" s="66"/>
      <c r="I82" s="57"/>
    </row>
    <row r="83" spans="1:13" x14ac:dyDescent="0.2">
      <c r="A83" s="149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</row>
    <row r="84" spans="1:13" x14ac:dyDescent="0.2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</row>
    <row r="85" spans="1:13" x14ac:dyDescent="0.2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</row>
    <row r="86" spans="1:13" x14ac:dyDescent="0.2">
      <c r="A86" s="149"/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</row>
    <row r="88" spans="1:13" x14ac:dyDescent="0.2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</row>
    <row r="89" spans="1:13" x14ac:dyDescent="0.2">
      <c r="A89" s="149" t="str">
        <f>A7</f>
        <v>Pro Forma Adjustment - Project In Service During Test Year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</row>
    <row r="90" spans="1:13" x14ac:dyDescent="0.2">
      <c r="A90" s="150" t="str">
        <f>A8</f>
        <v>SFS - Cliff I229 Interchange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</row>
    <row r="91" spans="1:13" x14ac:dyDescent="0.2">
      <c r="A91" s="50"/>
      <c r="B91" s="50"/>
      <c r="C91" s="48"/>
      <c r="D91" s="48"/>
      <c r="E91" s="48"/>
      <c r="F91" s="48"/>
      <c r="G91" s="48"/>
      <c r="H91" s="48"/>
      <c r="I91" s="48"/>
    </row>
    <row r="92" spans="1:13" x14ac:dyDescent="0.2">
      <c r="A92" s="50" t="s">
        <v>103</v>
      </c>
      <c r="B92" s="50"/>
      <c r="C92" s="48"/>
      <c r="D92" s="48"/>
      <c r="E92" s="48"/>
      <c r="F92" s="48"/>
      <c r="G92" s="48"/>
      <c r="H92" s="48"/>
      <c r="I92" s="48"/>
    </row>
    <row r="93" spans="1:13" x14ac:dyDescent="0.2">
      <c r="A93" s="50" t="s">
        <v>9</v>
      </c>
      <c r="B93" s="50"/>
      <c r="C93" s="48"/>
      <c r="D93" s="48"/>
      <c r="E93" s="48"/>
      <c r="F93" s="48"/>
      <c r="G93" s="48"/>
      <c r="H93" s="48"/>
      <c r="I93" s="48"/>
    </row>
    <row r="95" spans="1:13" ht="12" thickBot="1" x14ac:dyDescent="0.25">
      <c r="A95" s="65" t="s">
        <v>77</v>
      </c>
      <c r="E95" s="52" t="str">
        <f>E13</f>
        <v>Acct 2.380.00</v>
      </c>
      <c r="F95" s="52"/>
      <c r="G95" s="52"/>
      <c r="H95" s="52"/>
      <c r="I95" s="52"/>
      <c r="M95" s="55" t="s">
        <v>104</v>
      </c>
    </row>
    <row r="96" spans="1:13" ht="12" thickBot="1" x14ac:dyDescent="0.25">
      <c r="A96" s="88" t="s">
        <v>79</v>
      </c>
      <c r="B96" s="55"/>
      <c r="C96" s="53" t="s">
        <v>80</v>
      </c>
      <c r="D96" s="55"/>
      <c r="E96" s="53" t="s">
        <v>81</v>
      </c>
      <c r="F96" s="55"/>
      <c r="G96" s="53" t="s">
        <v>82</v>
      </c>
      <c r="H96" s="55"/>
      <c r="I96" s="53" t="s">
        <v>83</v>
      </c>
      <c r="M96" s="53" t="s">
        <v>105</v>
      </c>
    </row>
    <row r="97" spans="1:13" x14ac:dyDescent="0.2">
      <c r="A97" s="55"/>
      <c r="B97" s="55"/>
      <c r="C97" s="39" t="s">
        <v>5</v>
      </c>
      <c r="D97" s="55"/>
      <c r="E97" s="36" t="s">
        <v>6</v>
      </c>
      <c r="F97" s="55"/>
      <c r="G97" s="36" t="s">
        <v>7</v>
      </c>
      <c r="H97" s="33"/>
      <c r="I97" s="36" t="s">
        <v>41</v>
      </c>
      <c r="K97" s="17" t="s">
        <v>42</v>
      </c>
      <c r="M97" s="55" t="s">
        <v>43</v>
      </c>
    </row>
    <row r="98" spans="1:13" x14ac:dyDescent="0.2">
      <c r="A98" s="55"/>
      <c r="B98" s="55"/>
      <c r="C98" s="55"/>
      <c r="D98" s="55"/>
      <c r="E98" s="55"/>
      <c r="F98" s="55"/>
      <c r="G98" s="55"/>
      <c r="H98" s="55"/>
      <c r="I98" s="55"/>
    </row>
    <row r="99" spans="1:13" x14ac:dyDescent="0.2">
      <c r="A99" s="49">
        <v>1</v>
      </c>
      <c r="C99" s="56">
        <f>C17</f>
        <v>45641</v>
      </c>
      <c r="D99" s="56"/>
      <c r="E99" s="117">
        <f>E57</f>
        <v>0</v>
      </c>
      <c r="F99" s="118"/>
      <c r="G99" s="117">
        <f>G57</f>
        <v>23.02</v>
      </c>
      <c r="H99" s="118"/>
      <c r="I99" s="118">
        <f>G99-E99</f>
        <v>23.02</v>
      </c>
      <c r="J99" s="118"/>
      <c r="K99" s="119"/>
      <c r="L99" s="118"/>
      <c r="M99" s="7">
        <f>+M57</f>
        <v>-3.67</v>
      </c>
    </row>
    <row r="100" spans="1:13" x14ac:dyDescent="0.2">
      <c r="A100" s="49">
        <f t="shared" ref="A100:A128" si="9">1+A99</f>
        <v>2</v>
      </c>
      <c r="C100" s="56">
        <f>C18</f>
        <v>45672</v>
      </c>
      <c r="D100" s="56"/>
      <c r="E100" s="8">
        <f>E98+E57</f>
        <v>0</v>
      </c>
      <c r="F100" s="8"/>
      <c r="G100" s="8">
        <f t="shared" ref="G100:G111" si="10">G99+G58</f>
        <v>46.04</v>
      </c>
      <c r="H100" s="8"/>
      <c r="I100" s="8">
        <f t="shared" ref="I100:I111" si="11">G100-E100</f>
        <v>46.04</v>
      </c>
      <c r="J100" s="8"/>
      <c r="K100" s="8"/>
      <c r="L100" s="8"/>
      <c r="M100" s="8">
        <f t="shared" ref="M100:M111" si="12">+M99+M58</f>
        <v>-7.34</v>
      </c>
    </row>
    <row r="101" spans="1:13" x14ac:dyDescent="0.2">
      <c r="A101" s="49">
        <f t="shared" si="9"/>
        <v>3</v>
      </c>
      <c r="C101" s="56">
        <f t="shared" ref="C101:C111" si="13">C100+31</f>
        <v>45703</v>
      </c>
      <c r="D101" s="56"/>
      <c r="E101" s="8">
        <f>E99+E58</f>
        <v>0</v>
      </c>
      <c r="F101" s="8"/>
      <c r="G101" s="8">
        <f t="shared" si="10"/>
        <v>69.06</v>
      </c>
      <c r="H101" s="8"/>
      <c r="I101" s="8">
        <f t="shared" si="11"/>
        <v>69.06</v>
      </c>
      <c r="J101" s="8"/>
      <c r="K101" s="8"/>
      <c r="L101" s="8"/>
      <c r="M101" s="8">
        <f t="shared" si="12"/>
        <v>-11.01</v>
      </c>
    </row>
    <row r="102" spans="1:13" x14ac:dyDescent="0.2">
      <c r="A102" s="49">
        <f t="shared" si="9"/>
        <v>4</v>
      </c>
      <c r="C102" s="56">
        <f t="shared" si="13"/>
        <v>45734</v>
      </c>
      <c r="D102" s="56"/>
      <c r="E102" s="8">
        <f t="shared" ref="E102:E111" si="14">E101+E60</f>
        <v>0</v>
      </c>
      <c r="F102" s="8"/>
      <c r="G102" s="8">
        <f t="shared" si="10"/>
        <v>92.08</v>
      </c>
      <c r="H102" s="8"/>
      <c r="I102" s="8">
        <f t="shared" si="11"/>
        <v>92.08</v>
      </c>
      <c r="J102" s="8"/>
      <c r="K102" s="8"/>
      <c r="L102" s="8"/>
      <c r="M102" s="8">
        <f t="shared" si="12"/>
        <v>-14.68</v>
      </c>
    </row>
    <row r="103" spans="1:13" x14ac:dyDescent="0.2">
      <c r="A103" s="49">
        <f t="shared" si="9"/>
        <v>5</v>
      </c>
      <c r="C103" s="56">
        <f t="shared" si="13"/>
        <v>45765</v>
      </c>
      <c r="D103" s="56"/>
      <c r="E103" s="8">
        <f t="shared" si="14"/>
        <v>0</v>
      </c>
      <c r="F103" s="8"/>
      <c r="G103" s="8">
        <f t="shared" si="10"/>
        <v>115.1</v>
      </c>
      <c r="H103" s="8"/>
      <c r="I103" s="8">
        <f t="shared" si="11"/>
        <v>115.1</v>
      </c>
      <c r="J103" s="8"/>
      <c r="K103" s="8"/>
      <c r="L103" s="8"/>
      <c r="M103" s="8">
        <f t="shared" si="12"/>
        <v>-18.350000000000001</v>
      </c>
    </row>
    <row r="104" spans="1:13" x14ac:dyDescent="0.2">
      <c r="A104" s="49">
        <f t="shared" si="9"/>
        <v>6</v>
      </c>
      <c r="C104" s="56">
        <f t="shared" si="13"/>
        <v>45796</v>
      </c>
      <c r="D104" s="56"/>
      <c r="E104" s="8">
        <f t="shared" si="14"/>
        <v>0</v>
      </c>
      <c r="F104" s="8"/>
      <c r="G104" s="8">
        <f t="shared" si="10"/>
        <v>138.12</v>
      </c>
      <c r="H104" s="8"/>
      <c r="I104" s="8">
        <f t="shared" si="11"/>
        <v>138.12</v>
      </c>
      <c r="J104" s="8"/>
      <c r="K104" s="8"/>
      <c r="L104" s="8"/>
      <c r="M104" s="8">
        <f t="shared" si="12"/>
        <v>-22.020000000000003</v>
      </c>
    </row>
    <row r="105" spans="1:13" x14ac:dyDescent="0.2">
      <c r="A105" s="49">
        <f t="shared" si="9"/>
        <v>7</v>
      </c>
      <c r="C105" s="56">
        <f t="shared" si="13"/>
        <v>45827</v>
      </c>
      <c r="D105" s="56"/>
      <c r="E105" s="8">
        <f t="shared" si="14"/>
        <v>0</v>
      </c>
      <c r="F105" s="8"/>
      <c r="G105" s="8">
        <f t="shared" si="10"/>
        <v>161.14000000000001</v>
      </c>
      <c r="H105" s="8"/>
      <c r="I105" s="8">
        <f t="shared" si="11"/>
        <v>161.14000000000001</v>
      </c>
      <c r="J105" s="8"/>
      <c r="K105" s="8"/>
      <c r="L105" s="8"/>
      <c r="M105" s="8">
        <f t="shared" si="12"/>
        <v>-25.690000000000005</v>
      </c>
    </row>
    <row r="106" spans="1:13" x14ac:dyDescent="0.2">
      <c r="A106" s="49">
        <f t="shared" si="9"/>
        <v>8</v>
      </c>
      <c r="C106" s="56">
        <f t="shared" si="13"/>
        <v>45858</v>
      </c>
      <c r="D106" s="56"/>
      <c r="E106" s="8">
        <f t="shared" si="14"/>
        <v>0</v>
      </c>
      <c r="F106" s="8"/>
      <c r="G106" s="8">
        <f t="shared" si="10"/>
        <v>184.16000000000003</v>
      </c>
      <c r="H106" s="8"/>
      <c r="I106" s="8">
        <f t="shared" si="11"/>
        <v>184.16000000000003</v>
      </c>
      <c r="J106" s="8"/>
      <c r="K106" s="8"/>
      <c r="L106" s="8"/>
      <c r="M106" s="8">
        <f t="shared" si="12"/>
        <v>-29.360000000000007</v>
      </c>
    </row>
    <row r="107" spans="1:13" x14ac:dyDescent="0.2">
      <c r="A107" s="49">
        <f t="shared" si="9"/>
        <v>9</v>
      </c>
      <c r="C107" s="56">
        <f t="shared" si="13"/>
        <v>45889</v>
      </c>
      <c r="D107" s="56"/>
      <c r="E107" s="8">
        <f t="shared" si="14"/>
        <v>0</v>
      </c>
      <c r="F107" s="8"/>
      <c r="G107" s="8">
        <f t="shared" si="10"/>
        <v>207.18000000000004</v>
      </c>
      <c r="H107" s="8"/>
      <c r="I107" s="8">
        <f t="shared" si="11"/>
        <v>207.18000000000004</v>
      </c>
      <c r="J107" s="8"/>
      <c r="K107" s="8"/>
      <c r="L107" s="8"/>
      <c r="M107" s="8">
        <f t="shared" si="12"/>
        <v>-33.030000000000008</v>
      </c>
    </row>
    <row r="108" spans="1:13" x14ac:dyDescent="0.2">
      <c r="A108" s="49">
        <f t="shared" si="9"/>
        <v>10</v>
      </c>
      <c r="C108" s="56">
        <f t="shared" si="13"/>
        <v>45920</v>
      </c>
      <c r="D108" s="56"/>
      <c r="E108" s="8">
        <f t="shared" si="14"/>
        <v>0</v>
      </c>
      <c r="F108" s="8"/>
      <c r="G108" s="8">
        <f t="shared" si="10"/>
        <v>230.20000000000005</v>
      </c>
      <c r="H108" s="8"/>
      <c r="I108" s="8">
        <f t="shared" si="11"/>
        <v>230.20000000000005</v>
      </c>
      <c r="J108" s="8"/>
      <c r="K108" s="8"/>
      <c r="L108" s="8"/>
      <c r="M108" s="8">
        <f t="shared" si="12"/>
        <v>-36.70000000000001</v>
      </c>
    </row>
    <row r="109" spans="1:13" x14ac:dyDescent="0.2">
      <c r="A109" s="49">
        <f t="shared" si="9"/>
        <v>11</v>
      </c>
      <c r="C109" s="56">
        <f t="shared" si="13"/>
        <v>45951</v>
      </c>
      <c r="D109" s="56"/>
      <c r="E109" s="8">
        <f t="shared" si="14"/>
        <v>25</v>
      </c>
      <c r="F109" s="8"/>
      <c r="G109" s="8">
        <f t="shared" si="10"/>
        <v>253.22000000000006</v>
      </c>
      <c r="H109" s="8"/>
      <c r="I109" s="8">
        <f t="shared" si="11"/>
        <v>228.22000000000006</v>
      </c>
      <c r="J109" s="8"/>
      <c r="K109" s="8"/>
      <c r="L109" s="8"/>
      <c r="M109" s="8">
        <f t="shared" si="12"/>
        <v>-40.370000000000012</v>
      </c>
    </row>
    <row r="110" spans="1:13" x14ac:dyDescent="0.2">
      <c r="A110" s="49">
        <f t="shared" si="9"/>
        <v>12</v>
      </c>
      <c r="C110" s="56">
        <f t="shared" si="13"/>
        <v>45982</v>
      </c>
      <c r="D110" s="56"/>
      <c r="E110" s="8">
        <f t="shared" si="14"/>
        <v>50</v>
      </c>
      <c r="F110" s="8"/>
      <c r="G110" s="8">
        <f t="shared" si="10"/>
        <v>276.24000000000007</v>
      </c>
      <c r="H110" s="8"/>
      <c r="I110" s="8">
        <f t="shared" si="11"/>
        <v>226.24000000000007</v>
      </c>
      <c r="J110" s="8"/>
      <c r="K110" s="8"/>
      <c r="L110" s="8"/>
      <c r="M110" s="8">
        <f t="shared" si="12"/>
        <v>-44.040000000000013</v>
      </c>
    </row>
    <row r="111" spans="1:13" x14ac:dyDescent="0.2">
      <c r="A111" s="49">
        <f t="shared" si="9"/>
        <v>13</v>
      </c>
      <c r="C111" s="56">
        <f t="shared" si="13"/>
        <v>46013</v>
      </c>
      <c r="D111" s="56"/>
      <c r="E111" s="131">
        <f t="shared" si="14"/>
        <v>72.34</v>
      </c>
      <c r="F111" s="8"/>
      <c r="G111" s="131">
        <f t="shared" si="10"/>
        <v>299.26000000000005</v>
      </c>
      <c r="H111" s="8"/>
      <c r="I111" s="131">
        <f t="shared" si="11"/>
        <v>226.92000000000004</v>
      </c>
      <c r="J111" s="8"/>
      <c r="K111" s="8"/>
      <c r="L111" s="8"/>
      <c r="M111" s="131">
        <f t="shared" si="12"/>
        <v>-47.710000000000015</v>
      </c>
    </row>
    <row r="112" spans="1:13" x14ac:dyDescent="0.2">
      <c r="A112" s="49">
        <f t="shared" si="9"/>
        <v>14</v>
      </c>
      <c r="C112" s="58" t="s">
        <v>46</v>
      </c>
      <c r="D112" s="58"/>
      <c r="E112" s="118">
        <f>SUM(E99:E111)</f>
        <v>147.34</v>
      </c>
      <c r="F112" s="118"/>
      <c r="G112" s="118">
        <f>SUM(G99:G111)</f>
        <v>2094.8200000000002</v>
      </c>
      <c r="H112" s="118"/>
      <c r="I112" s="118">
        <f>SUM(I99:I111)</f>
        <v>1947.4800000000002</v>
      </c>
      <c r="J112" s="118"/>
      <c r="K112" s="118"/>
      <c r="L112" s="118"/>
      <c r="M112" s="118">
        <f>SUM(M99:M111)</f>
        <v>-333.97000000000008</v>
      </c>
    </row>
    <row r="113" spans="1:13" x14ac:dyDescent="0.2">
      <c r="A113" s="49">
        <f t="shared" si="9"/>
        <v>15</v>
      </c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1:13" ht="12" thickBot="1" x14ac:dyDescent="0.25">
      <c r="A114" s="49">
        <f t="shared" si="9"/>
        <v>16</v>
      </c>
      <c r="C114" s="67" t="s">
        <v>117</v>
      </c>
      <c r="D114" s="67"/>
      <c r="E114" s="121">
        <f>ROUND(+E112/13,2)</f>
        <v>11.33</v>
      </c>
      <c r="F114" s="118"/>
      <c r="G114" s="121">
        <f>ROUND(+G112/13,2)</f>
        <v>161.13999999999999</v>
      </c>
      <c r="H114" s="118"/>
      <c r="I114" s="121">
        <f>ROUND(+I112/13,2)</f>
        <v>149.81</v>
      </c>
      <c r="J114" s="118"/>
      <c r="K114" s="118"/>
      <c r="L114" s="118"/>
      <c r="M114" s="121">
        <f>ROUND(+M112/13,2)</f>
        <v>-25.69</v>
      </c>
    </row>
    <row r="115" spans="1:13" ht="12" thickTop="1" x14ac:dyDescent="0.2">
      <c r="A115" s="49">
        <f t="shared" si="9"/>
        <v>17</v>
      </c>
      <c r="E115" s="61" t="s">
        <v>9</v>
      </c>
      <c r="F115" s="61"/>
      <c r="G115" s="61" t="s">
        <v>9</v>
      </c>
      <c r="H115" s="61"/>
      <c r="I115" s="61" t="s">
        <v>9</v>
      </c>
    </row>
    <row r="116" spans="1:13" x14ac:dyDescent="0.2">
      <c r="A116" s="49">
        <f t="shared" si="9"/>
        <v>18</v>
      </c>
      <c r="E116" s="57"/>
      <c r="F116" s="57"/>
      <c r="G116" s="57"/>
      <c r="H116" s="57"/>
      <c r="I116" s="118"/>
      <c r="J116" s="118"/>
      <c r="K116" s="118"/>
      <c r="L116" s="118"/>
      <c r="M116" s="118"/>
    </row>
    <row r="117" spans="1:13" ht="12" thickBot="1" x14ac:dyDescent="0.25">
      <c r="A117" s="49">
        <f t="shared" si="9"/>
        <v>19</v>
      </c>
      <c r="C117" s="58" t="s">
        <v>84</v>
      </c>
      <c r="D117" s="58"/>
      <c r="E117" s="57"/>
      <c r="F117" s="57"/>
      <c r="G117" s="57"/>
      <c r="H117" s="57"/>
      <c r="I117" s="128">
        <f>I114</f>
        <v>149.81</v>
      </c>
      <c r="J117" s="118"/>
      <c r="K117" s="118"/>
      <c r="L117" s="118"/>
      <c r="M117" s="128">
        <f>+M114</f>
        <v>-25.69</v>
      </c>
    </row>
    <row r="118" spans="1:13" ht="12" thickTop="1" x14ac:dyDescent="0.2">
      <c r="A118" s="49">
        <f t="shared" si="9"/>
        <v>20</v>
      </c>
      <c r="E118" s="57"/>
      <c r="F118" s="57"/>
      <c r="G118" s="57"/>
      <c r="H118" s="57"/>
      <c r="I118" s="58" t="s">
        <v>85</v>
      </c>
      <c r="M118" s="58" t="s">
        <v>85</v>
      </c>
    </row>
    <row r="119" spans="1:13" x14ac:dyDescent="0.2">
      <c r="A119" s="49">
        <f t="shared" si="9"/>
        <v>21</v>
      </c>
      <c r="I119" s="58" t="s">
        <v>134</v>
      </c>
      <c r="M119" s="58" t="s">
        <v>135</v>
      </c>
    </row>
    <row r="120" spans="1:13" x14ac:dyDescent="0.2">
      <c r="A120" s="49">
        <f t="shared" si="9"/>
        <v>22</v>
      </c>
    </row>
    <row r="121" spans="1:13" x14ac:dyDescent="0.2">
      <c r="A121" s="49">
        <f t="shared" si="9"/>
        <v>23</v>
      </c>
      <c r="E121" s="63" t="s">
        <v>95</v>
      </c>
      <c r="F121" s="63"/>
      <c r="G121" s="63" t="s">
        <v>96</v>
      </c>
    </row>
    <row r="122" spans="1:13" ht="12" thickBot="1" x14ac:dyDescent="0.25">
      <c r="A122" s="49">
        <f t="shared" si="9"/>
        <v>24</v>
      </c>
      <c r="E122" s="64" t="s">
        <v>99</v>
      </c>
      <c r="F122" s="63"/>
      <c r="G122" s="64" t="s">
        <v>99</v>
      </c>
    </row>
    <row r="123" spans="1:13" x14ac:dyDescent="0.2">
      <c r="A123" s="49">
        <f t="shared" si="9"/>
        <v>25</v>
      </c>
      <c r="C123" s="65" t="str">
        <f>C78</f>
        <v>Acct 2.380.00</v>
      </c>
      <c r="D123" s="65"/>
      <c r="E123" s="68">
        <f>E78</f>
        <v>2.2058823529411766E-2</v>
      </c>
      <c r="F123" s="68"/>
      <c r="G123" s="68">
        <f>G78</f>
        <v>1.6968325791855204E-3</v>
      </c>
    </row>
    <row r="124" spans="1:13" x14ac:dyDescent="0.2">
      <c r="A124" s="49">
        <f t="shared" si="9"/>
        <v>26</v>
      </c>
      <c r="E124" s="57"/>
      <c r="F124" s="57"/>
      <c r="G124" s="57"/>
      <c r="H124" s="57"/>
      <c r="I124" s="57"/>
    </row>
    <row r="125" spans="1:13" x14ac:dyDescent="0.2">
      <c r="A125" s="49">
        <f t="shared" si="9"/>
        <v>27</v>
      </c>
      <c r="H125" s="57"/>
      <c r="I125" s="57"/>
    </row>
    <row r="126" spans="1:13" x14ac:dyDescent="0.2">
      <c r="A126" s="49">
        <f t="shared" si="9"/>
        <v>28</v>
      </c>
    </row>
    <row r="127" spans="1:13" x14ac:dyDescent="0.2">
      <c r="A127" s="49">
        <f t="shared" si="9"/>
        <v>29</v>
      </c>
    </row>
    <row r="128" spans="1:13" x14ac:dyDescent="0.2">
      <c r="A128" s="49">
        <f t="shared" si="9"/>
        <v>30</v>
      </c>
    </row>
  </sheetData>
  <mergeCells count="14">
    <mergeCell ref="A89:M89"/>
    <mergeCell ref="A90:M90"/>
    <mergeCell ref="A46:M46"/>
    <mergeCell ref="A47:M47"/>
    <mergeCell ref="A48:M48"/>
    <mergeCell ref="A83:M83"/>
    <mergeCell ref="A86:M86"/>
    <mergeCell ref="A88:M88"/>
    <mergeCell ref="A44:M44"/>
    <mergeCell ref="A1:I1"/>
    <mergeCell ref="A4:I4"/>
    <mergeCell ref="A7:I7"/>
    <mergeCell ref="A8:I8"/>
    <mergeCell ref="A41:M41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8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D351-B645-4FD6-9CF5-D3D2FBFE97DC}">
  <dimension ref="A1:J375"/>
  <sheetViews>
    <sheetView view="pageLayout" zoomScaleNormal="100" workbookViewId="0">
      <selection sqref="A1:J1"/>
    </sheetView>
  </sheetViews>
  <sheetFormatPr defaultColWidth="9.140625" defaultRowHeight="11.25" x14ac:dyDescent="0.2"/>
  <cols>
    <col min="1" max="1" width="4.42578125" style="69" customWidth="1"/>
    <col min="2" max="2" width="9.140625" style="69"/>
    <col min="3" max="3" width="0.85546875" style="69" customWidth="1"/>
    <col min="4" max="4" width="11.7109375" style="69" bestFit="1" customWidth="1"/>
    <col min="5" max="16384" width="9.140625" style="69"/>
  </cols>
  <sheetData>
    <row r="1" spans="1:10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2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2">
      <c r="A4" s="135"/>
      <c r="B4" s="135"/>
      <c r="C4" s="135"/>
      <c r="D4" s="135"/>
      <c r="E4" s="135"/>
      <c r="F4" s="135"/>
      <c r="G4" s="135"/>
      <c r="H4" s="135"/>
      <c r="I4" s="135"/>
      <c r="J4" s="135"/>
    </row>
    <row r="6" spans="1:10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x14ac:dyDescent="0.2">
      <c r="A7" s="152" t="str">
        <f>'CAPGDS1000000782 Input'!A7:J7</f>
        <v>Pro Forma Adjustment - Project In Service During Test Year</v>
      </c>
      <c r="B7" s="152"/>
      <c r="C7" s="152"/>
      <c r="D7" s="152"/>
      <c r="E7" s="152"/>
      <c r="F7" s="152"/>
      <c r="G7" s="152"/>
      <c r="H7" s="152"/>
      <c r="I7" s="152"/>
      <c r="J7" s="152"/>
    </row>
    <row r="8" spans="1:10" x14ac:dyDescent="0.2">
      <c r="A8" s="153" t="str">
        <f>'CAPGDS1000000782 Input'!F9</f>
        <v>SFS - Cliff I229 Interchange</v>
      </c>
      <c r="B8" s="153"/>
      <c r="C8" s="153"/>
      <c r="D8" s="153"/>
      <c r="E8" s="153"/>
      <c r="F8" s="153"/>
      <c r="G8" s="153"/>
      <c r="H8" s="153"/>
      <c r="I8" s="153"/>
      <c r="J8" s="153"/>
    </row>
    <row r="48" spans="1:10" x14ac:dyDescent="0.2">
      <c r="A48" s="152" t="s">
        <v>56</v>
      </c>
      <c r="B48" s="152"/>
      <c r="C48" s="152"/>
      <c r="D48" s="152"/>
      <c r="E48" s="152"/>
      <c r="F48" s="152"/>
      <c r="G48" s="152"/>
      <c r="H48" s="152"/>
      <c r="I48" s="152"/>
      <c r="J48" s="152"/>
    </row>
    <row r="49" spans="1:10" x14ac:dyDescent="0.2">
      <c r="A49" s="153" t="s">
        <v>130</v>
      </c>
      <c r="B49" s="153"/>
      <c r="C49" s="153"/>
      <c r="D49" s="153"/>
      <c r="E49" s="153"/>
      <c r="F49" s="153"/>
      <c r="G49" s="153"/>
      <c r="H49" s="153"/>
      <c r="I49" s="153"/>
      <c r="J49" s="153"/>
    </row>
    <row r="96" spans="1:10" x14ac:dyDescent="0.2">
      <c r="A96" s="152" t="s">
        <v>56</v>
      </c>
      <c r="B96" s="152"/>
      <c r="C96" s="152"/>
      <c r="D96" s="152"/>
      <c r="E96" s="152"/>
      <c r="F96" s="152"/>
      <c r="G96" s="152"/>
      <c r="H96" s="152"/>
      <c r="I96" s="152"/>
      <c r="J96" s="152"/>
    </row>
    <row r="97" spans="1:10" x14ac:dyDescent="0.2">
      <c r="A97" s="153" t="s">
        <v>130</v>
      </c>
      <c r="B97" s="153"/>
      <c r="C97" s="153"/>
      <c r="D97" s="153"/>
      <c r="E97" s="153"/>
      <c r="F97" s="153"/>
      <c r="G97" s="153"/>
      <c r="H97" s="153"/>
      <c r="I97" s="153"/>
      <c r="J97" s="153"/>
    </row>
    <row r="157" spans="1:10" x14ac:dyDescent="0.2">
      <c r="A157" s="152" t="s">
        <v>56</v>
      </c>
      <c r="B157" s="152"/>
      <c r="C157" s="152"/>
      <c r="D157" s="152"/>
      <c r="E157" s="152"/>
      <c r="F157" s="152"/>
      <c r="G157" s="152"/>
      <c r="H157" s="152"/>
      <c r="I157" s="152"/>
      <c r="J157" s="152"/>
    </row>
    <row r="158" spans="1:10" x14ac:dyDescent="0.2">
      <c r="A158" s="153" t="s">
        <v>130</v>
      </c>
      <c r="B158" s="153"/>
      <c r="C158" s="153"/>
      <c r="D158" s="153"/>
      <c r="E158" s="153"/>
      <c r="F158" s="153"/>
      <c r="G158" s="153"/>
      <c r="H158" s="153"/>
      <c r="I158" s="153"/>
      <c r="J158" s="153"/>
    </row>
    <row r="224" spans="1:10" x14ac:dyDescent="0.2">
      <c r="A224" s="152" t="str">
        <f>A7</f>
        <v>Pro Forma Adjustment - Project In Service During Test Year</v>
      </c>
      <c r="B224" s="152"/>
      <c r="C224" s="152"/>
      <c r="D224" s="152"/>
      <c r="E224" s="152"/>
      <c r="F224" s="152"/>
      <c r="G224" s="152"/>
      <c r="H224" s="152"/>
      <c r="I224" s="152"/>
      <c r="J224" s="152"/>
    </row>
    <row r="225" spans="1:10" x14ac:dyDescent="0.2">
      <c r="A225" s="153" t="str">
        <f>A8</f>
        <v>SFS - Cliff I229 Interchange</v>
      </c>
      <c r="B225" s="153"/>
      <c r="C225" s="153"/>
      <c r="D225" s="153"/>
      <c r="E225" s="153"/>
      <c r="F225" s="153"/>
      <c r="G225" s="153"/>
      <c r="H225" s="153"/>
      <c r="I225" s="153"/>
      <c r="J225" s="153"/>
    </row>
    <row r="280" spans="1:10" x14ac:dyDescent="0.2">
      <c r="A280" s="152" t="s">
        <v>56</v>
      </c>
      <c r="B280" s="152"/>
      <c r="C280" s="152"/>
      <c r="D280" s="152"/>
      <c r="E280" s="152"/>
      <c r="F280" s="152"/>
      <c r="G280" s="152"/>
      <c r="H280" s="152"/>
      <c r="I280" s="152"/>
      <c r="J280" s="152"/>
    </row>
    <row r="281" spans="1:10" x14ac:dyDescent="0.2">
      <c r="A281" s="153" t="s">
        <v>130</v>
      </c>
      <c r="B281" s="153"/>
      <c r="C281" s="153"/>
      <c r="D281" s="153"/>
      <c r="E281" s="153"/>
      <c r="F281" s="153"/>
      <c r="G281" s="153"/>
      <c r="H281" s="153"/>
      <c r="I281" s="153"/>
      <c r="J281" s="153"/>
    </row>
    <row r="320" spans="1:10" x14ac:dyDescent="0.2">
      <c r="A320" s="152"/>
      <c r="B320" s="152"/>
      <c r="C320" s="152"/>
      <c r="D320" s="152"/>
      <c r="E320" s="152"/>
      <c r="F320" s="152"/>
      <c r="G320" s="152"/>
      <c r="H320" s="152"/>
      <c r="I320" s="152"/>
      <c r="J320" s="152"/>
    </row>
    <row r="324" spans="1:10" x14ac:dyDescent="0.2">
      <c r="A324" s="152" t="str">
        <f>A7</f>
        <v>Pro Forma Adjustment - Project In Service During Test Year</v>
      </c>
      <c r="B324" s="152"/>
      <c r="C324" s="152"/>
      <c r="D324" s="152"/>
      <c r="E324" s="152"/>
      <c r="F324" s="152"/>
      <c r="G324" s="152"/>
      <c r="H324" s="152"/>
      <c r="I324" s="152"/>
      <c r="J324" s="152"/>
    </row>
    <row r="325" spans="1:10" x14ac:dyDescent="0.2">
      <c r="A325" s="153" t="str">
        <f>A8</f>
        <v>SFS - Cliff I229 Interchange</v>
      </c>
      <c r="B325" s="153"/>
      <c r="C325" s="153"/>
      <c r="D325" s="153"/>
      <c r="E325" s="153"/>
      <c r="F325" s="153"/>
      <c r="G325" s="153"/>
      <c r="H325" s="153"/>
      <c r="I325" s="153"/>
      <c r="J325" s="153"/>
    </row>
    <row r="327" spans="1:10" x14ac:dyDescent="0.2">
      <c r="A327" s="86" t="s">
        <v>1</v>
      </c>
    </row>
    <row r="328" spans="1:10" x14ac:dyDescent="0.2">
      <c r="A328" s="87" t="s">
        <v>108</v>
      </c>
      <c r="B328" s="72" t="s">
        <v>106</v>
      </c>
      <c r="D328" s="73" t="s">
        <v>3</v>
      </c>
    </row>
    <row r="329" spans="1:10" x14ac:dyDescent="0.2">
      <c r="B329" s="74" t="s">
        <v>5</v>
      </c>
      <c r="C329" s="74"/>
      <c r="D329" s="74" t="s">
        <v>6</v>
      </c>
    </row>
    <row r="332" spans="1:10" x14ac:dyDescent="0.2">
      <c r="A332" s="69">
        <v>1</v>
      </c>
      <c r="B332" s="70">
        <f>'CAPGDS1000000782 Input'!B17</f>
        <v>45672</v>
      </c>
      <c r="D332" s="71">
        <v>0</v>
      </c>
    </row>
    <row r="333" spans="1:10" x14ac:dyDescent="0.2">
      <c r="A333" s="69">
        <f>A332+1</f>
        <v>2</v>
      </c>
      <c r="B333" s="70">
        <f>'CAPGDS1000000782 Input'!B18</f>
        <v>45702</v>
      </c>
      <c r="D333" s="71">
        <v>0</v>
      </c>
    </row>
    <row r="334" spans="1:10" x14ac:dyDescent="0.2">
      <c r="A334" s="69">
        <f>A333+1</f>
        <v>3</v>
      </c>
      <c r="B334" s="70">
        <f>'CAPGDS1000000782 Input'!B19</f>
        <v>45732</v>
      </c>
      <c r="D334" s="71">
        <v>0</v>
      </c>
    </row>
    <row r="335" spans="1:10" x14ac:dyDescent="0.2">
      <c r="A335" s="69">
        <f t="shared" ref="A335:A348" si="0">A334+1</f>
        <v>4</v>
      </c>
      <c r="B335" s="70">
        <f>'CAPGDS1000000782 Input'!B20</f>
        <v>45762</v>
      </c>
      <c r="D335" s="71">
        <v>0</v>
      </c>
    </row>
    <row r="336" spans="1:10" x14ac:dyDescent="0.2">
      <c r="A336" s="69">
        <f t="shared" si="0"/>
        <v>5</v>
      </c>
      <c r="B336" s="70">
        <f>'CAPGDS1000000782 Input'!B21</f>
        <v>45792</v>
      </c>
      <c r="D336" s="71">
        <v>0</v>
      </c>
    </row>
    <row r="337" spans="1:4" x14ac:dyDescent="0.2">
      <c r="A337" s="69">
        <f t="shared" si="0"/>
        <v>6</v>
      </c>
      <c r="B337" s="70">
        <f>'CAPGDS1000000782 Input'!B22</f>
        <v>45822</v>
      </c>
      <c r="D337" s="71">
        <v>0</v>
      </c>
    </row>
    <row r="338" spans="1:4" x14ac:dyDescent="0.2">
      <c r="A338" s="69">
        <f t="shared" si="0"/>
        <v>7</v>
      </c>
      <c r="B338" s="70">
        <f>'CAPGDS1000000782 Input'!B23</f>
        <v>45852</v>
      </c>
      <c r="D338" s="71">
        <v>0</v>
      </c>
    </row>
    <row r="339" spans="1:4" x14ac:dyDescent="0.2">
      <c r="A339" s="69">
        <f t="shared" si="0"/>
        <v>8</v>
      </c>
      <c r="B339" s="70">
        <f>'CAPGDS1000000782 Input'!B24</f>
        <v>45882</v>
      </c>
      <c r="D339" s="71">
        <v>0</v>
      </c>
    </row>
    <row r="340" spans="1:4" x14ac:dyDescent="0.2">
      <c r="A340" s="69">
        <f t="shared" si="0"/>
        <v>9</v>
      </c>
      <c r="B340" s="70">
        <f>'CAPGDS1000000782 Input'!B25</f>
        <v>45912</v>
      </c>
      <c r="D340" s="71">
        <v>0</v>
      </c>
    </row>
    <row r="341" spans="1:4" x14ac:dyDescent="0.2">
      <c r="A341" s="69">
        <f t="shared" si="0"/>
        <v>10</v>
      </c>
      <c r="B341" s="70">
        <f>'CAPGDS1000000782 Input'!B26</f>
        <v>45942</v>
      </c>
      <c r="D341" s="71">
        <v>736595.01</v>
      </c>
    </row>
    <row r="342" spans="1:4" x14ac:dyDescent="0.2">
      <c r="A342" s="69">
        <f t="shared" si="0"/>
        <v>11</v>
      </c>
      <c r="B342" s="70">
        <f>'CAPGDS1000000782 Input'!B27</f>
        <v>45972</v>
      </c>
      <c r="D342" s="71">
        <v>0</v>
      </c>
    </row>
    <row r="343" spans="1:4" x14ac:dyDescent="0.2">
      <c r="A343" s="69">
        <f t="shared" si="0"/>
        <v>12</v>
      </c>
      <c r="B343" s="70">
        <f>'CAPGDS1000000782 Input'!B28</f>
        <v>46002</v>
      </c>
      <c r="D343" s="100">
        <v>-78311.3</v>
      </c>
    </row>
    <row r="344" spans="1:4" x14ac:dyDescent="0.2">
      <c r="A344" s="69">
        <f t="shared" si="0"/>
        <v>13</v>
      </c>
      <c r="B344" s="70"/>
      <c r="D344" s="75"/>
    </row>
    <row r="345" spans="1:4" ht="12" thickBot="1" x14ac:dyDescent="0.25">
      <c r="A345" s="69">
        <f t="shared" si="0"/>
        <v>14</v>
      </c>
      <c r="B345" s="70" t="s">
        <v>40</v>
      </c>
      <c r="D345" s="76">
        <f>SUM(D335:D344)</f>
        <v>658283.71</v>
      </c>
    </row>
    <row r="346" spans="1:4" ht="12" thickTop="1" x14ac:dyDescent="0.2">
      <c r="A346" s="69">
        <f t="shared" si="0"/>
        <v>15</v>
      </c>
    </row>
    <row r="347" spans="1:4" x14ac:dyDescent="0.2">
      <c r="A347" s="69">
        <f t="shared" si="0"/>
        <v>16</v>
      </c>
      <c r="D347" s="65" t="s">
        <v>85</v>
      </c>
    </row>
    <row r="348" spans="1:4" x14ac:dyDescent="0.2">
      <c r="A348" s="69">
        <f t="shared" si="0"/>
        <v>17</v>
      </c>
      <c r="D348" s="65" t="s">
        <v>179</v>
      </c>
    </row>
    <row r="374" spans="8:8" x14ac:dyDescent="0.2">
      <c r="H374" s="65" t="s">
        <v>85</v>
      </c>
    </row>
    <row r="375" spans="8:8" x14ac:dyDescent="0.2">
      <c r="H375" s="65" t="s">
        <v>179</v>
      </c>
    </row>
  </sheetData>
  <mergeCells count="18">
    <mergeCell ref="A281:J281"/>
    <mergeCell ref="A225:J225"/>
    <mergeCell ref="A320:J320"/>
    <mergeCell ref="A324:J324"/>
    <mergeCell ref="A325:J325"/>
    <mergeCell ref="A280:J280"/>
    <mergeCell ref="A1:J1"/>
    <mergeCell ref="A2:J2"/>
    <mergeCell ref="A6:J6"/>
    <mergeCell ref="A7:J7"/>
    <mergeCell ref="A8:J8"/>
    <mergeCell ref="A224:J224"/>
    <mergeCell ref="A48:J48"/>
    <mergeCell ref="A49:J49"/>
    <mergeCell ref="A96:J96"/>
    <mergeCell ref="A97:J97"/>
    <mergeCell ref="A157:J157"/>
    <mergeCell ref="A158:J15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6" manualBreakCount="6">
    <brk id="43" max="9" man="1"/>
    <brk id="91" max="9" man="1"/>
    <brk id="152" max="9" man="1"/>
    <brk id="219" max="9" man="1"/>
    <brk id="276" max="9" man="1"/>
    <brk id="319" max="9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BDAA-6E7A-443E-B5BB-0D0C98E71B4F}">
  <dimension ref="A1:N43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33" customWidth="1"/>
    <col min="2" max="2" width="13.7109375" style="33" customWidth="1"/>
    <col min="3" max="3" width="0.85546875" style="33" customWidth="1"/>
    <col min="4" max="4" width="17.42578125" style="33" customWidth="1"/>
    <col min="5" max="5" width="0.85546875" style="33" customWidth="1"/>
    <col min="6" max="6" width="10.140625" style="33" customWidth="1"/>
    <col min="7" max="7" width="0.85546875" style="33" customWidth="1"/>
    <col min="8" max="8" width="10.28515625" style="33" customWidth="1"/>
    <col min="9" max="9" width="0.85546875" style="33" customWidth="1"/>
    <col min="10" max="10" width="8" style="33"/>
    <col min="11" max="11" width="1.140625" style="33" customWidth="1"/>
    <col min="12" max="12" width="9.28515625" style="33" customWidth="1"/>
    <col min="13" max="13" width="1.42578125" style="33" customWidth="1"/>
    <col min="14" max="16384" width="8" style="33"/>
  </cols>
  <sheetData>
    <row r="1" spans="1:14" ht="13.5" customHeight="1" x14ac:dyDescent="0.2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4" ht="13.5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4" ht="13.5" customHeight="1" x14ac:dyDescent="0.2"/>
    <row r="4" spans="1:14" ht="13.5" customHeight="1" x14ac:dyDescent="0.2"/>
    <row r="5" spans="1:14" ht="13.5" customHeight="1" x14ac:dyDescent="0.2"/>
    <row r="6" spans="1:14" ht="13.5" customHeight="1" x14ac:dyDescent="0.2"/>
    <row r="7" spans="1:14" ht="12" customHeight="1" x14ac:dyDescent="0.2">
      <c r="A7" s="145" t="s">
        <v>56</v>
      </c>
      <c r="B7" s="145"/>
      <c r="C7" s="145"/>
      <c r="D7" s="145"/>
      <c r="E7" s="145"/>
      <c r="F7" s="145"/>
      <c r="G7" s="145"/>
      <c r="H7" s="145"/>
      <c r="I7" s="145"/>
      <c r="J7" s="145"/>
    </row>
    <row r="8" spans="1:14" x14ac:dyDescent="0.2">
      <c r="B8" s="146"/>
      <c r="C8" s="147"/>
      <c r="D8" s="147"/>
      <c r="F8" s="148"/>
      <c r="G8" s="148"/>
      <c r="H8" s="148"/>
    </row>
    <row r="9" spans="1:14" x14ac:dyDescent="0.2">
      <c r="B9" s="90" t="s">
        <v>57</v>
      </c>
      <c r="D9" s="91" t="s">
        <v>137</v>
      </c>
      <c r="E9" s="34"/>
      <c r="F9" s="143" t="s">
        <v>138</v>
      </c>
      <c r="G9" s="144"/>
      <c r="H9" s="144"/>
      <c r="I9" s="144"/>
      <c r="J9" s="144"/>
    </row>
    <row r="10" spans="1:14" x14ac:dyDescent="0.2">
      <c r="B10" s="34" t="s">
        <v>58</v>
      </c>
      <c r="D10" s="92">
        <f>'CAPCIT1000000678 Support'!G29</f>
        <v>0.4662</v>
      </c>
      <c r="F10" s="34" t="s">
        <v>59</v>
      </c>
      <c r="H10" s="99">
        <f>'CAPCIT1000000678 Support'!I25</f>
        <v>0.13886981685088706</v>
      </c>
    </row>
    <row r="11" spans="1:14" x14ac:dyDescent="0.2">
      <c r="L11" s="36" t="s">
        <v>60</v>
      </c>
      <c r="N11" s="36" t="s">
        <v>47</v>
      </c>
    </row>
    <row r="12" spans="1:14" x14ac:dyDescent="0.2">
      <c r="A12" s="33" t="s">
        <v>1</v>
      </c>
      <c r="F12" s="35" t="s">
        <v>61</v>
      </c>
      <c r="G12" s="35"/>
      <c r="H12" s="35"/>
      <c r="J12" s="36" t="s">
        <v>50</v>
      </c>
      <c r="L12" s="36" t="s">
        <v>50</v>
      </c>
      <c r="N12" s="36" t="s">
        <v>62</v>
      </c>
    </row>
    <row r="13" spans="1:14" x14ac:dyDescent="0.2">
      <c r="A13" s="89" t="s">
        <v>108</v>
      </c>
      <c r="B13" s="93" t="s">
        <v>63</v>
      </c>
      <c r="D13" s="37" t="s">
        <v>64</v>
      </c>
      <c r="E13" s="38"/>
      <c r="F13" s="37" t="s">
        <v>65</v>
      </c>
      <c r="H13" s="37" t="s">
        <v>66</v>
      </c>
      <c r="J13" s="37" t="s">
        <v>67</v>
      </c>
      <c r="L13" s="37" t="s">
        <v>67</v>
      </c>
      <c r="N13" s="37" t="s">
        <v>68</v>
      </c>
    </row>
    <row r="14" spans="1:14" x14ac:dyDescent="0.2">
      <c r="B14" s="94" t="s">
        <v>5</v>
      </c>
      <c r="D14" s="36" t="s">
        <v>6</v>
      </c>
      <c r="E14" s="38"/>
      <c r="F14" s="36" t="s">
        <v>7</v>
      </c>
      <c r="H14" s="36" t="s">
        <v>41</v>
      </c>
      <c r="J14" s="36" t="s">
        <v>42</v>
      </c>
      <c r="L14" s="36" t="s">
        <v>43</v>
      </c>
      <c r="N14" s="36" t="s">
        <v>44</v>
      </c>
    </row>
    <row r="15" spans="1:14" x14ac:dyDescent="0.2">
      <c r="B15" s="95"/>
      <c r="D15" s="36"/>
      <c r="E15" s="38"/>
      <c r="F15" s="36"/>
      <c r="H15" s="36"/>
      <c r="J15" s="36"/>
    </row>
    <row r="16" spans="1:14" x14ac:dyDescent="0.2">
      <c r="A16" s="36">
        <v>1</v>
      </c>
      <c r="B16" s="40">
        <v>45641</v>
      </c>
      <c r="D16" s="44">
        <v>0</v>
      </c>
      <c r="E16" s="38"/>
      <c r="F16" s="36" t="s">
        <v>140</v>
      </c>
      <c r="H16" s="6">
        <v>1</v>
      </c>
      <c r="J16" s="114">
        <f>1/60</f>
        <v>1.6666666666666666E-2</v>
      </c>
      <c r="L16" s="114">
        <v>0.33333000000000002</v>
      </c>
      <c r="N16" s="96">
        <v>0.21</v>
      </c>
    </row>
    <row r="17" spans="1:10" x14ac:dyDescent="0.2">
      <c r="A17" s="36">
        <v>2</v>
      </c>
      <c r="B17" s="41">
        <v>45672</v>
      </c>
      <c r="D17" s="44">
        <v>0</v>
      </c>
      <c r="E17" s="38"/>
      <c r="F17" s="36" t="s">
        <v>69</v>
      </c>
      <c r="H17" s="6">
        <v>0</v>
      </c>
      <c r="J17" s="43">
        <v>0</v>
      </c>
    </row>
    <row r="18" spans="1:10" x14ac:dyDescent="0.2">
      <c r="A18" s="36">
        <v>3</v>
      </c>
      <c r="B18" s="41">
        <f>B17+30</f>
        <v>45702</v>
      </c>
      <c r="D18" s="44">
        <v>0</v>
      </c>
      <c r="E18" s="38"/>
      <c r="F18" s="36" t="s">
        <v>69</v>
      </c>
      <c r="H18" s="6">
        <v>0</v>
      </c>
      <c r="J18" s="43">
        <v>0</v>
      </c>
    </row>
    <row r="19" spans="1:10" x14ac:dyDescent="0.2">
      <c r="A19" s="36">
        <v>4</v>
      </c>
      <c r="B19" s="41">
        <f t="shared" ref="B19:B28" si="0">B18+30</f>
        <v>45732</v>
      </c>
      <c r="D19" s="44">
        <v>0</v>
      </c>
      <c r="E19" s="38"/>
      <c r="F19" s="36" t="s">
        <v>69</v>
      </c>
      <c r="H19" s="6">
        <v>0</v>
      </c>
      <c r="J19" s="43">
        <v>0</v>
      </c>
    </row>
    <row r="20" spans="1:10" x14ac:dyDescent="0.2">
      <c r="A20" s="36">
        <v>5</v>
      </c>
      <c r="B20" s="41">
        <f t="shared" si="0"/>
        <v>45762</v>
      </c>
      <c r="D20" s="44">
        <f>+'CAPGDS1000000935 Support'!D199</f>
        <v>0</v>
      </c>
      <c r="E20" s="38"/>
      <c r="F20" s="36" t="s">
        <v>69</v>
      </c>
      <c r="H20" s="6">
        <v>0</v>
      </c>
      <c r="J20" s="43">
        <v>0</v>
      </c>
    </row>
    <row r="21" spans="1:10" x14ac:dyDescent="0.2">
      <c r="A21" s="36">
        <v>6</v>
      </c>
      <c r="B21" s="41">
        <f t="shared" si="0"/>
        <v>45792</v>
      </c>
      <c r="D21" s="44">
        <f>+'CAPGDS1000000935 Support'!D200+D20</f>
        <v>0</v>
      </c>
      <c r="E21" s="38"/>
      <c r="F21" s="36"/>
      <c r="H21" s="42" t="s">
        <v>9</v>
      </c>
      <c r="J21" s="43"/>
    </row>
    <row r="22" spans="1:10" x14ac:dyDescent="0.2">
      <c r="A22" s="36">
        <v>7</v>
      </c>
      <c r="B22" s="41">
        <f t="shared" si="0"/>
        <v>45822</v>
      </c>
      <c r="D22" s="44">
        <f>+'CAPGDS1000000935 Support'!D201+D21</f>
        <v>0</v>
      </c>
      <c r="E22" s="38"/>
      <c r="F22" s="36"/>
      <c r="H22" s="42" t="s">
        <v>9</v>
      </c>
      <c r="J22" s="43"/>
    </row>
    <row r="23" spans="1:10" x14ac:dyDescent="0.2">
      <c r="A23" s="36">
        <v>8</v>
      </c>
      <c r="B23" s="41">
        <f t="shared" si="0"/>
        <v>45852</v>
      </c>
      <c r="D23" s="44">
        <f>+'CAPGDS1000000935 Support'!D202+D22</f>
        <v>0</v>
      </c>
      <c r="E23" s="38"/>
      <c r="F23" s="36"/>
      <c r="H23" s="42" t="s">
        <v>9</v>
      </c>
      <c r="J23" s="43"/>
    </row>
    <row r="24" spans="1:10" x14ac:dyDescent="0.2">
      <c r="A24" s="36">
        <v>9</v>
      </c>
      <c r="B24" s="41">
        <f t="shared" si="0"/>
        <v>45882</v>
      </c>
      <c r="D24" s="44">
        <f>+'CAPGDS1000000935 Support'!D203+D23</f>
        <v>0</v>
      </c>
      <c r="E24" s="38"/>
      <c r="F24" s="36"/>
      <c r="H24" s="42" t="s">
        <v>9</v>
      </c>
      <c r="J24" s="43"/>
    </row>
    <row r="25" spans="1:10" x14ac:dyDescent="0.2">
      <c r="A25" s="36">
        <v>10</v>
      </c>
      <c r="B25" s="41">
        <f t="shared" si="0"/>
        <v>45912</v>
      </c>
      <c r="D25" s="116">
        <f>+'CAPCIT1000000678 Support'!D178+D24</f>
        <v>1452599.69</v>
      </c>
      <c r="E25" s="38"/>
      <c r="F25" s="36"/>
      <c r="H25" s="42" t="s">
        <v>9</v>
      </c>
      <c r="J25" s="43"/>
    </row>
    <row r="26" spans="1:10" x14ac:dyDescent="0.2">
      <c r="A26" s="36">
        <v>11</v>
      </c>
      <c r="B26" s="41">
        <f t="shared" si="0"/>
        <v>45942</v>
      </c>
      <c r="D26" s="116">
        <f>+'CAPCIT1000000678 Support'!D179+D25</f>
        <v>1452599.69</v>
      </c>
      <c r="E26" s="38"/>
      <c r="F26" s="36"/>
      <c r="H26" s="42" t="s">
        <v>9</v>
      </c>
      <c r="J26" s="43"/>
    </row>
    <row r="27" spans="1:10" x14ac:dyDescent="0.2">
      <c r="A27" s="36">
        <v>12</v>
      </c>
      <c r="B27" s="41">
        <f t="shared" si="0"/>
        <v>45972</v>
      </c>
      <c r="D27" s="116">
        <f>+'CAPCIT1000000678 Support'!D180+D26</f>
        <v>1452599.69</v>
      </c>
      <c r="E27" s="38"/>
      <c r="H27" s="42" t="s">
        <v>9</v>
      </c>
      <c r="J27" s="43"/>
    </row>
    <row r="28" spans="1:10" x14ac:dyDescent="0.2">
      <c r="A28" s="36">
        <v>13</v>
      </c>
      <c r="B28" s="41">
        <f t="shared" si="0"/>
        <v>46002</v>
      </c>
      <c r="D28" s="116">
        <f>+'CAPCIT1000000678 Support'!D181+D27</f>
        <v>1452599.69</v>
      </c>
      <c r="E28" s="38"/>
      <c r="H28" s="42"/>
      <c r="J28" s="43"/>
    </row>
    <row r="29" spans="1:10" x14ac:dyDescent="0.2">
      <c r="A29" s="36">
        <v>14</v>
      </c>
      <c r="D29" s="44"/>
      <c r="E29" s="38"/>
      <c r="J29" s="43"/>
    </row>
    <row r="30" spans="1:10" x14ac:dyDescent="0.2">
      <c r="A30" s="36">
        <v>15</v>
      </c>
      <c r="B30" s="34" t="s">
        <v>70</v>
      </c>
      <c r="D30" s="115">
        <v>45672</v>
      </c>
    </row>
    <row r="31" spans="1:10" x14ac:dyDescent="0.2">
      <c r="A31" s="36">
        <v>16</v>
      </c>
      <c r="B31" s="34" t="s">
        <v>71</v>
      </c>
      <c r="D31" s="98">
        <v>1452599.69</v>
      </c>
    </row>
    <row r="33" spans="2:2" x14ac:dyDescent="0.2">
      <c r="B33" s="45" t="s">
        <v>72</v>
      </c>
    </row>
    <row r="34" spans="2:2" x14ac:dyDescent="0.2">
      <c r="B34" s="45" t="s">
        <v>73</v>
      </c>
    </row>
    <row r="35" spans="2:2" x14ac:dyDescent="0.2">
      <c r="B35" s="45" t="s">
        <v>180</v>
      </c>
    </row>
    <row r="36" spans="2:2" x14ac:dyDescent="0.2">
      <c r="B36" s="45" t="s">
        <v>181</v>
      </c>
    </row>
    <row r="37" spans="2:2" x14ac:dyDescent="0.2">
      <c r="B37" s="45" t="s">
        <v>182</v>
      </c>
    </row>
    <row r="38" spans="2:2" x14ac:dyDescent="0.2">
      <c r="B38" s="45" t="s">
        <v>183</v>
      </c>
    </row>
    <row r="39" spans="2:2" x14ac:dyDescent="0.2">
      <c r="B39" s="45" t="s">
        <v>184</v>
      </c>
    </row>
    <row r="40" spans="2:2" x14ac:dyDescent="0.2">
      <c r="B40" s="45" t="s">
        <v>185</v>
      </c>
    </row>
    <row r="41" spans="2:2" x14ac:dyDescent="0.2">
      <c r="B41" s="33" t="s">
        <v>74</v>
      </c>
    </row>
    <row r="42" spans="2:2" x14ac:dyDescent="0.2">
      <c r="B42" s="82" t="s">
        <v>160</v>
      </c>
    </row>
    <row r="43" spans="2:2" x14ac:dyDescent="0.2">
      <c r="B43" s="33" t="s">
        <v>75</v>
      </c>
    </row>
  </sheetData>
  <mergeCells count="6">
    <mergeCell ref="F9:J9"/>
    <mergeCell ref="A1:J1"/>
    <mergeCell ref="A2:J2"/>
    <mergeCell ref="A7:J7"/>
    <mergeCell ref="B8:D8"/>
    <mergeCell ref="F8:H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81B8-405C-4E06-BA0D-33B799D8907F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9" customWidth="1"/>
    <col min="2" max="2" width="1" style="49" customWidth="1"/>
    <col min="3" max="3" width="14.7109375" style="49" customWidth="1"/>
    <col min="4" max="4" width="1" style="49" customWidth="1"/>
    <col min="5" max="5" width="17.85546875" style="49" customWidth="1"/>
    <col min="6" max="6" width="1" style="49" customWidth="1"/>
    <col min="7" max="7" width="17.85546875" style="49" customWidth="1"/>
    <col min="8" max="8" width="1" style="49" customWidth="1"/>
    <col min="9" max="9" width="15.85546875" style="49" customWidth="1"/>
    <col min="10" max="10" width="6.42578125" style="49" customWidth="1"/>
    <col min="11" max="11" width="4.85546875" style="49" customWidth="1"/>
    <col min="12" max="12" width="1" style="49" customWidth="1"/>
    <col min="13" max="13" width="25.140625" style="49" customWidth="1"/>
    <col min="14" max="14" width="1" style="49" customWidth="1"/>
    <col min="15" max="15" width="14.85546875" style="49" customWidth="1"/>
    <col min="16" max="16" width="1" style="49" customWidth="1"/>
    <col min="17" max="17" width="14.85546875" style="49" customWidth="1"/>
    <col min="18" max="18" width="1" style="49" customWidth="1"/>
    <col min="19" max="19" width="13.85546875" style="49" customWidth="1"/>
    <col min="20" max="20" width="6.42578125" style="49" customWidth="1"/>
    <col min="21" max="21" width="4.85546875" style="49" customWidth="1"/>
    <col min="22" max="22" width="1" style="49" customWidth="1"/>
    <col min="23" max="23" width="25.140625" style="49" customWidth="1"/>
    <col min="24" max="24" width="1" style="49" customWidth="1"/>
    <col min="25" max="25" width="14.85546875" style="49" customWidth="1"/>
    <col min="26" max="26" width="1" style="49" customWidth="1"/>
    <col min="27" max="27" width="14.85546875" style="49" customWidth="1"/>
    <col min="28" max="28" width="1" style="49" customWidth="1"/>
    <col min="29" max="29" width="13.85546875" style="49" customWidth="1"/>
    <col min="30" max="30" width="6.42578125" style="49" customWidth="1"/>
    <col min="31" max="31" width="4.85546875" style="49" customWidth="1"/>
    <col min="32" max="32" width="1" style="49" customWidth="1"/>
    <col min="33" max="33" width="25.140625" style="49" customWidth="1"/>
    <col min="34" max="34" width="1" style="49" customWidth="1"/>
    <col min="35" max="35" width="14.85546875" style="49" customWidth="1"/>
    <col min="36" max="36" width="1" style="49" customWidth="1"/>
    <col min="37" max="37" width="14.85546875" style="49" customWidth="1"/>
    <col min="38" max="38" width="1" style="49" customWidth="1"/>
    <col min="39" max="39" width="13.85546875" style="49" customWidth="1"/>
    <col min="40" max="40" width="6.42578125" style="49" customWidth="1"/>
    <col min="41" max="41" width="4.85546875" style="49" customWidth="1"/>
    <col min="42" max="42" width="1" style="49" customWidth="1"/>
    <col min="43" max="43" width="17.85546875" style="49" customWidth="1"/>
    <col min="44" max="44" width="1" style="49" customWidth="1"/>
    <col min="45" max="45" width="14.85546875" style="49" customWidth="1"/>
    <col min="46" max="46" width="1" style="49" customWidth="1"/>
    <col min="47" max="47" width="14.85546875" style="49" customWidth="1"/>
    <col min="48" max="48" width="1" style="49" customWidth="1"/>
    <col min="49" max="49" width="13.85546875" style="49" customWidth="1"/>
    <col min="50" max="16384" width="11" style="49"/>
  </cols>
  <sheetData>
    <row r="1" spans="1:10" x14ac:dyDescent="0.2">
      <c r="A1" s="46"/>
      <c r="B1" s="46"/>
      <c r="C1" s="47"/>
      <c r="D1" s="47"/>
      <c r="E1" s="47"/>
      <c r="F1" s="47"/>
      <c r="G1" s="47"/>
      <c r="H1" s="47"/>
      <c r="I1" s="47"/>
      <c r="J1" s="48" t="s">
        <v>9</v>
      </c>
    </row>
    <row r="2" spans="1:10" x14ac:dyDescent="0.2">
      <c r="A2" s="46"/>
      <c r="B2" s="46"/>
      <c r="C2" s="47"/>
      <c r="D2" s="47"/>
      <c r="E2" s="47"/>
      <c r="F2" s="47"/>
      <c r="G2" s="47"/>
      <c r="H2" s="47"/>
      <c r="I2" s="47"/>
      <c r="J2" s="48" t="s">
        <v>9</v>
      </c>
    </row>
    <row r="3" spans="1:10" x14ac:dyDescent="0.2">
      <c r="A3" s="46"/>
      <c r="B3" s="46"/>
      <c r="C3" s="47"/>
      <c r="D3" s="47"/>
      <c r="E3" s="47"/>
      <c r="F3" s="47"/>
      <c r="G3" s="47"/>
      <c r="H3" s="47"/>
      <c r="I3" s="47"/>
      <c r="J3" s="48"/>
    </row>
    <row r="4" spans="1:10" x14ac:dyDescent="0.2">
      <c r="A4" s="46"/>
      <c r="B4" s="46"/>
      <c r="C4" s="47"/>
      <c r="D4" s="47"/>
      <c r="E4" s="47"/>
      <c r="F4" s="47"/>
      <c r="G4" s="47"/>
      <c r="H4" s="47"/>
      <c r="I4" s="47"/>
      <c r="J4" s="48"/>
    </row>
    <row r="5" spans="1:10" x14ac:dyDescent="0.2">
      <c r="J5" s="48" t="s">
        <v>9</v>
      </c>
    </row>
    <row r="6" spans="1:10" x14ac:dyDescent="0.2">
      <c r="A6" s="149"/>
      <c r="B6" s="149"/>
      <c r="C6" s="149"/>
      <c r="D6" s="149"/>
      <c r="E6" s="149"/>
      <c r="F6" s="149"/>
      <c r="G6" s="149"/>
      <c r="H6" s="149"/>
      <c r="I6" s="149"/>
      <c r="J6" s="48"/>
    </row>
    <row r="7" spans="1:10" x14ac:dyDescent="0.2">
      <c r="A7" s="46" t="str">
        <f>'CAPCIT1000000678 Input'!A7:J7</f>
        <v>Pro Forma Adjustment - Project In Service During Test Year</v>
      </c>
      <c r="B7" s="46"/>
      <c r="C7" s="47"/>
      <c r="D7" s="47"/>
      <c r="E7" s="47"/>
      <c r="F7" s="47"/>
      <c r="G7" s="47"/>
      <c r="H7" s="47"/>
      <c r="I7" s="47"/>
      <c r="J7" s="48"/>
    </row>
    <row r="8" spans="1:10" x14ac:dyDescent="0.2">
      <c r="A8" s="150" t="str">
        <f>'CAPCIT1000000678 Input'!F9</f>
        <v>Gas System Safety: Target Zero</v>
      </c>
      <c r="B8" s="150"/>
      <c r="C8" s="150"/>
      <c r="D8" s="150"/>
      <c r="E8" s="150"/>
      <c r="F8" s="150"/>
      <c r="G8" s="150"/>
      <c r="H8" s="150"/>
      <c r="I8" s="150"/>
      <c r="J8" s="48"/>
    </row>
    <row r="9" spans="1:10" x14ac:dyDescent="0.2">
      <c r="A9" s="50"/>
      <c r="B9" s="50"/>
      <c r="C9" s="48"/>
      <c r="D9" s="48"/>
      <c r="E9" s="48"/>
      <c r="F9" s="48"/>
      <c r="G9" s="48"/>
      <c r="H9" s="48"/>
      <c r="I9" s="48"/>
      <c r="J9" s="48"/>
    </row>
    <row r="10" spans="1:10" x14ac:dyDescent="0.2">
      <c r="A10" s="50" t="s">
        <v>76</v>
      </c>
      <c r="B10" s="50"/>
      <c r="C10" s="48"/>
      <c r="D10" s="48"/>
      <c r="E10" s="48"/>
      <c r="F10" s="48"/>
      <c r="G10" s="48"/>
      <c r="H10" s="48"/>
      <c r="I10" s="48"/>
      <c r="J10" s="48" t="s">
        <v>9</v>
      </c>
    </row>
    <row r="11" spans="1:10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  <c r="J11" s="48" t="s">
        <v>9</v>
      </c>
    </row>
    <row r="13" spans="1:10" ht="12" thickBot="1" x14ac:dyDescent="0.25">
      <c r="A13" s="65" t="s">
        <v>77</v>
      </c>
      <c r="E13" s="51" t="s">
        <v>78</v>
      </c>
      <c r="F13" s="52"/>
      <c r="G13" s="52"/>
      <c r="H13" s="52"/>
      <c r="I13" s="52"/>
    </row>
    <row r="14" spans="1:10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0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0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0" x14ac:dyDescent="0.2">
      <c r="A17" s="49">
        <v>1</v>
      </c>
      <c r="C17" s="56">
        <f>'CAPCIT1000000678 Input'!B16</f>
        <v>45641</v>
      </c>
      <c r="D17" s="56"/>
      <c r="E17" s="117">
        <f>'CAPCIT1000000678 Input'!D16*'CAPCIT1000000678 Input'!$D$10*'CAPCIT1000000678 Input'!$H$10</f>
        <v>0</v>
      </c>
      <c r="F17" s="118"/>
      <c r="G17" s="117">
        <f>'CAPCIT1000000678 Input'!D31*'CAPCIT1000000678 Input'!D10*'CAPCIT1000000678 Input'!H10</f>
        <v>94042.91430568877</v>
      </c>
      <c r="H17" s="118"/>
      <c r="I17" s="117">
        <f>G17-E18</f>
        <v>94042.91430568877</v>
      </c>
    </row>
    <row r="18" spans="1:10" x14ac:dyDescent="0.2">
      <c r="A18" s="49">
        <f t="shared" ref="A18:A40" si="0">1+A17</f>
        <v>2</v>
      </c>
      <c r="C18" s="56">
        <f>'CAPCIT1000000678 Input'!B17</f>
        <v>45672</v>
      </c>
      <c r="D18" s="56"/>
      <c r="E18" s="78">
        <f>'CAPCIT1000000678 Input'!D17*'CAPCIT1000000678 Input'!$D$10*'CAPCIT1000000678 Input'!$H$10</f>
        <v>0</v>
      </c>
      <c r="F18" s="8"/>
      <c r="G18" s="8">
        <f t="shared" ref="G18:G29" si="1">$G$17</f>
        <v>94042.91430568877</v>
      </c>
      <c r="H18" s="8"/>
      <c r="I18" s="8">
        <f t="shared" ref="I18:I29" si="2">G18-E18</f>
        <v>94042.91430568877</v>
      </c>
    </row>
    <row r="19" spans="1:10" x14ac:dyDescent="0.2">
      <c r="A19" s="49">
        <f t="shared" si="0"/>
        <v>3</v>
      </c>
      <c r="C19" s="56">
        <f>'CAPCIT1000000678 Input'!B18</f>
        <v>45702</v>
      </c>
      <c r="D19" s="56"/>
      <c r="E19" s="78">
        <f>'CAPCIT1000000678 Input'!D18*'CAPCIT1000000678 Input'!$D$10*'CAPCIT1000000678 Input'!$H$10</f>
        <v>0</v>
      </c>
      <c r="F19" s="8"/>
      <c r="G19" s="8">
        <f t="shared" si="1"/>
        <v>94042.91430568877</v>
      </c>
      <c r="H19" s="8"/>
      <c r="I19" s="8">
        <f t="shared" si="2"/>
        <v>94042.91430568877</v>
      </c>
      <c r="J19" s="57"/>
    </row>
    <row r="20" spans="1:10" x14ac:dyDescent="0.2">
      <c r="A20" s="49">
        <f t="shared" si="0"/>
        <v>4</v>
      </c>
      <c r="C20" s="56">
        <f>'CAPCIT1000000678 Input'!B19</f>
        <v>45732</v>
      </c>
      <c r="D20" s="56"/>
      <c r="E20" s="78">
        <f>'CAPCIT1000000678 Input'!D19*'CAPCIT1000000678 Input'!$D$10*'CAPCIT1000000678 Input'!$H$10</f>
        <v>0</v>
      </c>
      <c r="F20" s="8"/>
      <c r="G20" s="8">
        <f t="shared" si="1"/>
        <v>94042.91430568877</v>
      </c>
      <c r="H20" s="8"/>
      <c r="I20" s="8">
        <f t="shared" si="2"/>
        <v>94042.91430568877</v>
      </c>
      <c r="J20" s="57"/>
    </row>
    <row r="21" spans="1:10" x14ac:dyDescent="0.2">
      <c r="A21" s="49">
        <f t="shared" si="0"/>
        <v>5</v>
      </c>
      <c r="C21" s="56">
        <f>'CAPCIT1000000678 Input'!B20</f>
        <v>45762</v>
      </c>
      <c r="D21" s="56"/>
      <c r="E21" s="78">
        <f>'CAPCIT1000000678 Input'!D20*'CAPCIT1000000678 Input'!$D$10*'CAPCIT1000000678 Input'!$H$10</f>
        <v>0</v>
      </c>
      <c r="F21" s="8"/>
      <c r="G21" s="8">
        <f t="shared" si="1"/>
        <v>94042.91430568877</v>
      </c>
      <c r="H21" s="8"/>
      <c r="I21" s="8">
        <f t="shared" si="2"/>
        <v>94042.91430568877</v>
      </c>
      <c r="J21" s="57"/>
    </row>
    <row r="22" spans="1:10" x14ac:dyDescent="0.2">
      <c r="A22" s="49">
        <f t="shared" si="0"/>
        <v>6</v>
      </c>
      <c r="C22" s="56">
        <f>'CAPCIT1000000678 Input'!B21</f>
        <v>45792</v>
      </c>
      <c r="D22" s="56"/>
      <c r="E22" s="78">
        <f>'CAPCIT1000000678 Input'!D21*'CAPCIT1000000678 Input'!$D$10*'CAPCIT1000000678 Input'!$H$10</f>
        <v>0</v>
      </c>
      <c r="F22" s="8"/>
      <c r="G22" s="8">
        <f t="shared" si="1"/>
        <v>94042.91430568877</v>
      </c>
      <c r="H22" s="8"/>
      <c r="I22" s="8">
        <f t="shared" si="2"/>
        <v>94042.91430568877</v>
      </c>
      <c r="J22" s="57"/>
    </row>
    <row r="23" spans="1:10" x14ac:dyDescent="0.2">
      <c r="A23" s="49">
        <f t="shared" si="0"/>
        <v>7</v>
      </c>
      <c r="C23" s="56">
        <f>'CAPCIT1000000678 Input'!B22</f>
        <v>45822</v>
      </c>
      <c r="D23" s="56"/>
      <c r="E23" s="78">
        <f>'CAPCIT1000000678 Input'!D22*'CAPCIT1000000678 Input'!$D$10*'CAPCIT1000000678 Input'!$H$10</f>
        <v>0</v>
      </c>
      <c r="F23" s="8"/>
      <c r="G23" s="8">
        <f t="shared" si="1"/>
        <v>94042.91430568877</v>
      </c>
      <c r="H23" s="8"/>
      <c r="I23" s="8">
        <f t="shared" si="2"/>
        <v>94042.91430568877</v>
      </c>
      <c r="J23" s="57"/>
    </row>
    <row r="24" spans="1:10" x14ac:dyDescent="0.2">
      <c r="A24" s="49">
        <f t="shared" si="0"/>
        <v>8</v>
      </c>
      <c r="C24" s="56">
        <f>'CAPCIT1000000678 Input'!B23</f>
        <v>45852</v>
      </c>
      <c r="D24" s="56"/>
      <c r="E24" s="78">
        <f>'CAPCIT1000000678 Input'!D23*'CAPCIT1000000678 Input'!$D$10*'CAPCIT1000000678 Input'!$H$10</f>
        <v>0</v>
      </c>
      <c r="F24" s="8"/>
      <c r="G24" s="8">
        <f t="shared" si="1"/>
        <v>94042.91430568877</v>
      </c>
      <c r="H24" s="8"/>
      <c r="I24" s="8">
        <f t="shared" si="2"/>
        <v>94042.91430568877</v>
      </c>
      <c r="J24" s="57"/>
    </row>
    <row r="25" spans="1:10" x14ac:dyDescent="0.2">
      <c r="A25" s="49">
        <f t="shared" si="0"/>
        <v>9</v>
      </c>
      <c r="C25" s="56">
        <f>'CAPCIT1000000678 Input'!B24</f>
        <v>45882</v>
      </c>
      <c r="D25" s="56"/>
      <c r="E25" s="78">
        <f>'CAPCIT1000000678 Input'!D24*'CAPCIT1000000678 Input'!$D$10*'CAPCIT1000000678 Input'!$H$10</f>
        <v>0</v>
      </c>
      <c r="F25" s="8"/>
      <c r="G25" s="8">
        <f t="shared" si="1"/>
        <v>94042.91430568877</v>
      </c>
      <c r="H25" s="8"/>
      <c r="I25" s="8">
        <f t="shared" si="2"/>
        <v>94042.91430568877</v>
      </c>
      <c r="J25" s="57"/>
    </row>
    <row r="26" spans="1:10" x14ac:dyDescent="0.2">
      <c r="A26" s="49">
        <f t="shared" si="0"/>
        <v>10</v>
      </c>
      <c r="C26" s="56">
        <f>'CAPCIT1000000678 Input'!B25</f>
        <v>45912</v>
      </c>
      <c r="D26" s="56"/>
      <c r="E26" s="78">
        <f>'CAPCIT1000000678 Input'!D25*'CAPCIT1000000678 Input'!$D$10*'CAPCIT1000000678 Input'!$H$10</f>
        <v>94042.91430568877</v>
      </c>
      <c r="F26" s="8"/>
      <c r="G26" s="8">
        <f t="shared" si="1"/>
        <v>94042.91430568877</v>
      </c>
      <c r="H26" s="8"/>
      <c r="I26" s="8">
        <f t="shared" si="2"/>
        <v>0</v>
      </c>
      <c r="J26" s="57"/>
    </row>
    <row r="27" spans="1:10" x14ac:dyDescent="0.2">
      <c r="A27" s="49">
        <f t="shared" si="0"/>
        <v>11</v>
      </c>
      <c r="C27" s="56">
        <f>'CAPCIT1000000678 Input'!B26</f>
        <v>45942</v>
      </c>
      <c r="D27" s="56"/>
      <c r="E27" s="78">
        <f>'CAPCIT1000000678 Input'!D26*'CAPCIT1000000678 Input'!$D$10*'CAPCIT1000000678 Input'!$H$10</f>
        <v>94042.91430568877</v>
      </c>
      <c r="F27" s="8"/>
      <c r="G27" s="8">
        <f t="shared" si="1"/>
        <v>94042.91430568877</v>
      </c>
      <c r="H27" s="8"/>
      <c r="I27" s="8">
        <f t="shared" si="2"/>
        <v>0</v>
      </c>
      <c r="J27" s="57"/>
    </row>
    <row r="28" spans="1:10" x14ac:dyDescent="0.2">
      <c r="A28" s="49">
        <f t="shared" si="0"/>
        <v>12</v>
      </c>
      <c r="C28" s="56">
        <f>'CAPCIT1000000678 Input'!B27</f>
        <v>45972</v>
      </c>
      <c r="D28" s="56"/>
      <c r="E28" s="78">
        <f>'CAPCIT1000000678 Input'!D27*'CAPCIT1000000678 Input'!$D$10*'CAPCIT1000000678 Input'!$H$10</f>
        <v>94042.91430568877</v>
      </c>
      <c r="F28" s="8"/>
      <c r="G28" s="8">
        <f t="shared" si="1"/>
        <v>94042.91430568877</v>
      </c>
      <c r="H28" s="8"/>
      <c r="I28" s="8">
        <f t="shared" si="2"/>
        <v>0</v>
      </c>
      <c r="J28" s="57"/>
    </row>
    <row r="29" spans="1:10" x14ac:dyDescent="0.2">
      <c r="A29" s="49">
        <f t="shared" si="0"/>
        <v>13</v>
      </c>
      <c r="C29" s="56">
        <f>'CAPCIT1000000678 Input'!B28</f>
        <v>46002</v>
      </c>
      <c r="D29" s="56"/>
      <c r="E29" s="130">
        <f>'CAPCIT1000000678 Input'!D28*'CAPCIT1000000678 Input'!$D$10*'CAPCIT1000000678 Input'!$H$10</f>
        <v>94042.91430568877</v>
      </c>
      <c r="F29" s="8"/>
      <c r="G29" s="131">
        <f t="shared" si="1"/>
        <v>94042.91430568877</v>
      </c>
      <c r="H29" s="8"/>
      <c r="I29" s="131">
        <f t="shared" si="2"/>
        <v>0</v>
      </c>
      <c r="J29" s="57"/>
    </row>
    <row r="30" spans="1:10" x14ac:dyDescent="0.2">
      <c r="A30" s="49">
        <f t="shared" si="0"/>
        <v>14</v>
      </c>
      <c r="C30" s="58" t="s">
        <v>46</v>
      </c>
      <c r="D30" s="58"/>
      <c r="E30" s="118">
        <f>SUM(E18:E29)</f>
        <v>376171.65722275508</v>
      </c>
      <c r="F30" s="118"/>
      <c r="G30" s="118">
        <f>SUM(G17:G29)</f>
        <v>1222557.8859739543</v>
      </c>
      <c r="H30" s="118"/>
      <c r="I30" s="118">
        <f>SUM(I17:I29)</f>
        <v>846386.22875119909</v>
      </c>
      <c r="J30" s="57"/>
    </row>
    <row r="31" spans="1:10" x14ac:dyDescent="0.2">
      <c r="A31" s="49">
        <f t="shared" si="0"/>
        <v>15</v>
      </c>
      <c r="E31" s="118"/>
      <c r="F31" s="118"/>
      <c r="G31" s="118"/>
      <c r="H31" s="118"/>
      <c r="I31" s="118"/>
      <c r="J31" s="57"/>
    </row>
    <row r="32" spans="1:10" ht="12" thickBot="1" x14ac:dyDescent="0.25">
      <c r="A32" s="49">
        <f t="shared" si="0"/>
        <v>16</v>
      </c>
      <c r="C32" s="60" t="s">
        <v>116</v>
      </c>
      <c r="D32" s="60"/>
      <c r="E32" s="121">
        <f>ROUND(+E30/13,2)</f>
        <v>28936.28</v>
      </c>
      <c r="F32" s="118"/>
      <c r="G32" s="121">
        <f>ROUND(+G30/13,2)</f>
        <v>94042.91</v>
      </c>
      <c r="H32" s="118"/>
      <c r="I32" s="121">
        <f>ROUND(+I30/13,2)</f>
        <v>65106.63</v>
      </c>
      <c r="J32" s="59"/>
    </row>
    <row r="33" spans="1:10" ht="12" thickTop="1" x14ac:dyDescent="0.2">
      <c r="A33" s="49">
        <f t="shared" si="0"/>
        <v>17</v>
      </c>
      <c r="E33" s="118"/>
      <c r="F33" s="118"/>
      <c r="G33" s="118"/>
      <c r="H33" s="118"/>
      <c r="I33" s="118"/>
      <c r="J33" s="57"/>
    </row>
    <row r="34" spans="1:10" x14ac:dyDescent="0.2">
      <c r="A34" s="49">
        <f t="shared" si="0"/>
        <v>18</v>
      </c>
      <c r="E34" s="122" t="s">
        <v>9</v>
      </c>
      <c r="F34" s="122"/>
      <c r="G34" s="122" t="s">
        <v>9</v>
      </c>
      <c r="H34" s="122"/>
      <c r="I34" s="122" t="s">
        <v>9</v>
      </c>
      <c r="J34" s="57"/>
    </row>
    <row r="35" spans="1:10" ht="12" thickBot="1" x14ac:dyDescent="0.25">
      <c r="A35" s="49">
        <f t="shared" si="0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65106.63</v>
      </c>
      <c r="J35" s="57"/>
    </row>
    <row r="36" spans="1:10" ht="12" thickTop="1" x14ac:dyDescent="0.2">
      <c r="A36" s="49">
        <f t="shared" si="0"/>
        <v>20</v>
      </c>
      <c r="J36" s="57"/>
    </row>
    <row r="37" spans="1:10" x14ac:dyDescent="0.2">
      <c r="A37" s="49">
        <f t="shared" si="0"/>
        <v>21</v>
      </c>
      <c r="J37" s="57"/>
    </row>
    <row r="38" spans="1:10" x14ac:dyDescent="0.2">
      <c r="A38" s="49">
        <f t="shared" si="0"/>
        <v>22</v>
      </c>
      <c r="J38" s="57"/>
    </row>
    <row r="39" spans="1:10" x14ac:dyDescent="0.2">
      <c r="A39" s="49">
        <f t="shared" si="0"/>
        <v>23</v>
      </c>
      <c r="J39" s="57"/>
    </row>
    <row r="40" spans="1:10" x14ac:dyDescent="0.2">
      <c r="A40" s="49">
        <f t="shared" si="0"/>
        <v>24</v>
      </c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53" spans="10:10" x14ac:dyDescent="0.2">
      <c r="J53" s="57"/>
    </row>
    <row r="54" spans="10:10" x14ac:dyDescent="0.2">
      <c r="J54" s="57"/>
    </row>
    <row r="70" spans="10:10" x14ac:dyDescent="0.2">
      <c r="J70" s="48"/>
    </row>
    <row r="71" spans="10:10" x14ac:dyDescent="0.2">
      <c r="J71" s="48"/>
    </row>
    <row r="72" spans="10:10" x14ac:dyDescent="0.2">
      <c r="J72" s="48"/>
    </row>
    <row r="73" spans="10:10" x14ac:dyDescent="0.2">
      <c r="J73" s="48"/>
    </row>
    <row r="74" spans="10:10" x14ac:dyDescent="0.2">
      <c r="J74" s="48"/>
    </row>
    <row r="82" spans="10:10" x14ac:dyDescent="0.2">
      <c r="J82" s="59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57"/>
    </row>
    <row r="94" spans="10:10" x14ac:dyDescent="0.2">
      <c r="J94" s="57"/>
    </row>
    <row r="95" spans="10:10" x14ac:dyDescent="0.2">
      <c r="J95" s="59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6" spans="10:10" x14ac:dyDescent="0.2">
      <c r="J106" s="57"/>
    </row>
    <row r="107" spans="10:10" x14ac:dyDescent="0.2">
      <c r="J107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18" spans="10:10" x14ac:dyDescent="0.2">
      <c r="J118" s="57"/>
    </row>
    <row r="119" spans="10:10" x14ac:dyDescent="0.2">
      <c r="J119" s="57"/>
    </row>
    <row r="135" spans="10:10" x14ac:dyDescent="0.2">
      <c r="J135" s="48"/>
    </row>
    <row r="136" spans="10:10" x14ac:dyDescent="0.2">
      <c r="J136" s="48"/>
    </row>
    <row r="137" spans="10:10" x14ac:dyDescent="0.2">
      <c r="J137" s="48"/>
    </row>
    <row r="138" spans="10:10" x14ac:dyDescent="0.2">
      <c r="J138" s="48"/>
    </row>
    <row r="139" spans="10:10" x14ac:dyDescent="0.2">
      <c r="J139" s="48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57"/>
    </row>
    <row r="160" spans="10:10" x14ac:dyDescent="0.2">
      <c r="J160" s="57"/>
    </row>
    <row r="161" spans="10:10" x14ac:dyDescent="0.2">
      <c r="J161" s="59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7" spans="10:10" x14ac:dyDescent="0.2">
      <c r="J167" s="57"/>
    </row>
    <row r="168" spans="10:10" x14ac:dyDescent="0.2">
      <c r="J168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3" spans="10:10" x14ac:dyDescent="0.2">
      <c r="J173" s="57"/>
    </row>
    <row r="174" spans="10:10" x14ac:dyDescent="0.2">
      <c r="J174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183" spans="10:10" x14ac:dyDescent="0.2">
      <c r="J183" s="57"/>
    </row>
    <row r="184" spans="10:10" x14ac:dyDescent="0.2">
      <c r="J184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57"/>
    </row>
    <row r="225" spans="10:10" x14ac:dyDescent="0.2">
      <c r="J225" s="57"/>
    </row>
    <row r="226" spans="10:10" x14ac:dyDescent="0.2">
      <c r="J226" s="59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52" spans="10:10" x14ac:dyDescent="0.2">
      <c r="J252" s="57"/>
    </row>
    <row r="253" spans="10:10" x14ac:dyDescent="0.2">
      <c r="J253" s="57"/>
    </row>
    <row r="277" spans="3:10" x14ac:dyDescent="0.2">
      <c r="C277" s="56"/>
      <c r="D277" s="56"/>
      <c r="E277" s="59"/>
      <c r="F277" s="59"/>
      <c r="G277" s="59"/>
      <c r="H277" s="59"/>
      <c r="I277" s="59"/>
    </row>
    <row r="278" spans="3:10" x14ac:dyDescent="0.2">
      <c r="C278" s="56"/>
      <c r="D278" s="56"/>
      <c r="E278" s="57"/>
      <c r="F278" s="57"/>
      <c r="G278" s="57"/>
      <c r="H278" s="57"/>
      <c r="I278" s="57"/>
      <c r="J278" s="57"/>
    </row>
    <row r="279" spans="3:10" x14ac:dyDescent="0.2">
      <c r="C279" s="56"/>
      <c r="D279" s="56"/>
      <c r="E279" s="57"/>
      <c r="F279" s="57"/>
      <c r="G279" s="57"/>
      <c r="H279" s="57"/>
      <c r="I279" s="57"/>
      <c r="J279" s="57"/>
    </row>
    <row r="280" spans="3:10" x14ac:dyDescent="0.2">
      <c r="C280" s="56"/>
      <c r="D280" s="56"/>
      <c r="E280" s="57"/>
      <c r="F280" s="57"/>
      <c r="G280" s="57"/>
      <c r="H280" s="57"/>
      <c r="I280" s="57"/>
      <c r="J280" s="57"/>
    </row>
    <row r="281" spans="3:10" x14ac:dyDescent="0.2">
      <c r="C281" s="56"/>
      <c r="D281" s="56"/>
      <c r="E281" s="57"/>
      <c r="F281" s="57"/>
      <c r="G281" s="57"/>
      <c r="H281" s="57"/>
      <c r="I281" s="57"/>
      <c r="J281" s="57"/>
    </row>
    <row r="282" spans="3:10" x14ac:dyDescent="0.2">
      <c r="C282" s="56"/>
      <c r="D282" s="56"/>
      <c r="E282" s="57"/>
      <c r="F282" s="57"/>
      <c r="G282" s="57"/>
      <c r="H282" s="57"/>
      <c r="I282" s="57"/>
      <c r="J282" s="57"/>
    </row>
    <row r="283" spans="3:10" x14ac:dyDescent="0.2">
      <c r="C283" s="56"/>
      <c r="D283" s="56"/>
      <c r="E283" s="57"/>
      <c r="F283" s="57"/>
      <c r="G283" s="57"/>
      <c r="H283" s="57"/>
      <c r="I283" s="57"/>
      <c r="J283" s="57"/>
    </row>
    <row r="284" spans="3:10" x14ac:dyDescent="0.2">
      <c r="C284" s="56"/>
      <c r="D284" s="56"/>
      <c r="E284" s="57"/>
      <c r="F284" s="57"/>
      <c r="G284" s="57"/>
      <c r="H284" s="57"/>
      <c r="I284" s="57"/>
      <c r="J284" s="57"/>
    </row>
    <row r="285" spans="3:10" x14ac:dyDescent="0.2">
      <c r="C285" s="56"/>
      <c r="D285" s="56"/>
      <c r="E285" s="57"/>
      <c r="F285" s="57"/>
      <c r="G285" s="57"/>
      <c r="H285" s="57"/>
      <c r="I285" s="57"/>
      <c r="J285" s="57"/>
    </row>
    <row r="286" spans="3:10" x14ac:dyDescent="0.2">
      <c r="C286" s="56"/>
      <c r="D286" s="56"/>
      <c r="E286" s="57"/>
      <c r="F286" s="57"/>
      <c r="G286" s="57"/>
      <c r="H286" s="57"/>
      <c r="I286" s="57"/>
      <c r="J286" s="57"/>
    </row>
    <row r="287" spans="3:10" x14ac:dyDescent="0.2">
      <c r="C287" s="56"/>
      <c r="D287" s="56"/>
      <c r="E287" s="57"/>
      <c r="F287" s="57"/>
      <c r="G287" s="57"/>
      <c r="H287" s="57"/>
      <c r="I287" s="57"/>
      <c r="J287" s="57"/>
    </row>
    <row r="288" spans="3:10" x14ac:dyDescent="0.2">
      <c r="C288" s="56"/>
      <c r="D288" s="56"/>
      <c r="E288" s="57"/>
      <c r="F288" s="57"/>
      <c r="G288" s="57"/>
      <c r="H288" s="57"/>
      <c r="I288" s="57"/>
      <c r="J288" s="57"/>
    </row>
    <row r="289" spans="3:10" x14ac:dyDescent="0.2">
      <c r="C289" s="56"/>
      <c r="D289" s="56"/>
      <c r="E289" s="57"/>
      <c r="F289" s="57"/>
      <c r="G289" s="57"/>
      <c r="H289" s="57"/>
      <c r="I289" s="57"/>
      <c r="J289" s="57"/>
    </row>
    <row r="290" spans="3:10" x14ac:dyDescent="0.2">
      <c r="C290" s="56"/>
      <c r="D290" s="56"/>
      <c r="E290" s="57"/>
      <c r="F290" s="57"/>
      <c r="G290" s="57"/>
      <c r="H290" s="57"/>
      <c r="I290" s="57"/>
      <c r="J290" s="57"/>
    </row>
    <row r="291" spans="3:10" x14ac:dyDescent="0.2">
      <c r="E291" s="59"/>
      <c r="F291" s="59"/>
      <c r="G291" s="59"/>
      <c r="H291" s="59"/>
      <c r="I291" s="59"/>
      <c r="J291" s="59"/>
    </row>
    <row r="292" spans="3:10" x14ac:dyDescent="0.2">
      <c r="E292" s="57"/>
      <c r="F292" s="57"/>
      <c r="G292" s="57"/>
      <c r="H292" s="57"/>
      <c r="I292" s="57"/>
      <c r="J292" s="57"/>
    </row>
    <row r="293" spans="3:10" x14ac:dyDescent="0.2">
      <c r="E293" s="57"/>
      <c r="F293" s="57"/>
      <c r="G293" s="57"/>
      <c r="H293" s="57"/>
      <c r="I293" s="57"/>
      <c r="J293" s="57"/>
    </row>
    <row r="294" spans="3:10" x14ac:dyDescent="0.2">
      <c r="E294" s="59"/>
      <c r="F294" s="59"/>
      <c r="G294" s="59"/>
      <c r="H294" s="59"/>
      <c r="I294" s="59"/>
      <c r="J294" s="57"/>
    </row>
    <row r="295" spans="3:10" x14ac:dyDescent="0.2">
      <c r="E295" s="57"/>
      <c r="F295" s="57"/>
      <c r="G295" s="57"/>
      <c r="H295" s="57"/>
      <c r="I295" s="57"/>
      <c r="J295" s="57"/>
    </row>
    <row r="296" spans="3:10" x14ac:dyDescent="0.2">
      <c r="E296" s="57"/>
      <c r="F296" s="57"/>
      <c r="G296" s="57"/>
      <c r="H296" s="57"/>
      <c r="I296" s="57"/>
      <c r="J296" s="57"/>
    </row>
    <row r="297" spans="3:10" x14ac:dyDescent="0.2">
      <c r="E297" s="57"/>
      <c r="F297" s="57"/>
      <c r="G297" s="57"/>
      <c r="H297" s="57"/>
      <c r="I297" s="57"/>
      <c r="J297" s="57"/>
    </row>
    <row r="298" spans="3:10" x14ac:dyDescent="0.2">
      <c r="E298" s="57"/>
      <c r="F298" s="57"/>
      <c r="G298" s="57"/>
      <c r="H298" s="57"/>
      <c r="I298" s="57"/>
      <c r="J298" s="57"/>
    </row>
    <row r="299" spans="3:10" x14ac:dyDescent="0.2">
      <c r="E299" s="57"/>
      <c r="F299" s="57"/>
      <c r="G299" s="57"/>
      <c r="H299" s="57"/>
      <c r="I299" s="57"/>
      <c r="J299" s="57"/>
    </row>
    <row r="300" spans="3:10" x14ac:dyDescent="0.2">
      <c r="E300" s="57"/>
      <c r="F300" s="57"/>
      <c r="G300" s="57"/>
      <c r="H300" s="57"/>
      <c r="I300" s="57"/>
      <c r="J300" s="57"/>
    </row>
    <row r="301" spans="3:10" x14ac:dyDescent="0.2">
      <c r="E301" s="57"/>
      <c r="F301" s="57"/>
      <c r="G301" s="57"/>
      <c r="H301" s="57"/>
      <c r="I301" s="57"/>
      <c r="J301" s="57"/>
    </row>
    <row r="302" spans="3:10" x14ac:dyDescent="0.2">
      <c r="E302" s="57"/>
      <c r="F302" s="57"/>
      <c r="G302" s="57"/>
      <c r="H302" s="57"/>
      <c r="I302" s="57"/>
      <c r="J302" s="57"/>
    </row>
    <row r="303" spans="3:10" x14ac:dyDescent="0.2">
      <c r="E303" s="57"/>
      <c r="F303" s="57"/>
      <c r="G303" s="57"/>
      <c r="H303" s="57"/>
      <c r="I303" s="57"/>
      <c r="J303" s="57"/>
    </row>
    <row r="304" spans="3:10" x14ac:dyDescent="0.2">
      <c r="E304" s="57"/>
      <c r="F304" s="57"/>
      <c r="G304" s="57"/>
      <c r="H304" s="57"/>
      <c r="I304" s="57"/>
      <c r="J304" s="57"/>
    </row>
    <row r="305" spans="5:10" x14ac:dyDescent="0.2">
      <c r="E305" s="57"/>
      <c r="F305" s="57"/>
      <c r="G305" s="57"/>
      <c r="H305" s="57"/>
      <c r="I305" s="57"/>
      <c r="J305" s="57"/>
    </row>
    <row r="342" spans="3:10" x14ac:dyDescent="0.2">
      <c r="C342" s="56"/>
      <c r="D342" s="56"/>
      <c r="E342" s="59"/>
      <c r="F342" s="59"/>
      <c r="G342" s="59"/>
      <c r="H342" s="59"/>
      <c r="I342" s="59"/>
    </row>
    <row r="343" spans="3:10" x14ac:dyDescent="0.2">
      <c r="C343" s="56"/>
      <c r="D343" s="56"/>
      <c r="E343" s="57"/>
      <c r="F343" s="57"/>
      <c r="G343" s="57"/>
      <c r="H343" s="57"/>
      <c r="I343" s="57"/>
      <c r="J343" s="57"/>
    </row>
    <row r="344" spans="3:10" x14ac:dyDescent="0.2">
      <c r="C344" s="56"/>
      <c r="D344" s="56"/>
      <c r="E344" s="57"/>
      <c r="F344" s="57"/>
      <c r="G344" s="57"/>
      <c r="H344" s="57"/>
      <c r="I344" s="57"/>
      <c r="J344" s="57"/>
    </row>
    <row r="345" spans="3:10" x14ac:dyDescent="0.2">
      <c r="C345" s="56"/>
      <c r="D345" s="56"/>
      <c r="E345" s="57"/>
      <c r="F345" s="57"/>
      <c r="G345" s="57"/>
      <c r="H345" s="57"/>
      <c r="I345" s="57"/>
      <c r="J345" s="57"/>
    </row>
    <row r="346" spans="3:10" x14ac:dyDescent="0.2">
      <c r="C346" s="56"/>
      <c r="D346" s="56"/>
      <c r="E346" s="57"/>
      <c r="F346" s="57"/>
      <c r="G346" s="57"/>
      <c r="H346" s="57"/>
      <c r="I346" s="57"/>
      <c r="J346" s="57"/>
    </row>
    <row r="347" spans="3:10" x14ac:dyDescent="0.2">
      <c r="C347" s="56"/>
      <c r="D347" s="56"/>
      <c r="E347" s="57"/>
      <c r="F347" s="57"/>
      <c r="G347" s="57"/>
      <c r="H347" s="57"/>
      <c r="I347" s="57"/>
      <c r="J347" s="57"/>
    </row>
    <row r="348" spans="3:10" x14ac:dyDescent="0.2">
      <c r="C348" s="56"/>
      <c r="D348" s="56"/>
      <c r="E348" s="57"/>
      <c r="F348" s="57"/>
      <c r="G348" s="57"/>
      <c r="H348" s="57"/>
      <c r="I348" s="57"/>
      <c r="J348" s="57"/>
    </row>
    <row r="349" spans="3:10" x14ac:dyDescent="0.2">
      <c r="C349" s="56"/>
      <c r="D349" s="56"/>
      <c r="E349" s="57"/>
      <c r="F349" s="57"/>
      <c r="G349" s="57"/>
      <c r="H349" s="57"/>
      <c r="I349" s="57"/>
      <c r="J349" s="57"/>
    </row>
    <row r="350" spans="3:10" x14ac:dyDescent="0.2">
      <c r="C350" s="56"/>
      <c r="D350" s="56"/>
      <c r="E350" s="57"/>
      <c r="F350" s="57"/>
      <c r="G350" s="57"/>
      <c r="H350" s="57"/>
      <c r="I350" s="57"/>
      <c r="J350" s="57"/>
    </row>
    <row r="351" spans="3:10" x14ac:dyDescent="0.2">
      <c r="C351" s="56"/>
      <c r="D351" s="56"/>
      <c r="E351" s="57"/>
      <c r="F351" s="57"/>
      <c r="G351" s="57"/>
      <c r="H351" s="57"/>
      <c r="I351" s="57"/>
      <c r="J351" s="57"/>
    </row>
    <row r="352" spans="3:10" x14ac:dyDescent="0.2">
      <c r="C352" s="56"/>
      <c r="D352" s="56"/>
      <c r="E352" s="57"/>
      <c r="F352" s="57"/>
      <c r="G352" s="57"/>
      <c r="H352" s="57"/>
      <c r="I352" s="57"/>
      <c r="J352" s="57"/>
    </row>
    <row r="353" spans="3:10" x14ac:dyDescent="0.2">
      <c r="C353" s="56"/>
      <c r="D353" s="56"/>
      <c r="E353" s="57"/>
      <c r="F353" s="57"/>
      <c r="G353" s="57"/>
      <c r="H353" s="57"/>
      <c r="I353" s="57"/>
      <c r="J353" s="57"/>
    </row>
    <row r="354" spans="3:10" x14ac:dyDescent="0.2">
      <c r="C354" s="56"/>
      <c r="D354" s="56"/>
      <c r="E354" s="57"/>
      <c r="F354" s="57"/>
      <c r="G354" s="57"/>
      <c r="H354" s="57"/>
      <c r="I354" s="57"/>
      <c r="J354" s="57"/>
    </row>
    <row r="355" spans="3:10" x14ac:dyDescent="0.2">
      <c r="C355" s="56"/>
      <c r="D355" s="56"/>
      <c r="E355" s="57"/>
      <c r="F355" s="57"/>
      <c r="G355" s="57"/>
      <c r="H355" s="57"/>
      <c r="I355" s="57"/>
      <c r="J355" s="57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57"/>
      <c r="F357" s="57"/>
      <c r="G357" s="57"/>
      <c r="H357" s="57"/>
      <c r="I357" s="57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9"/>
      <c r="F359" s="59"/>
      <c r="G359" s="59"/>
      <c r="H359" s="59"/>
      <c r="I359" s="59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369" spans="5:10" x14ac:dyDescent="0.2">
      <c r="E369" s="57"/>
      <c r="F369" s="57"/>
      <c r="G369" s="57"/>
      <c r="H369" s="57"/>
      <c r="I369" s="57"/>
      <c r="J369" s="57"/>
    </row>
    <row r="370" spans="5:10" x14ac:dyDescent="0.2">
      <c r="E370" s="57"/>
      <c r="F370" s="57"/>
      <c r="G370" s="57"/>
      <c r="H370" s="57"/>
      <c r="I370" s="57"/>
      <c r="J370" s="57"/>
    </row>
    <row r="407" spans="3:10" x14ac:dyDescent="0.2">
      <c r="C407" s="56"/>
      <c r="D407" s="56"/>
      <c r="E407" s="59"/>
      <c r="F407" s="59"/>
      <c r="G407" s="59"/>
      <c r="H407" s="59"/>
      <c r="I407" s="59"/>
    </row>
    <row r="408" spans="3:10" x14ac:dyDescent="0.2">
      <c r="C408" s="56"/>
      <c r="D408" s="56"/>
      <c r="E408" s="57"/>
      <c r="F408" s="57"/>
      <c r="G408" s="57"/>
      <c r="H408" s="57"/>
      <c r="I408" s="57"/>
      <c r="J408" s="57"/>
    </row>
    <row r="409" spans="3:10" x14ac:dyDescent="0.2">
      <c r="C409" s="56"/>
      <c r="D409" s="56"/>
      <c r="E409" s="57"/>
      <c r="F409" s="57"/>
      <c r="G409" s="57"/>
      <c r="H409" s="57"/>
      <c r="I409" s="57"/>
      <c r="J409" s="57"/>
    </row>
    <row r="410" spans="3:10" x14ac:dyDescent="0.2">
      <c r="C410" s="56"/>
      <c r="D410" s="56"/>
      <c r="E410" s="57"/>
      <c r="F410" s="57"/>
      <c r="G410" s="57"/>
      <c r="H410" s="57"/>
      <c r="I410" s="57"/>
      <c r="J410" s="57"/>
    </row>
    <row r="411" spans="3:10" x14ac:dyDescent="0.2">
      <c r="C411" s="56"/>
      <c r="D411" s="56"/>
      <c r="E411" s="57"/>
      <c r="F411" s="57"/>
      <c r="G411" s="57"/>
      <c r="H411" s="57"/>
      <c r="I411" s="57"/>
      <c r="J411" s="57"/>
    </row>
    <row r="412" spans="3:10" x14ac:dyDescent="0.2">
      <c r="C412" s="56"/>
      <c r="D412" s="56"/>
      <c r="E412" s="57"/>
      <c r="F412" s="57"/>
      <c r="G412" s="57"/>
      <c r="H412" s="57"/>
      <c r="I412" s="57"/>
      <c r="J412" s="57"/>
    </row>
    <row r="413" spans="3:10" x14ac:dyDescent="0.2">
      <c r="C413" s="56"/>
      <c r="D413" s="56"/>
      <c r="E413" s="57"/>
      <c r="F413" s="57"/>
      <c r="G413" s="57"/>
      <c r="H413" s="57"/>
      <c r="I413" s="57"/>
      <c r="J413" s="57"/>
    </row>
    <row r="414" spans="3:10" x14ac:dyDescent="0.2">
      <c r="C414" s="56"/>
      <c r="D414" s="56"/>
      <c r="E414" s="57"/>
      <c r="F414" s="57"/>
      <c r="G414" s="57"/>
      <c r="H414" s="57"/>
      <c r="I414" s="57"/>
      <c r="J414" s="57"/>
    </row>
    <row r="415" spans="3:10" x14ac:dyDescent="0.2">
      <c r="C415" s="56"/>
      <c r="D415" s="56"/>
      <c r="E415" s="57"/>
      <c r="F415" s="57"/>
      <c r="G415" s="57"/>
      <c r="H415" s="57"/>
      <c r="I415" s="57"/>
      <c r="J415" s="57"/>
    </row>
    <row r="416" spans="3:10" x14ac:dyDescent="0.2">
      <c r="C416" s="56"/>
      <c r="D416" s="56"/>
      <c r="E416" s="57"/>
      <c r="F416" s="57"/>
      <c r="G416" s="57"/>
      <c r="H416" s="57"/>
      <c r="I416" s="57"/>
      <c r="J416" s="57"/>
    </row>
    <row r="417" spans="3:10" x14ac:dyDescent="0.2">
      <c r="C417" s="56"/>
      <c r="D417" s="56"/>
      <c r="E417" s="57"/>
      <c r="F417" s="57"/>
      <c r="G417" s="57"/>
      <c r="H417" s="57"/>
      <c r="I417" s="57"/>
      <c r="J417" s="57"/>
    </row>
    <row r="418" spans="3:10" x14ac:dyDescent="0.2">
      <c r="C418" s="56"/>
      <c r="D418" s="56"/>
      <c r="E418" s="57"/>
      <c r="F418" s="57"/>
      <c r="G418" s="57"/>
      <c r="H418" s="57"/>
      <c r="I418" s="57"/>
      <c r="J418" s="57"/>
    </row>
    <row r="419" spans="3:10" x14ac:dyDescent="0.2">
      <c r="C419" s="56"/>
      <c r="D419" s="56"/>
      <c r="E419" s="57"/>
      <c r="F419" s="57"/>
      <c r="G419" s="57"/>
      <c r="H419" s="57"/>
      <c r="I419" s="57"/>
      <c r="J419" s="57"/>
    </row>
    <row r="420" spans="3:10" x14ac:dyDescent="0.2">
      <c r="C420" s="56"/>
      <c r="D420" s="56"/>
      <c r="E420" s="57"/>
      <c r="F420" s="57"/>
      <c r="G420" s="57"/>
      <c r="H420" s="57"/>
      <c r="I420" s="57"/>
      <c r="J420" s="57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57"/>
      <c r="F422" s="57"/>
      <c r="G422" s="57"/>
      <c r="H422" s="57"/>
      <c r="I422" s="57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9"/>
      <c r="F424" s="59"/>
      <c r="G424" s="59"/>
      <c r="H424" s="59"/>
      <c r="I424" s="59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  <row r="434" spans="5:10" x14ac:dyDescent="0.2">
      <c r="E434" s="57"/>
      <c r="F434" s="57"/>
      <c r="G434" s="57"/>
      <c r="H434" s="57"/>
      <c r="I434" s="57"/>
      <c r="J434" s="57"/>
    </row>
    <row r="435" spans="5:10" x14ac:dyDescent="0.2">
      <c r="E435" s="57"/>
      <c r="F435" s="57"/>
      <c r="G435" s="57"/>
      <c r="H435" s="57"/>
      <c r="I435" s="57"/>
      <c r="J435" s="57"/>
    </row>
  </sheetData>
  <mergeCells count="2">
    <mergeCell ref="A6:I6"/>
    <mergeCell ref="A8:I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6"/>
  <sheetViews>
    <sheetView view="pageLayout" zoomScaleNormal="100" workbookViewId="0">
      <selection sqref="A1:R1"/>
    </sheetView>
  </sheetViews>
  <sheetFormatPr defaultColWidth="8" defaultRowHeight="11.25" x14ac:dyDescent="0.2"/>
  <cols>
    <col min="1" max="1" width="3.42578125" style="11" customWidth="1"/>
    <col min="2" max="2" width="42.28515625" style="11" customWidth="1"/>
    <col min="3" max="3" width="0.85546875" style="11" customWidth="1"/>
    <col min="4" max="4" width="5" style="11" bestFit="1" customWidth="1"/>
    <col min="5" max="5" width="0.85546875" style="11" customWidth="1"/>
    <col min="6" max="6" width="10.140625" style="11" customWidth="1"/>
    <col min="7" max="7" width="0.85546875" style="11" customWidth="1"/>
    <col min="8" max="8" width="11" style="11" customWidth="1"/>
    <col min="9" max="9" width="0.85546875" style="11" customWidth="1"/>
    <col min="10" max="10" width="10.85546875" style="11" customWidth="1"/>
    <col min="11" max="11" width="0.85546875" style="11" customWidth="1"/>
    <col min="12" max="12" width="11.7109375" style="11" customWidth="1"/>
    <col min="13" max="13" width="0.85546875" style="11" customWidth="1"/>
    <col min="14" max="14" width="9.85546875" style="11" bestFit="1" customWidth="1"/>
    <col min="15" max="15" width="0.85546875" style="11" customWidth="1"/>
    <col min="16" max="16" width="12" style="11" customWidth="1"/>
    <col min="17" max="17" width="0.85546875" style="11" customWidth="1"/>
    <col min="18" max="18" width="12.5703125" style="11" bestFit="1" customWidth="1"/>
    <col min="19" max="19" width="1.7109375" style="11" customWidth="1"/>
    <col min="20" max="20" width="11.7109375" style="11" customWidth="1"/>
    <col min="21" max="16384" width="8" style="11"/>
  </cols>
  <sheetData>
    <row r="1" spans="1:18" ht="12.75" customHeight="1" x14ac:dyDescent="0.2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</row>
    <row r="2" spans="1:18" ht="12.75" customHeight="1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</row>
    <row r="3" spans="1:18" ht="12.75" customHeight="1" x14ac:dyDescent="0.2"/>
    <row r="4" spans="1:18" ht="12.75" customHeight="1" x14ac:dyDescent="0.2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</row>
    <row r="5" spans="1:18" x14ac:dyDescent="0.2">
      <c r="A5" s="142" t="str">
        <f>'WP B, pg 1'!A5:H5</f>
        <v>Pro-Forma Adjustment - Project In-Service During Test Year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</row>
    <row r="6" spans="1:18" x14ac:dyDescent="0.2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8" ht="12" thickBot="1" x14ac:dyDescent="0.25">
      <c r="F7" s="29" t="s">
        <v>27</v>
      </c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8" x14ac:dyDescent="0.2">
      <c r="A8" s="84" t="s">
        <v>1</v>
      </c>
      <c r="F8" s="13" t="s">
        <v>28</v>
      </c>
      <c r="H8" s="13" t="s">
        <v>29</v>
      </c>
      <c r="J8" s="13" t="s">
        <v>30</v>
      </c>
      <c r="L8" s="13" t="s">
        <v>31</v>
      </c>
      <c r="N8" s="13" t="s">
        <v>32</v>
      </c>
    </row>
    <row r="9" spans="1:18" ht="12" thickBot="1" x14ac:dyDescent="0.25">
      <c r="A9" s="85" t="s">
        <v>108</v>
      </c>
      <c r="B9" s="14" t="s">
        <v>33</v>
      </c>
      <c r="C9" s="14"/>
      <c r="D9" s="14" t="s">
        <v>34</v>
      </c>
      <c r="F9" s="15" t="s">
        <v>35</v>
      </c>
      <c r="H9" s="15" t="s">
        <v>36</v>
      </c>
      <c r="J9" s="15" t="s">
        <v>37</v>
      </c>
      <c r="L9" s="15" t="s">
        <v>38</v>
      </c>
      <c r="N9" s="15" t="s">
        <v>39</v>
      </c>
      <c r="P9" s="14" t="s">
        <v>40</v>
      </c>
    </row>
    <row r="10" spans="1:18" x14ac:dyDescent="0.2">
      <c r="B10" s="13" t="s">
        <v>5</v>
      </c>
      <c r="C10" s="13"/>
      <c r="D10" s="13" t="s">
        <v>6</v>
      </c>
      <c r="F10" s="31" t="s">
        <v>7</v>
      </c>
      <c r="H10" s="31" t="s">
        <v>41</v>
      </c>
      <c r="J10" s="31" t="s">
        <v>42</v>
      </c>
      <c r="L10" s="31" t="s">
        <v>43</v>
      </c>
      <c r="N10" s="31" t="s">
        <v>44</v>
      </c>
      <c r="P10" s="13" t="s">
        <v>45</v>
      </c>
    </row>
    <row r="11" spans="1:18" x14ac:dyDescent="0.2">
      <c r="B11" s="13"/>
      <c r="C11" s="13"/>
      <c r="D11" s="13"/>
      <c r="F11" s="31"/>
      <c r="H11" s="31"/>
      <c r="J11" s="31"/>
      <c r="L11" s="31"/>
      <c r="N11" s="31"/>
      <c r="P11" s="13"/>
    </row>
    <row r="12" spans="1:18" x14ac:dyDescent="0.2">
      <c r="A12" s="21">
        <v>1</v>
      </c>
      <c r="B12" s="11" t="s">
        <v>109</v>
      </c>
      <c r="C12" s="16"/>
      <c r="D12" s="17">
        <v>2025</v>
      </c>
      <c r="F12" s="7">
        <v>0</v>
      </c>
      <c r="G12" s="19"/>
      <c r="H12" s="7">
        <v>0</v>
      </c>
      <c r="I12" s="19" t="s">
        <v>9</v>
      </c>
      <c r="J12" s="7">
        <v>0</v>
      </c>
      <c r="K12" s="19"/>
      <c r="L12" s="7">
        <f>'CAPGDS1000000935 Acct1'!I35</f>
        <v>1985970.63</v>
      </c>
      <c r="M12" s="19"/>
      <c r="N12" s="7">
        <v>0</v>
      </c>
      <c r="O12" s="19"/>
      <c r="P12" s="7">
        <f>SUM(F12:M12)</f>
        <v>1985970.63</v>
      </c>
    </row>
    <row r="13" spans="1:18" x14ac:dyDescent="0.2">
      <c r="A13" s="21">
        <v>2</v>
      </c>
      <c r="B13" s="11" t="s">
        <v>110</v>
      </c>
      <c r="C13" s="16"/>
      <c r="D13" s="17">
        <v>2025</v>
      </c>
      <c r="F13" s="4">
        <v>0</v>
      </c>
      <c r="G13" s="18"/>
      <c r="H13" s="4">
        <v>0</v>
      </c>
      <c r="I13" s="18" t="s">
        <v>9</v>
      </c>
      <c r="J13" s="4">
        <v>0</v>
      </c>
      <c r="K13" s="18"/>
      <c r="L13" s="4">
        <f>'CAPGDS1000000166 Acct1'!I35+'CAPGDS1000000166 Acct2'!I35</f>
        <v>752331.27</v>
      </c>
      <c r="M13" s="18"/>
      <c r="N13" s="4">
        <v>0</v>
      </c>
      <c r="O13" s="19"/>
      <c r="P13" s="4">
        <f t="shared" ref="P13:P14" si="0">SUM(F13:M13)</f>
        <v>752331.27</v>
      </c>
    </row>
    <row r="14" spans="1:18" x14ac:dyDescent="0.2">
      <c r="A14" s="21">
        <v>3</v>
      </c>
      <c r="B14" s="11" t="s">
        <v>111</v>
      </c>
      <c r="C14" s="16"/>
      <c r="D14" s="17">
        <v>2025</v>
      </c>
      <c r="F14" s="8">
        <v>0</v>
      </c>
      <c r="G14" s="18"/>
      <c r="H14" s="8">
        <v>0</v>
      </c>
      <c r="I14" s="18" t="s">
        <v>9</v>
      </c>
      <c r="J14" s="8">
        <v>0</v>
      </c>
      <c r="K14" s="18"/>
      <c r="L14" s="8">
        <f>'CAPGDS1000000782 Acct1'!I35+'CAPGDS1000000782 Acct2'!I35+'CAPGDS1000000782 Acct3'!I35</f>
        <v>514448.44999999995</v>
      </c>
      <c r="M14" s="18"/>
      <c r="N14" s="8">
        <v>0</v>
      </c>
      <c r="O14" s="19"/>
      <c r="P14" s="8">
        <f t="shared" si="0"/>
        <v>514448.44999999995</v>
      </c>
    </row>
    <row r="15" spans="1:18" x14ac:dyDescent="0.2">
      <c r="A15" s="21">
        <v>4</v>
      </c>
      <c r="B15" s="11" t="s">
        <v>112</v>
      </c>
      <c r="C15" s="16"/>
      <c r="D15" s="17">
        <v>2025</v>
      </c>
      <c r="F15" s="8">
        <f>'CAPCIT1000000678 Acct1'!I33</f>
        <v>57872.56</v>
      </c>
      <c r="G15" s="18"/>
      <c r="H15" s="8">
        <v>0</v>
      </c>
      <c r="I15" s="18" t="s">
        <v>9</v>
      </c>
      <c r="J15" s="8">
        <v>0</v>
      </c>
      <c r="K15" s="18"/>
      <c r="L15" s="11">
        <v>0</v>
      </c>
      <c r="M15" s="18"/>
      <c r="N15" s="8">
        <v>0</v>
      </c>
      <c r="O15" s="19"/>
      <c r="P15" s="8">
        <f>SUM(F15:M15)</f>
        <v>57872.56</v>
      </c>
    </row>
    <row r="16" spans="1:18" x14ac:dyDescent="0.2">
      <c r="A16" s="21"/>
      <c r="C16" s="16"/>
      <c r="D16" s="17"/>
      <c r="F16" s="18"/>
      <c r="G16" s="19"/>
      <c r="H16" s="18"/>
      <c r="I16" s="19"/>
      <c r="J16" s="18"/>
      <c r="K16" s="19"/>
      <c r="L16" s="18"/>
      <c r="M16" s="19"/>
      <c r="N16" s="18"/>
      <c r="O16" s="19"/>
      <c r="P16" s="18"/>
    </row>
    <row r="17" spans="1:20" ht="12" thickBot="1" x14ac:dyDescent="0.25">
      <c r="A17" s="21"/>
      <c r="B17" s="20" t="s">
        <v>46</v>
      </c>
      <c r="D17" s="21" t="s">
        <v>9</v>
      </c>
      <c r="F17" s="132">
        <f>SUM(F12:F16)</f>
        <v>57872.56</v>
      </c>
      <c r="G17" s="133"/>
      <c r="H17" s="132">
        <f>SUM(H12:H16)</f>
        <v>0</v>
      </c>
      <c r="I17" s="133"/>
      <c r="J17" s="132">
        <f>SUM(J12:J16)</f>
        <v>0</v>
      </c>
      <c r="K17" s="133"/>
      <c r="L17" s="132">
        <f>SUM(L12:L16)</f>
        <v>3252750.3499999996</v>
      </c>
      <c r="M17" s="133"/>
      <c r="N17" s="132">
        <f>SUM(N12:N16)</f>
        <v>0</v>
      </c>
      <c r="O17" s="133"/>
      <c r="P17" s="132">
        <f>SUM(P12:P16)</f>
        <v>3310622.9099999997</v>
      </c>
    </row>
    <row r="18" spans="1:20" ht="12" thickTop="1" x14ac:dyDescent="0.2">
      <c r="B18" s="11" t="s">
        <v>9</v>
      </c>
      <c r="D18" s="21" t="s">
        <v>9</v>
      </c>
      <c r="F18" s="22"/>
      <c r="G18" s="19"/>
      <c r="H18" s="22"/>
      <c r="I18" s="19"/>
      <c r="J18" s="22"/>
      <c r="K18" s="19"/>
      <c r="L18" s="22"/>
      <c r="M18" s="19"/>
      <c r="N18" s="22"/>
      <c r="O18" s="19"/>
      <c r="P18" s="22" t="s">
        <v>9</v>
      </c>
    </row>
    <row r="19" spans="1:20" x14ac:dyDescent="0.2">
      <c r="B19" s="11" t="s">
        <v>9</v>
      </c>
      <c r="D19" s="21" t="s">
        <v>9</v>
      </c>
      <c r="F19" s="22"/>
      <c r="G19" s="19"/>
      <c r="H19" s="22"/>
      <c r="I19" s="19"/>
      <c r="J19" s="22"/>
      <c r="K19" s="19"/>
      <c r="L19" s="22"/>
      <c r="M19" s="19"/>
      <c r="N19" s="22"/>
      <c r="O19" s="19"/>
      <c r="P19" s="22" t="s">
        <v>9</v>
      </c>
    </row>
    <row r="20" spans="1:20" x14ac:dyDescent="0.2">
      <c r="B20" s="11" t="s">
        <v>9</v>
      </c>
      <c r="D20" s="21" t="s">
        <v>9</v>
      </c>
      <c r="F20" s="22"/>
      <c r="G20" s="19"/>
      <c r="H20" s="22"/>
      <c r="I20" s="19"/>
      <c r="J20" s="22"/>
      <c r="K20" s="19"/>
      <c r="L20" s="22"/>
      <c r="M20" s="19"/>
      <c r="N20" s="22"/>
      <c r="O20" s="19"/>
      <c r="P20" s="22" t="s">
        <v>9</v>
      </c>
    </row>
    <row r="21" spans="1:20" x14ac:dyDescent="0.2">
      <c r="B21" s="11" t="s">
        <v>9</v>
      </c>
      <c r="D21" s="21" t="s">
        <v>9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20" x14ac:dyDescent="0.2">
      <c r="B22" s="11" t="s">
        <v>9</v>
      </c>
      <c r="D22" s="21" t="s">
        <v>9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20" x14ac:dyDescent="0.2"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 t="s">
        <v>9</v>
      </c>
    </row>
    <row r="24" spans="1:20" x14ac:dyDescent="0.2"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20" x14ac:dyDescent="0.2"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20" x14ac:dyDescent="0.2"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20" ht="12.75" customHeight="1" x14ac:dyDescent="0.2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</row>
    <row r="28" spans="1:20" ht="12.75" customHeight="1" x14ac:dyDescent="0.2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</row>
    <row r="29" spans="1:20" ht="12.75" customHeight="1" x14ac:dyDescent="0.2"/>
    <row r="30" spans="1:20" ht="12.75" customHeight="1" x14ac:dyDescent="0.2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</row>
    <row r="31" spans="1:20" x14ac:dyDescent="0.2">
      <c r="A31" s="142" t="str">
        <f>'WP B, pg 1'!A5:H5</f>
        <v>Pro-Forma Adjustment - Project In-Service During Test Year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T31" s="13" t="s">
        <v>47</v>
      </c>
    </row>
    <row r="32" spans="1:20" x14ac:dyDescent="0.2"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T32" s="13" t="s">
        <v>48</v>
      </c>
    </row>
    <row r="33" spans="1:20" ht="12" thickBot="1" x14ac:dyDescent="0.25">
      <c r="A33" s="84" t="s">
        <v>1</v>
      </c>
      <c r="F33" s="29" t="s">
        <v>49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R33" s="13" t="s">
        <v>50</v>
      </c>
      <c r="T33" s="13" t="s">
        <v>51</v>
      </c>
    </row>
    <row r="34" spans="1:20" ht="12" thickBot="1" x14ac:dyDescent="0.25">
      <c r="A34" s="85" t="s">
        <v>108</v>
      </c>
      <c r="B34" s="14" t="s">
        <v>33</v>
      </c>
      <c r="D34" s="14" t="s">
        <v>34</v>
      </c>
      <c r="F34" s="23" t="s">
        <v>28</v>
      </c>
      <c r="H34" s="23" t="s">
        <v>29</v>
      </c>
      <c r="J34" s="23" t="s">
        <v>30</v>
      </c>
      <c r="L34" s="23" t="s">
        <v>31</v>
      </c>
      <c r="N34" s="23" t="s">
        <v>32</v>
      </c>
      <c r="P34" s="23" t="s">
        <v>40</v>
      </c>
      <c r="R34" s="14" t="s">
        <v>52</v>
      </c>
      <c r="T34" s="14" t="s">
        <v>53</v>
      </c>
    </row>
    <row r="35" spans="1:20" x14ac:dyDescent="0.2">
      <c r="B35" s="13" t="s">
        <v>5</v>
      </c>
      <c r="C35" s="13"/>
      <c r="D35" s="13" t="s">
        <v>6</v>
      </c>
      <c r="F35" s="31" t="s">
        <v>7</v>
      </c>
      <c r="H35" s="31" t="s">
        <v>41</v>
      </c>
      <c r="J35" s="31" t="s">
        <v>42</v>
      </c>
      <c r="L35" s="31" t="s">
        <v>43</v>
      </c>
      <c r="N35" s="31" t="s">
        <v>44</v>
      </c>
      <c r="P35" s="13" t="s">
        <v>45</v>
      </c>
      <c r="R35" s="13" t="s">
        <v>54</v>
      </c>
      <c r="T35" s="13" t="s">
        <v>55</v>
      </c>
    </row>
    <row r="36" spans="1:20" x14ac:dyDescent="0.2">
      <c r="B36" s="13"/>
      <c r="D36" s="13"/>
      <c r="F36" s="13"/>
      <c r="H36" s="13"/>
      <c r="J36" s="13"/>
      <c r="L36" s="13"/>
      <c r="N36" s="13"/>
      <c r="P36" s="13"/>
      <c r="R36" s="13"/>
    </row>
    <row r="37" spans="1:20" x14ac:dyDescent="0.2">
      <c r="A37" s="21">
        <f>A15+1</f>
        <v>5</v>
      </c>
      <c r="B37" s="16" t="str">
        <f>B12</f>
        <v>CAPGDS1000000935: Gas ERT Replacement (2025)</v>
      </c>
      <c r="C37" s="16"/>
      <c r="D37" s="24">
        <f>D12</f>
        <v>2025</v>
      </c>
      <c r="F37" s="134">
        <v>0</v>
      </c>
      <c r="G37" s="133"/>
      <c r="H37" s="134">
        <v>0</v>
      </c>
      <c r="I37" s="133"/>
      <c r="J37" s="134">
        <v>0</v>
      </c>
      <c r="K37" s="133"/>
      <c r="L37" s="134">
        <f>'CAPGDS1000000935 Acct1'!I117</f>
        <v>38929.26</v>
      </c>
      <c r="M37" s="133"/>
      <c r="N37" s="134">
        <v>0</v>
      </c>
      <c r="O37" s="133"/>
      <c r="P37" s="134">
        <f>SUM(F37:N37)</f>
        <v>38929.26</v>
      </c>
      <c r="Q37" s="133"/>
      <c r="R37" s="134">
        <f>'CAPGDS1000000935 Acct1'!I72</f>
        <v>67522.98</v>
      </c>
      <c r="S37" s="133"/>
      <c r="T37" s="133">
        <f>'CAPGDS1000000935 Acct1'!M117</f>
        <v>-7635.32</v>
      </c>
    </row>
    <row r="38" spans="1:20" x14ac:dyDescent="0.2">
      <c r="A38" s="21">
        <f>A37+1</f>
        <v>6</v>
      </c>
      <c r="B38" s="16" t="str">
        <f>B13</f>
        <v>CAPGDS1000000166: SFS - 6 Mile Serve Load</v>
      </c>
      <c r="C38" s="16"/>
      <c r="D38" s="24">
        <f>D13</f>
        <v>2025</v>
      </c>
      <c r="F38" s="4">
        <v>0</v>
      </c>
      <c r="G38" s="18"/>
      <c r="H38" s="4">
        <v>0</v>
      </c>
      <c r="I38" s="18"/>
      <c r="J38" s="4">
        <v>0</v>
      </c>
      <c r="K38" s="18"/>
      <c r="L38" s="4">
        <f>'CAPGDS1000000166 Acct1'!I117+'CAPGDS1000000166 Acct2'!I117</f>
        <v>10851.41</v>
      </c>
      <c r="M38" s="18"/>
      <c r="N38" s="4">
        <v>0</v>
      </c>
      <c r="O38" s="19"/>
      <c r="P38" s="4">
        <f>SUM(F38:N38)</f>
        <v>10851.41</v>
      </c>
      <c r="Q38" s="4"/>
      <c r="R38" s="4">
        <f>'CAPGDS1000000166 Acct1'!I72+'CAPGDS1000000166 Acct2'!I72</f>
        <v>16595.479999999996</v>
      </c>
      <c r="S38" s="4"/>
      <c r="T38" s="4">
        <f>'CAPGDS1000000166 Acct1'!M117+'CAPGDS1000000166 Acct2'!M117</f>
        <v>-1876.56</v>
      </c>
    </row>
    <row r="39" spans="1:20" x14ac:dyDescent="0.2">
      <c r="A39" s="21">
        <f t="shared" ref="A39:A40" si="1">A38+1</f>
        <v>7</v>
      </c>
      <c r="B39" s="16" t="str">
        <f>B14</f>
        <v>CAPGDS1000000782: SFS - Cliff I229 Interchange</v>
      </c>
      <c r="C39" s="16"/>
      <c r="D39" s="24">
        <f>D14</f>
        <v>2025</v>
      </c>
      <c r="F39" s="8">
        <v>0</v>
      </c>
      <c r="G39" s="18"/>
      <c r="H39" s="8">
        <v>0</v>
      </c>
      <c r="I39" s="18"/>
      <c r="J39" s="8">
        <v>0</v>
      </c>
      <c r="K39" s="18"/>
      <c r="L39" s="8">
        <f>'CAPGDS1000000782 Acct1'!I117+'CAPGDS1000000782 Acct2'!I117+'CAPGDS1000000782 Acct3'!I117</f>
        <v>7491.3400000000011</v>
      </c>
      <c r="M39" s="18"/>
      <c r="N39" s="8">
        <v>0</v>
      </c>
      <c r="O39" s="19"/>
      <c r="P39" s="8">
        <f>SUM(F39:N39)</f>
        <v>7491.3400000000011</v>
      </c>
      <c r="Q39" s="8"/>
      <c r="R39" s="8">
        <f>'CAPGDS1000000782 Acct1'!I72+'CAPGDS1000000782 Acct2'!I72+'CAPGDS1000000782 Acct3'!I72</f>
        <v>11348.060000000001</v>
      </c>
      <c r="S39" s="8"/>
      <c r="T39" s="8">
        <f>'CAPGDS1000000782 Acct1'!M117+'CAPGDS1000000782 Acct2'!M117+'CAPGDS1000000782 Acct3'!M117</f>
        <v>-1283.24</v>
      </c>
    </row>
    <row r="40" spans="1:20" x14ac:dyDescent="0.2">
      <c r="A40" s="21">
        <f t="shared" si="1"/>
        <v>8</v>
      </c>
      <c r="B40" s="16" t="str">
        <f>B15</f>
        <v>CAPCIT10000000678: Gas System Safety Target Zero</v>
      </c>
      <c r="C40" s="16"/>
      <c r="D40" s="24">
        <f>D15</f>
        <v>2025</v>
      </c>
      <c r="F40" s="8">
        <f>'CAPCIT1000000678 Acct1'!I116</f>
        <v>751.24</v>
      </c>
      <c r="G40" s="18"/>
      <c r="H40" s="8">
        <v>0</v>
      </c>
      <c r="I40" s="18"/>
      <c r="J40" s="8">
        <v>0</v>
      </c>
      <c r="K40" s="18"/>
      <c r="L40" s="8">
        <v>0</v>
      </c>
      <c r="M40" s="18"/>
      <c r="N40" s="8">
        <v>0</v>
      </c>
      <c r="O40" s="19"/>
      <c r="P40" s="8">
        <f>SUM(F40:N40)</f>
        <v>751.24</v>
      </c>
      <c r="Q40" s="8"/>
      <c r="R40" s="8">
        <f>'CAPCIT1000000678 Acct1'!I71</f>
        <v>1085.1299999999997</v>
      </c>
      <c r="S40" s="8"/>
      <c r="T40" s="8">
        <f>'CAPCIT1000000678 Acct1'!M116</f>
        <v>-122.71</v>
      </c>
    </row>
    <row r="41" spans="1:20" x14ac:dyDescent="0.2">
      <c r="A41" s="21"/>
      <c r="B41" s="16"/>
      <c r="C41" s="16"/>
      <c r="D41" s="24"/>
      <c r="F41" s="25"/>
      <c r="G41" s="19"/>
      <c r="H41" s="25"/>
      <c r="I41" s="19"/>
      <c r="J41" s="25"/>
      <c r="K41" s="19"/>
      <c r="L41" s="25"/>
      <c r="M41" s="19"/>
      <c r="N41" s="25"/>
      <c r="O41" s="19"/>
      <c r="P41" s="25"/>
      <c r="R41" s="25"/>
      <c r="T41" s="77"/>
    </row>
    <row r="42" spans="1:20" ht="12" thickBot="1" x14ac:dyDescent="0.25">
      <c r="B42" s="26" t="str">
        <f t="shared" ref="B42:B47" si="2">B17</f>
        <v>TOTAL</v>
      </c>
      <c r="D42" s="17" t="str">
        <f>D17</f>
        <v xml:space="preserve"> </v>
      </c>
      <c r="F42" s="132">
        <f>SUM(F37:F41)</f>
        <v>751.24</v>
      </c>
      <c r="G42" s="133"/>
      <c r="H42" s="132">
        <f>SUM(H37:H41)</f>
        <v>0</v>
      </c>
      <c r="I42" s="133"/>
      <c r="J42" s="132">
        <f>SUM(J37:J41)</f>
        <v>0</v>
      </c>
      <c r="K42" s="133"/>
      <c r="L42" s="132">
        <f>SUM(L37:L41)</f>
        <v>57272.01</v>
      </c>
      <c r="M42" s="133"/>
      <c r="N42" s="132">
        <f>SUM(N37:N41)</f>
        <v>0</v>
      </c>
      <c r="O42" s="133"/>
      <c r="P42" s="132">
        <f>SUM(P37:P41)</f>
        <v>58023.25</v>
      </c>
      <c r="Q42" s="133"/>
      <c r="R42" s="132">
        <f>SUM(R37:R41)</f>
        <v>96551.65</v>
      </c>
      <c r="S42" s="133"/>
      <c r="T42" s="132">
        <f>SUM(T37:T41)</f>
        <v>-10917.829999999998</v>
      </c>
    </row>
    <row r="43" spans="1:20" ht="12" thickTop="1" x14ac:dyDescent="0.2">
      <c r="B43" s="16" t="str">
        <f t="shared" si="2"/>
        <v xml:space="preserve"> </v>
      </c>
      <c r="D43" s="17" t="str">
        <f>D18</f>
        <v xml:space="preserve"> </v>
      </c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 t="s">
        <v>9</v>
      </c>
      <c r="Q43" s="27"/>
      <c r="R43" s="27"/>
    </row>
    <row r="44" spans="1:20" x14ac:dyDescent="0.2">
      <c r="B44" s="16" t="str">
        <f t="shared" si="2"/>
        <v xml:space="preserve"> </v>
      </c>
      <c r="D44" s="17" t="str">
        <f>D19</f>
        <v xml:space="preserve"> 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27" t="s">
        <v>9</v>
      </c>
      <c r="R44" s="19"/>
    </row>
    <row r="45" spans="1:20" x14ac:dyDescent="0.2">
      <c r="B45" s="16" t="str">
        <f t="shared" si="2"/>
        <v xml:space="preserve"> 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27" t="s">
        <v>9</v>
      </c>
      <c r="R45" s="19"/>
    </row>
    <row r="46" spans="1:20" x14ac:dyDescent="0.2">
      <c r="B46" s="16" t="str">
        <f t="shared" si="2"/>
        <v xml:space="preserve"> 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27" t="s">
        <v>9</v>
      </c>
      <c r="R46" s="19"/>
    </row>
    <row r="47" spans="1:20" x14ac:dyDescent="0.2">
      <c r="B47" s="16" t="str">
        <f t="shared" si="2"/>
        <v xml:space="preserve"> 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27" t="s">
        <v>9</v>
      </c>
      <c r="R47" s="19"/>
    </row>
    <row r="48" spans="1:20" x14ac:dyDescent="0.2"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R48" s="19"/>
    </row>
    <row r="49" spans="6:18" x14ac:dyDescent="0.2"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R49" s="19"/>
    </row>
    <row r="50" spans="6:18" x14ac:dyDescent="0.2"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R50" s="19"/>
    </row>
    <row r="51" spans="6:18" x14ac:dyDescent="0.2"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R51" s="19"/>
    </row>
    <row r="52" spans="6:18" x14ac:dyDescent="0.2"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R52" s="19"/>
    </row>
    <row r="53" spans="6:18" x14ac:dyDescent="0.2"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R53" s="19"/>
    </row>
    <row r="56" spans="6:18" x14ac:dyDescent="0.2">
      <c r="R56" s="19"/>
    </row>
  </sheetData>
  <mergeCells count="8">
    <mergeCell ref="A28:R28"/>
    <mergeCell ref="A31:R31"/>
    <mergeCell ref="A30:R30"/>
    <mergeCell ref="A1:R1"/>
    <mergeCell ref="A2:R2"/>
    <mergeCell ref="A5:R5"/>
    <mergeCell ref="A4:R4"/>
    <mergeCell ref="A27:R27"/>
  </mergeCells>
  <pageMargins left="0.75" right="0.75" top="1" bottom="1" header="0.5" footer="0.5"/>
  <pageSetup pageOrder="overThenDown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1" manualBreakCount="1">
    <brk id="26" max="1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08EB-BB74-428F-A2EF-680496B480E9}">
  <dimension ref="A1:M127"/>
  <sheetViews>
    <sheetView view="pageLayout" zoomScaleNormal="100" workbookViewId="0">
      <selection sqref="A1:I1"/>
    </sheetView>
  </sheetViews>
  <sheetFormatPr defaultColWidth="10.28515625" defaultRowHeight="11.25" x14ac:dyDescent="0.2"/>
  <cols>
    <col min="1" max="1" width="4.85546875" style="49" customWidth="1"/>
    <col min="2" max="2" width="1" style="49" customWidth="1"/>
    <col min="3" max="3" width="11.85546875" style="49" customWidth="1"/>
    <col min="4" max="4" width="1" style="49" customWidth="1"/>
    <col min="5" max="5" width="15" style="49" customWidth="1"/>
    <col min="6" max="6" width="1" style="49" customWidth="1"/>
    <col min="7" max="7" width="15" style="49" customWidth="1"/>
    <col min="8" max="8" width="1" style="49" customWidth="1"/>
    <col min="9" max="9" width="12.42578125" style="49" customWidth="1"/>
    <col min="10" max="10" width="1.85546875" style="49" customWidth="1"/>
    <col min="11" max="11" width="11" style="49" customWidth="1"/>
    <col min="12" max="12" width="1.140625" style="49" customWidth="1"/>
    <col min="13" max="13" width="13.140625" style="49" customWidth="1"/>
    <col min="14" max="16384" width="10.28515625" style="49"/>
  </cols>
  <sheetData>
    <row r="1" spans="1:13" x14ac:dyDescent="0.2">
      <c r="A1" s="149"/>
      <c r="B1" s="149"/>
      <c r="C1" s="149"/>
      <c r="D1" s="149"/>
      <c r="E1" s="149"/>
      <c r="F1" s="149"/>
      <c r="G1" s="149"/>
      <c r="H1" s="149"/>
      <c r="I1" s="149"/>
      <c r="J1" s="83"/>
      <c r="K1" s="83"/>
      <c r="L1" s="83"/>
      <c r="M1" s="83"/>
    </row>
    <row r="2" spans="1:13" x14ac:dyDescent="0.2">
      <c r="A2" s="149"/>
      <c r="B2" s="149"/>
      <c r="C2" s="149"/>
      <c r="D2" s="149"/>
      <c r="E2" s="149"/>
      <c r="F2" s="149"/>
      <c r="G2" s="149"/>
      <c r="H2" s="149"/>
      <c r="I2" s="149"/>
    </row>
    <row r="4" spans="1:13" x14ac:dyDescent="0.2">
      <c r="A4" s="46"/>
      <c r="B4" s="46"/>
      <c r="C4" s="47"/>
      <c r="D4" s="47"/>
      <c r="E4" s="47"/>
      <c r="F4" s="47"/>
      <c r="G4" s="47"/>
      <c r="H4" s="47"/>
      <c r="I4" s="47"/>
    </row>
    <row r="5" spans="1:13" x14ac:dyDescent="0.2">
      <c r="A5" s="149" t="str">
        <f>'CAPCIT1000000678 Input'!A7:J7</f>
        <v>Pro Forma Adjustment - Project In Service During Test Year</v>
      </c>
      <c r="B5" s="149"/>
      <c r="C5" s="149"/>
      <c r="D5" s="149"/>
      <c r="E5" s="149"/>
      <c r="F5" s="149"/>
      <c r="G5" s="149"/>
      <c r="H5" s="149"/>
      <c r="I5" s="149"/>
    </row>
    <row r="6" spans="1:13" x14ac:dyDescent="0.2">
      <c r="A6" s="151" t="str">
        <f>'CAPCIT1000000678 Input'!F9</f>
        <v>Gas System Safety: Target Zero</v>
      </c>
      <c r="B6" s="151"/>
      <c r="C6" s="151"/>
      <c r="D6" s="151"/>
      <c r="E6" s="151"/>
      <c r="F6" s="151"/>
      <c r="G6" s="151"/>
      <c r="H6" s="151"/>
      <c r="I6" s="151"/>
    </row>
    <row r="7" spans="1:13" x14ac:dyDescent="0.2">
      <c r="A7" s="62"/>
      <c r="B7" s="62"/>
      <c r="C7" s="62"/>
      <c r="D7" s="62"/>
      <c r="E7" s="62"/>
      <c r="F7" s="62"/>
      <c r="G7" s="62"/>
      <c r="H7" s="62"/>
      <c r="I7" s="62"/>
    </row>
    <row r="8" spans="1:13" x14ac:dyDescent="0.2">
      <c r="A8" s="50" t="str">
        <f>'CAPCIT1000000678 TotalWO'!A10</f>
        <v>PLANT IN SERVICE</v>
      </c>
      <c r="B8" s="50"/>
      <c r="C8" s="48"/>
      <c r="D8" s="48"/>
      <c r="E8" s="48"/>
      <c r="F8" s="48"/>
      <c r="G8" s="48"/>
      <c r="H8" s="48"/>
      <c r="I8" s="48"/>
    </row>
    <row r="9" spans="1:13" x14ac:dyDescent="0.2">
      <c r="A9" s="50" t="s">
        <v>9</v>
      </c>
      <c r="B9" s="50"/>
      <c r="C9" s="48"/>
      <c r="D9" s="48"/>
      <c r="E9" s="48" t="s">
        <v>9</v>
      </c>
      <c r="F9" s="48"/>
      <c r="G9" s="48"/>
      <c r="H9" s="48"/>
      <c r="I9" s="48"/>
    </row>
    <row r="11" spans="1:13" ht="12" thickBot="1" x14ac:dyDescent="0.25">
      <c r="A11" s="65" t="s">
        <v>77</v>
      </c>
      <c r="E11" s="52" t="str">
        <f>"Acct "&amp;'CAPCIT1000000678 Input'!F16</f>
        <v>Acct 2.303.00</v>
      </c>
      <c r="F11" s="52"/>
      <c r="G11" s="52"/>
      <c r="H11" s="52"/>
      <c r="I11" s="52"/>
    </row>
    <row r="12" spans="1:13" ht="12" thickBot="1" x14ac:dyDescent="0.25">
      <c r="A12" s="88" t="s">
        <v>79</v>
      </c>
      <c r="B12" s="54"/>
      <c r="C12" s="53" t="s">
        <v>80</v>
      </c>
      <c r="D12" s="54"/>
      <c r="E12" s="53" t="s">
        <v>81</v>
      </c>
      <c r="F12" s="54"/>
      <c r="G12" s="53" t="s">
        <v>82</v>
      </c>
      <c r="H12" s="54"/>
      <c r="I12" s="53" t="s">
        <v>83</v>
      </c>
    </row>
    <row r="13" spans="1:13" x14ac:dyDescent="0.2">
      <c r="A13" s="55"/>
      <c r="B13" s="54"/>
      <c r="C13" s="39" t="s">
        <v>5</v>
      </c>
      <c r="D13" s="55"/>
      <c r="E13" s="36" t="s">
        <v>6</v>
      </c>
      <c r="F13" s="55"/>
      <c r="G13" s="36" t="s">
        <v>7</v>
      </c>
      <c r="H13" s="33"/>
      <c r="I13" s="36" t="s">
        <v>41</v>
      </c>
    </row>
    <row r="14" spans="1:13" x14ac:dyDescent="0.2">
      <c r="A14" s="55"/>
      <c r="B14" s="54"/>
      <c r="C14" s="55"/>
      <c r="D14" s="54"/>
      <c r="E14" s="55"/>
      <c r="F14" s="54"/>
      <c r="G14" s="55"/>
      <c r="H14" s="54"/>
      <c r="I14" s="55"/>
    </row>
    <row r="15" spans="1:13" x14ac:dyDescent="0.2">
      <c r="A15" s="49">
        <v>1</v>
      </c>
      <c r="C15" s="56">
        <f>'CAPCIT1000000678 TotalWO'!C17</f>
        <v>45641</v>
      </c>
      <c r="D15" s="56"/>
      <c r="E15" s="117">
        <f>'CAPCIT1000000678 TotalWO'!E17*'CAPCIT1000000678 Input'!$H$16</f>
        <v>0</v>
      </c>
      <c r="F15" s="123"/>
      <c r="G15" s="117">
        <f>'CAPCIT1000000678 TotalWO'!G17*'CAPCIT1000000678 Input'!$H$16</f>
        <v>94042.91430568877</v>
      </c>
      <c r="H15" s="118"/>
      <c r="I15" s="117">
        <f t="shared" ref="I15:I27" si="0">G15-E15</f>
        <v>94042.91430568877</v>
      </c>
    </row>
    <row r="16" spans="1:13" x14ac:dyDescent="0.2">
      <c r="A16" s="49">
        <f t="shared" ref="A16:A38" si="1">1+A15</f>
        <v>2</v>
      </c>
      <c r="C16" s="56">
        <f>'CAPCIT1000000678 TotalWO'!C18</f>
        <v>45672</v>
      </c>
      <c r="D16" s="56"/>
      <c r="E16" s="78">
        <f>'CAPCIT1000000678 TotalWO'!E18*'CAPCIT1000000678 Input'!$H$16</f>
        <v>0</v>
      </c>
      <c r="F16" s="78"/>
      <c r="G16" s="78">
        <f>'CAPCIT1000000678 TotalWO'!G18*'CAPCIT1000000678 Input'!$H$16</f>
        <v>94042.91430568877</v>
      </c>
      <c r="H16" s="8"/>
      <c r="I16" s="78">
        <f t="shared" si="0"/>
        <v>94042.91430568877</v>
      </c>
      <c r="K16" s="78"/>
      <c r="L16" s="78"/>
    </row>
    <row r="17" spans="1:9" x14ac:dyDescent="0.2">
      <c r="A17" s="49">
        <f t="shared" si="1"/>
        <v>3</v>
      </c>
      <c r="C17" s="56">
        <f t="shared" ref="C17:C27" si="2">C16+31</f>
        <v>45703</v>
      </c>
      <c r="D17" s="56"/>
      <c r="E17" s="78">
        <f>'CAPCIT1000000678 TotalWO'!E19*'CAPCIT1000000678 Input'!$H$16</f>
        <v>0</v>
      </c>
      <c r="F17" s="78"/>
      <c r="G17" s="8">
        <f>'CAPCIT1000000678 TotalWO'!G19*'CAPCIT1000000678 Input'!$H$16</f>
        <v>94042.91430568877</v>
      </c>
      <c r="H17" s="8"/>
      <c r="I17" s="8">
        <f t="shared" si="0"/>
        <v>94042.91430568877</v>
      </c>
    </row>
    <row r="18" spans="1:9" x14ac:dyDescent="0.2">
      <c r="A18" s="49">
        <f t="shared" si="1"/>
        <v>4</v>
      </c>
      <c r="C18" s="56">
        <f t="shared" si="2"/>
        <v>45734</v>
      </c>
      <c r="D18" s="56"/>
      <c r="E18" s="78">
        <f>'CAPCIT1000000678 TotalWO'!E20*'CAPCIT1000000678 Input'!$H$16</f>
        <v>0</v>
      </c>
      <c r="F18" s="78"/>
      <c r="G18" s="8">
        <f>'CAPCIT1000000678 TotalWO'!G20*'CAPCIT1000000678 Input'!$H$16</f>
        <v>94042.91430568877</v>
      </c>
      <c r="H18" s="8"/>
      <c r="I18" s="8">
        <f t="shared" si="0"/>
        <v>94042.91430568877</v>
      </c>
    </row>
    <row r="19" spans="1:9" x14ac:dyDescent="0.2">
      <c r="A19" s="49">
        <f t="shared" si="1"/>
        <v>5</v>
      </c>
      <c r="C19" s="56">
        <f t="shared" si="2"/>
        <v>45765</v>
      </c>
      <c r="D19" s="56"/>
      <c r="E19" s="78">
        <f>'CAPCIT1000000678 TotalWO'!E21*'CAPCIT1000000678 Input'!$H$16</f>
        <v>0</v>
      </c>
      <c r="F19" s="78"/>
      <c r="G19" s="8">
        <f>'CAPCIT1000000678 TotalWO'!G21*'CAPCIT1000000678 Input'!$H$16</f>
        <v>94042.91430568877</v>
      </c>
      <c r="H19" s="8"/>
      <c r="I19" s="8">
        <f t="shared" si="0"/>
        <v>94042.91430568877</v>
      </c>
    </row>
    <row r="20" spans="1:9" x14ac:dyDescent="0.2">
      <c r="A20" s="49">
        <f t="shared" si="1"/>
        <v>6</v>
      </c>
      <c r="C20" s="56">
        <f t="shared" si="2"/>
        <v>45796</v>
      </c>
      <c r="D20" s="56"/>
      <c r="E20" s="78">
        <f>'CAPCIT1000000678 TotalWO'!E22*'CAPCIT1000000678 Input'!$H$16</f>
        <v>0</v>
      </c>
      <c r="F20" s="78"/>
      <c r="G20" s="8">
        <f>'CAPCIT1000000678 TotalWO'!G22*'CAPCIT1000000678 Input'!$H$16</f>
        <v>94042.91430568877</v>
      </c>
      <c r="H20" s="8"/>
      <c r="I20" s="8">
        <f t="shared" si="0"/>
        <v>94042.91430568877</v>
      </c>
    </row>
    <row r="21" spans="1:9" x14ac:dyDescent="0.2">
      <c r="A21" s="49">
        <f t="shared" si="1"/>
        <v>7</v>
      </c>
      <c r="C21" s="56">
        <f t="shared" si="2"/>
        <v>45827</v>
      </c>
      <c r="D21" s="56"/>
      <c r="E21" s="78">
        <f>'CAPCIT1000000678 TotalWO'!E23*'CAPCIT1000000678 Input'!$H$16</f>
        <v>0</v>
      </c>
      <c r="F21" s="78"/>
      <c r="G21" s="8">
        <f>'CAPCIT1000000678 TotalWO'!G23*'CAPCIT1000000678 Input'!$H$16</f>
        <v>94042.91430568877</v>
      </c>
      <c r="H21" s="8"/>
      <c r="I21" s="8">
        <f t="shared" si="0"/>
        <v>94042.91430568877</v>
      </c>
    </row>
    <row r="22" spans="1:9" x14ac:dyDescent="0.2">
      <c r="A22" s="49">
        <f t="shared" si="1"/>
        <v>8</v>
      </c>
      <c r="C22" s="56">
        <f t="shared" si="2"/>
        <v>45858</v>
      </c>
      <c r="D22" s="56"/>
      <c r="E22" s="78">
        <f>'CAPCIT1000000678 TotalWO'!E24*'CAPCIT1000000678 Input'!$H$16</f>
        <v>0</v>
      </c>
      <c r="F22" s="78"/>
      <c r="G22" s="8">
        <f>'CAPCIT1000000678 TotalWO'!G24*'CAPCIT1000000678 Input'!$H$16</f>
        <v>94042.91430568877</v>
      </c>
      <c r="H22" s="8"/>
      <c r="I22" s="8">
        <f t="shared" si="0"/>
        <v>94042.91430568877</v>
      </c>
    </row>
    <row r="23" spans="1:9" x14ac:dyDescent="0.2">
      <c r="A23" s="49">
        <f t="shared" si="1"/>
        <v>9</v>
      </c>
      <c r="C23" s="56">
        <f t="shared" si="2"/>
        <v>45889</v>
      </c>
      <c r="D23" s="56"/>
      <c r="E23" s="78">
        <f>'CAPCIT1000000678 TotalWO'!E25*'CAPCIT1000000678 Input'!$H$16</f>
        <v>0</v>
      </c>
      <c r="F23" s="78"/>
      <c r="G23" s="8">
        <f>'CAPCIT1000000678 TotalWO'!G25*'CAPCIT1000000678 Input'!$H$16</f>
        <v>94042.91430568877</v>
      </c>
      <c r="H23" s="8"/>
      <c r="I23" s="8">
        <f t="shared" si="0"/>
        <v>94042.91430568877</v>
      </c>
    </row>
    <row r="24" spans="1:9" x14ac:dyDescent="0.2">
      <c r="A24" s="49">
        <f t="shared" si="1"/>
        <v>10</v>
      </c>
      <c r="C24" s="56">
        <f t="shared" si="2"/>
        <v>45920</v>
      </c>
      <c r="D24" s="56"/>
      <c r="E24" s="78">
        <f>'CAPCIT1000000678 TotalWO'!E26*'CAPCIT1000000678 Input'!$H$16</f>
        <v>94042.91430568877</v>
      </c>
      <c r="F24" s="78"/>
      <c r="G24" s="8">
        <f>'CAPCIT1000000678 TotalWO'!G26*'CAPCIT1000000678 Input'!$H$16</f>
        <v>94042.91430568877</v>
      </c>
      <c r="H24" s="8"/>
      <c r="I24" s="8">
        <f t="shared" si="0"/>
        <v>0</v>
      </c>
    </row>
    <row r="25" spans="1:9" x14ac:dyDescent="0.2">
      <c r="A25" s="49">
        <f t="shared" si="1"/>
        <v>11</v>
      </c>
      <c r="C25" s="56">
        <f t="shared" si="2"/>
        <v>45951</v>
      </c>
      <c r="D25" s="56"/>
      <c r="E25" s="78">
        <f>'CAPCIT1000000678 TotalWO'!E27*'CAPCIT1000000678 Input'!$H$16</f>
        <v>94042.91430568877</v>
      </c>
      <c r="F25" s="78"/>
      <c r="G25" s="8">
        <f>'CAPCIT1000000678 TotalWO'!G27*'CAPCIT1000000678 Input'!$H$16</f>
        <v>94042.91430568877</v>
      </c>
      <c r="H25" s="8"/>
      <c r="I25" s="8">
        <f t="shared" si="0"/>
        <v>0</v>
      </c>
    </row>
    <row r="26" spans="1:9" x14ac:dyDescent="0.2">
      <c r="A26" s="49">
        <f t="shared" si="1"/>
        <v>12</v>
      </c>
      <c r="C26" s="56">
        <f t="shared" si="2"/>
        <v>45982</v>
      </c>
      <c r="D26" s="56"/>
      <c r="E26" s="78">
        <f>'CAPCIT1000000678 TotalWO'!E28*'CAPCIT1000000678 Input'!$H$16</f>
        <v>94042.91430568877</v>
      </c>
      <c r="F26" s="78"/>
      <c r="G26" s="8">
        <f>'CAPCIT1000000678 TotalWO'!G28*'CAPCIT1000000678 Input'!$H$16</f>
        <v>94042.91430568877</v>
      </c>
      <c r="H26" s="8"/>
      <c r="I26" s="8">
        <f t="shared" si="0"/>
        <v>0</v>
      </c>
    </row>
    <row r="27" spans="1:9" x14ac:dyDescent="0.2">
      <c r="A27" s="49">
        <f t="shared" si="1"/>
        <v>13</v>
      </c>
      <c r="C27" s="56">
        <f t="shared" si="2"/>
        <v>46013</v>
      </c>
      <c r="D27" s="56"/>
      <c r="E27" s="130">
        <f>'CAPCIT1000000678 TotalWO'!E29*'CAPCIT1000000678 Input'!$H$16</f>
        <v>94042.91430568877</v>
      </c>
      <c r="F27" s="78"/>
      <c r="G27" s="131">
        <f>'CAPCIT1000000678 TotalWO'!G29*'CAPCIT1000000678 Input'!$H$16</f>
        <v>94042.91430568877</v>
      </c>
      <c r="H27" s="8"/>
      <c r="I27" s="131">
        <f t="shared" si="0"/>
        <v>0</v>
      </c>
    </row>
    <row r="28" spans="1:9" x14ac:dyDescent="0.2">
      <c r="A28" s="49">
        <f t="shared" si="1"/>
        <v>14</v>
      </c>
      <c r="C28" s="58" t="s">
        <v>46</v>
      </c>
      <c r="D28" s="58"/>
      <c r="E28" s="118">
        <f>SUM(E16:E27)</f>
        <v>376171.65722275508</v>
      </c>
      <c r="F28" s="118"/>
      <c r="G28" s="118">
        <f>SUM(G16:G27)</f>
        <v>1128514.9716682655</v>
      </c>
      <c r="H28" s="118"/>
      <c r="I28" s="118">
        <f>SUM(I16:I27)</f>
        <v>752343.31444551027</v>
      </c>
    </row>
    <row r="29" spans="1:9" x14ac:dyDescent="0.2">
      <c r="A29" s="49">
        <f t="shared" si="1"/>
        <v>15</v>
      </c>
      <c r="E29" s="118"/>
      <c r="F29" s="118"/>
      <c r="G29" s="118"/>
      <c r="H29" s="118"/>
      <c r="I29" s="118"/>
    </row>
    <row r="30" spans="1:9" ht="12" thickBot="1" x14ac:dyDescent="0.25">
      <c r="A30" s="49">
        <f t="shared" si="1"/>
        <v>16</v>
      </c>
      <c r="C30" s="60" t="s">
        <v>116</v>
      </c>
      <c r="D30" s="60"/>
      <c r="E30" s="121">
        <f>ROUND(+E28/13,2)</f>
        <v>28936.28</v>
      </c>
      <c r="F30" s="118"/>
      <c r="G30" s="121">
        <f>ROUND(+G28/13,2)</f>
        <v>86808.84</v>
      </c>
      <c r="H30" s="118"/>
      <c r="I30" s="121">
        <f>ROUND(+I28/13,2)</f>
        <v>57872.56</v>
      </c>
    </row>
    <row r="31" spans="1:9" ht="12" thickTop="1" x14ac:dyDescent="0.2">
      <c r="A31" s="49">
        <f t="shared" si="1"/>
        <v>17</v>
      </c>
      <c r="E31" s="118"/>
      <c r="F31" s="118"/>
      <c r="G31" s="118"/>
      <c r="H31" s="118"/>
      <c r="I31" s="118"/>
    </row>
    <row r="32" spans="1:9" x14ac:dyDescent="0.2">
      <c r="A32" s="49">
        <f t="shared" si="1"/>
        <v>18</v>
      </c>
      <c r="E32" s="122" t="s">
        <v>9</v>
      </c>
      <c r="F32" s="122"/>
      <c r="G32" s="122" t="s">
        <v>9</v>
      </c>
      <c r="H32" s="122"/>
      <c r="I32" s="122" t="s">
        <v>9</v>
      </c>
    </row>
    <row r="33" spans="1:13" ht="12" thickBot="1" x14ac:dyDescent="0.25">
      <c r="A33" s="49">
        <f t="shared" si="1"/>
        <v>19</v>
      </c>
      <c r="C33" s="58" t="s">
        <v>84</v>
      </c>
      <c r="D33" s="58"/>
      <c r="E33" s="118"/>
      <c r="F33" s="118"/>
      <c r="G33" s="118"/>
      <c r="H33" s="118"/>
      <c r="I33" s="121">
        <f>I30</f>
        <v>57872.56</v>
      </c>
    </row>
    <row r="34" spans="1:13" ht="12" thickTop="1" x14ac:dyDescent="0.2">
      <c r="A34" s="49">
        <f t="shared" si="1"/>
        <v>20</v>
      </c>
    </row>
    <row r="35" spans="1:13" x14ac:dyDescent="0.2">
      <c r="A35" s="49">
        <f t="shared" si="1"/>
        <v>21</v>
      </c>
      <c r="I35" s="58" t="s">
        <v>85</v>
      </c>
    </row>
    <row r="36" spans="1:13" x14ac:dyDescent="0.2">
      <c r="A36" s="49">
        <f t="shared" si="1"/>
        <v>22</v>
      </c>
      <c r="I36" s="58" t="s">
        <v>155</v>
      </c>
    </row>
    <row r="37" spans="1:13" x14ac:dyDescent="0.2">
      <c r="A37" s="49">
        <f t="shared" si="1"/>
        <v>23</v>
      </c>
    </row>
    <row r="38" spans="1:13" x14ac:dyDescent="0.2">
      <c r="A38" s="49">
        <f t="shared" si="1"/>
        <v>24</v>
      </c>
    </row>
    <row r="39" spans="1:13" x14ac:dyDescent="0.2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</row>
    <row r="40" spans="1:13" x14ac:dyDescent="0.2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</row>
    <row r="45" spans="1:13" x14ac:dyDescent="0.2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</row>
    <row r="46" spans="1:13" x14ac:dyDescent="0.2">
      <c r="A46" s="149" t="str">
        <f>A5</f>
        <v>Pro Forma Adjustment - Project In Service During Test Year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 x14ac:dyDescent="0.2">
      <c r="A47" s="150" t="str">
        <f>A6</f>
        <v>Gas System Safety: Target Zero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</row>
    <row r="48" spans="1:13" x14ac:dyDescent="0.2">
      <c r="A48" s="50"/>
      <c r="B48" s="50"/>
      <c r="C48" s="48"/>
      <c r="D48" s="48"/>
      <c r="E48" s="48"/>
      <c r="F48" s="48"/>
      <c r="G48" s="48"/>
      <c r="H48" s="48"/>
      <c r="I48" s="48"/>
    </row>
    <row r="49" spans="1:13" x14ac:dyDescent="0.2">
      <c r="A49" s="50" t="s">
        <v>87</v>
      </c>
      <c r="B49" s="50"/>
      <c r="C49" s="48"/>
      <c r="D49" s="48"/>
      <c r="E49" s="48"/>
      <c r="F49" s="48"/>
      <c r="G49" s="48"/>
      <c r="H49" s="48"/>
      <c r="I49" s="48"/>
    </row>
    <row r="50" spans="1:13" x14ac:dyDescent="0.2">
      <c r="A50" s="50" t="s">
        <v>9</v>
      </c>
      <c r="B50" s="50"/>
      <c r="C50" s="48"/>
      <c r="D50" s="48"/>
      <c r="E50" s="48"/>
      <c r="F50" s="48"/>
      <c r="G50" s="48"/>
      <c r="H50" s="48"/>
      <c r="I50" s="48"/>
    </row>
    <row r="51" spans="1:13" x14ac:dyDescent="0.2">
      <c r="K51" s="55" t="s">
        <v>88</v>
      </c>
      <c r="M51" s="55" t="s">
        <v>88</v>
      </c>
    </row>
    <row r="52" spans="1:13" ht="12" thickBot="1" x14ac:dyDescent="0.25">
      <c r="A52" s="65" t="s">
        <v>77</v>
      </c>
      <c r="E52" s="52" t="str">
        <f>E11</f>
        <v>Acct 2.303.00</v>
      </c>
      <c r="F52" s="52"/>
      <c r="G52" s="52"/>
      <c r="H52" s="52"/>
      <c r="I52" s="52"/>
      <c r="K52" s="55" t="s">
        <v>89</v>
      </c>
      <c r="M52" s="55" t="s">
        <v>90</v>
      </c>
    </row>
    <row r="53" spans="1:13" ht="12" thickBot="1" x14ac:dyDescent="0.25">
      <c r="A53" s="88" t="s">
        <v>79</v>
      </c>
      <c r="B53" s="55"/>
      <c r="C53" s="53" t="s">
        <v>80</v>
      </c>
      <c r="D53" s="55"/>
      <c r="E53" s="53" t="s">
        <v>81</v>
      </c>
      <c r="F53" s="55"/>
      <c r="G53" s="53" t="s">
        <v>82</v>
      </c>
      <c r="H53" s="55"/>
      <c r="I53" s="53" t="s">
        <v>83</v>
      </c>
      <c r="K53" s="53" t="s">
        <v>91</v>
      </c>
      <c r="M53" s="53" t="s">
        <v>92</v>
      </c>
    </row>
    <row r="54" spans="1:13" x14ac:dyDescent="0.2">
      <c r="A54" s="55"/>
      <c r="B54" s="55"/>
      <c r="C54" s="39" t="s">
        <v>5</v>
      </c>
      <c r="D54" s="55"/>
      <c r="E54" s="36" t="s">
        <v>6</v>
      </c>
      <c r="F54" s="55"/>
      <c r="G54" s="36" t="s">
        <v>7</v>
      </c>
      <c r="H54" s="33"/>
      <c r="I54" s="36" t="s">
        <v>41</v>
      </c>
      <c r="K54" s="17" t="s">
        <v>42</v>
      </c>
      <c r="M54" s="55" t="s">
        <v>43</v>
      </c>
    </row>
    <row r="55" spans="1:13" x14ac:dyDescent="0.2">
      <c r="A55" s="55"/>
      <c r="B55" s="55"/>
      <c r="C55" s="55"/>
      <c r="D55" s="55"/>
      <c r="E55" s="55"/>
      <c r="F55" s="55"/>
      <c r="G55" s="55"/>
      <c r="H55" s="55"/>
      <c r="I55" s="55"/>
    </row>
    <row r="56" spans="1:13" x14ac:dyDescent="0.2">
      <c r="A56" s="49">
        <v>1</v>
      </c>
      <c r="B56" s="55"/>
      <c r="C56" s="56">
        <f>C15</f>
        <v>45641</v>
      </c>
      <c r="D56" s="56"/>
      <c r="E56" s="117">
        <f t="shared" ref="E56:E68" si="3">ROUND(E15*$G$77,2)</f>
        <v>0</v>
      </c>
      <c r="F56" s="118"/>
      <c r="G56" s="117">
        <f t="shared" ref="G56:G68" si="4">ROUND(+G15*$G$77,2)</f>
        <v>120.57</v>
      </c>
      <c r="H56" s="118"/>
      <c r="I56" s="118">
        <f>G56-E56</f>
        <v>120.57</v>
      </c>
      <c r="J56" s="118"/>
      <c r="K56" s="119"/>
      <c r="L56" s="118"/>
      <c r="M56" s="7">
        <f>+ROUND(M71/13,2)</f>
        <v>-17.53</v>
      </c>
    </row>
    <row r="57" spans="1:13" x14ac:dyDescent="0.2">
      <c r="A57" s="49">
        <f t="shared" ref="A57:A81" si="5">1+A56</f>
        <v>2</v>
      </c>
      <c r="C57" s="56">
        <v>45672</v>
      </c>
      <c r="E57" s="78">
        <f t="shared" si="3"/>
        <v>0</v>
      </c>
      <c r="F57" s="78"/>
      <c r="G57" s="78">
        <f t="shared" si="4"/>
        <v>120.57</v>
      </c>
      <c r="H57" s="8"/>
      <c r="I57" s="8">
        <f>G57-E57</f>
        <v>120.57</v>
      </c>
      <c r="J57" s="8"/>
      <c r="K57" s="8"/>
      <c r="L57" s="8"/>
      <c r="M57" s="8">
        <f>+M56</f>
        <v>-17.53</v>
      </c>
    </row>
    <row r="58" spans="1:13" x14ac:dyDescent="0.2">
      <c r="A58" s="49">
        <f t="shared" si="5"/>
        <v>3</v>
      </c>
      <c r="C58" s="56">
        <f>C57+31</f>
        <v>45703</v>
      </c>
      <c r="D58" s="56"/>
      <c r="E58" s="78">
        <f t="shared" si="3"/>
        <v>0</v>
      </c>
      <c r="F58" s="8"/>
      <c r="G58" s="78">
        <f t="shared" si="4"/>
        <v>120.57</v>
      </c>
      <c r="H58" s="8"/>
      <c r="I58" s="8">
        <f t="shared" ref="I58:I68" si="6">G58-E58</f>
        <v>120.57</v>
      </c>
      <c r="J58" s="8"/>
      <c r="K58" s="8"/>
      <c r="L58" s="8"/>
      <c r="M58" s="8">
        <f t="shared" ref="M58:M68" si="7">+M57</f>
        <v>-17.53</v>
      </c>
    </row>
    <row r="59" spans="1:13" x14ac:dyDescent="0.2">
      <c r="A59" s="49">
        <f t="shared" si="5"/>
        <v>4</v>
      </c>
      <c r="C59" s="56">
        <f t="shared" ref="C59:C68" si="8">C58+31</f>
        <v>45734</v>
      </c>
      <c r="D59" s="56"/>
      <c r="E59" s="78">
        <f t="shared" si="3"/>
        <v>0</v>
      </c>
      <c r="F59" s="78"/>
      <c r="G59" s="78">
        <f t="shared" si="4"/>
        <v>120.57</v>
      </c>
      <c r="H59" s="8"/>
      <c r="I59" s="8">
        <f t="shared" si="6"/>
        <v>120.57</v>
      </c>
      <c r="J59" s="8"/>
      <c r="K59" s="8"/>
      <c r="L59" s="8"/>
      <c r="M59" s="8">
        <f t="shared" si="7"/>
        <v>-17.53</v>
      </c>
    </row>
    <row r="60" spans="1:13" x14ac:dyDescent="0.2">
      <c r="A60" s="49">
        <f t="shared" si="5"/>
        <v>5</v>
      </c>
      <c r="C60" s="56">
        <f t="shared" si="8"/>
        <v>45765</v>
      </c>
      <c r="D60" s="56"/>
      <c r="E60" s="78">
        <f t="shared" si="3"/>
        <v>0</v>
      </c>
      <c r="F60" s="78"/>
      <c r="G60" s="78">
        <f t="shared" si="4"/>
        <v>120.57</v>
      </c>
      <c r="H60" s="8"/>
      <c r="I60" s="8">
        <f t="shared" si="6"/>
        <v>120.57</v>
      </c>
      <c r="J60" s="8"/>
      <c r="K60" s="8"/>
      <c r="L60" s="8"/>
      <c r="M60" s="8">
        <f t="shared" si="7"/>
        <v>-17.53</v>
      </c>
    </row>
    <row r="61" spans="1:13" x14ac:dyDescent="0.2">
      <c r="A61" s="49">
        <f t="shared" si="5"/>
        <v>6</v>
      </c>
      <c r="C61" s="56">
        <f t="shared" si="8"/>
        <v>45796</v>
      </c>
      <c r="D61" s="56"/>
      <c r="E61" s="78">
        <f t="shared" si="3"/>
        <v>0</v>
      </c>
      <c r="F61" s="78"/>
      <c r="G61" s="78">
        <f t="shared" si="4"/>
        <v>120.57</v>
      </c>
      <c r="H61" s="8"/>
      <c r="I61" s="8">
        <f t="shared" si="6"/>
        <v>120.57</v>
      </c>
      <c r="J61" s="8"/>
      <c r="K61" s="8"/>
      <c r="L61" s="8"/>
      <c r="M61" s="8">
        <f t="shared" si="7"/>
        <v>-17.53</v>
      </c>
    </row>
    <row r="62" spans="1:13" x14ac:dyDescent="0.2">
      <c r="A62" s="49">
        <f t="shared" si="5"/>
        <v>7</v>
      </c>
      <c r="C62" s="56">
        <f t="shared" si="8"/>
        <v>45827</v>
      </c>
      <c r="D62" s="56"/>
      <c r="E62" s="78">
        <f t="shared" si="3"/>
        <v>0</v>
      </c>
      <c r="F62" s="78"/>
      <c r="G62" s="78">
        <f t="shared" si="4"/>
        <v>120.57</v>
      </c>
      <c r="H62" s="8"/>
      <c r="I62" s="8">
        <f t="shared" si="6"/>
        <v>120.57</v>
      </c>
      <c r="J62" s="8"/>
      <c r="K62" s="8"/>
      <c r="L62" s="8"/>
      <c r="M62" s="8">
        <f t="shared" si="7"/>
        <v>-17.53</v>
      </c>
    </row>
    <row r="63" spans="1:13" x14ac:dyDescent="0.2">
      <c r="A63" s="49">
        <f t="shared" si="5"/>
        <v>8</v>
      </c>
      <c r="C63" s="56">
        <f t="shared" si="8"/>
        <v>45858</v>
      </c>
      <c r="D63" s="56"/>
      <c r="E63" s="78">
        <f t="shared" si="3"/>
        <v>0</v>
      </c>
      <c r="F63" s="78"/>
      <c r="G63" s="78">
        <f t="shared" si="4"/>
        <v>120.57</v>
      </c>
      <c r="H63" s="8"/>
      <c r="I63" s="8">
        <f t="shared" si="6"/>
        <v>120.57</v>
      </c>
      <c r="J63" s="8"/>
      <c r="K63" s="8"/>
      <c r="L63" s="8"/>
      <c r="M63" s="8">
        <f t="shared" si="7"/>
        <v>-17.53</v>
      </c>
    </row>
    <row r="64" spans="1:13" x14ac:dyDescent="0.2">
      <c r="A64" s="49">
        <f t="shared" si="5"/>
        <v>9</v>
      </c>
      <c r="C64" s="56">
        <f t="shared" si="8"/>
        <v>45889</v>
      </c>
      <c r="D64" s="56"/>
      <c r="E64" s="78">
        <f t="shared" si="3"/>
        <v>0</v>
      </c>
      <c r="F64" s="78"/>
      <c r="G64" s="78">
        <f t="shared" si="4"/>
        <v>120.57</v>
      </c>
      <c r="H64" s="8"/>
      <c r="I64" s="8">
        <f t="shared" si="6"/>
        <v>120.57</v>
      </c>
      <c r="J64" s="8"/>
      <c r="K64" s="8"/>
      <c r="L64" s="8"/>
      <c r="M64" s="8">
        <f t="shared" si="7"/>
        <v>-17.53</v>
      </c>
    </row>
    <row r="65" spans="1:13" x14ac:dyDescent="0.2">
      <c r="A65" s="49">
        <f t="shared" si="5"/>
        <v>10</v>
      </c>
      <c r="C65" s="56">
        <f t="shared" si="8"/>
        <v>45920</v>
      </c>
      <c r="D65" s="56"/>
      <c r="E65" s="78">
        <f t="shared" si="3"/>
        <v>120.57</v>
      </c>
      <c r="F65" s="78"/>
      <c r="G65" s="78">
        <f t="shared" si="4"/>
        <v>120.57</v>
      </c>
      <c r="H65" s="8"/>
      <c r="I65" s="8">
        <f t="shared" si="6"/>
        <v>0</v>
      </c>
      <c r="J65" s="8"/>
      <c r="K65" s="8"/>
      <c r="L65" s="8"/>
      <c r="M65" s="8">
        <f t="shared" si="7"/>
        <v>-17.53</v>
      </c>
    </row>
    <row r="66" spans="1:13" x14ac:dyDescent="0.2">
      <c r="A66" s="49">
        <f t="shared" si="5"/>
        <v>11</v>
      </c>
      <c r="C66" s="56">
        <f t="shared" si="8"/>
        <v>45951</v>
      </c>
      <c r="D66" s="56"/>
      <c r="E66" s="78">
        <f t="shared" si="3"/>
        <v>120.57</v>
      </c>
      <c r="F66" s="78"/>
      <c r="G66" s="78">
        <f t="shared" si="4"/>
        <v>120.57</v>
      </c>
      <c r="H66" s="8"/>
      <c r="I66" s="8">
        <f t="shared" si="6"/>
        <v>0</v>
      </c>
      <c r="J66" s="8"/>
      <c r="K66" s="8"/>
      <c r="L66" s="8"/>
      <c r="M66" s="8">
        <f t="shared" si="7"/>
        <v>-17.53</v>
      </c>
    </row>
    <row r="67" spans="1:13" x14ac:dyDescent="0.2">
      <c r="A67" s="49">
        <f t="shared" si="5"/>
        <v>12</v>
      </c>
      <c r="C67" s="56">
        <f t="shared" si="8"/>
        <v>45982</v>
      </c>
      <c r="D67" s="56"/>
      <c r="E67" s="78">
        <f t="shared" si="3"/>
        <v>120.57</v>
      </c>
      <c r="F67" s="78"/>
      <c r="G67" s="78">
        <f t="shared" si="4"/>
        <v>120.57</v>
      </c>
      <c r="H67" s="8"/>
      <c r="I67" s="8">
        <f t="shared" si="6"/>
        <v>0</v>
      </c>
      <c r="J67" s="8"/>
      <c r="K67" s="8"/>
      <c r="L67" s="8"/>
      <c r="M67" s="8">
        <f t="shared" si="7"/>
        <v>-17.53</v>
      </c>
    </row>
    <row r="68" spans="1:13" x14ac:dyDescent="0.2">
      <c r="A68" s="49">
        <f t="shared" si="5"/>
        <v>13</v>
      </c>
      <c r="C68" s="56">
        <f t="shared" si="8"/>
        <v>46013</v>
      </c>
      <c r="D68" s="56"/>
      <c r="E68" s="130">
        <f t="shared" si="3"/>
        <v>120.57</v>
      </c>
      <c r="F68" s="78"/>
      <c r="G68" s="130">
        <f t="shared" si="4"/>
        <v>120.57</v>
      </c>
      <c r="H68" s="8"/>
      <c r="I68" s="130">
        <f t="shared" si="6"/>
        <v>0</v>
      </c>
      <c r="J68" s="8"/>
      <c r="K68" s="8"/>
      <c r="L68" s="8"/>
      <c r="M68" s="130">
        <f t="shared" si="7"/>
        <v>-17.53</v>
      </c>
    </row>
    <row r="69" spans="1:13" x14ac:dyDescent="0.2">
      <c r="A69" s="49">
        <f t="shared" si="5"/>
        <v>14</v>
      </c>
      <c r="C69" s="58" t="s">
        <v>46</v>
      </c>
      <c r="D69" s="58"/>
      <c r="E69" s="118">
        <f>SUM(E56:E68)</f>
        <v>482.28</v>
      </c>
      <c r="F69" s="118"/>
      <c r="G69" s="118">
        <f>SUM(G56:G68)</f>
        <v>1567.4099999999994</v>
      </c>
      <c r="H69" s="118"/>
      <c r="I69" s="118">
        <f>SUM(I56:I68)</f>
        <v>1085.1299999999997</v>
      </c>
      <c r="J69" s="118"/>
      <c r="K69" s="118"/>
      <c r="L69" s="118"/>
      <c r="M69" s="118">
        <f>SUM(M56:M68)</f>
        <v>-227.89000000000001</v>
      </c>
    </row>
    <row r="70" spans="1:13" x14ac:dyDescent="0.2">
      <c r="A70" s="49">
        <f t="shared" si="5"/>
        <v>15</v>
      </c>
      <c r="E70" s="122" t="s">
        <v>9</v>
      </c>
      <c r="F70" s="122"/>
      <c r="G70" s="122" t="s">
        <v>9</v>
      </c>
      <c r="H70" s="122"/>
      <c r="I70" s="122" t="s">
        <v>9</v>
      </c>
      <c r="J70" s="118"/>
      <c r="K70" s="118"/>
      <c r="L70" s="118"/>
      <c r="M70" s="118"/>
    </row>
    <row r="71" spans="1:13" ht="12" thickBot="1" x14ac:dyDescent="0.25">
      <c r="A71" s="49">
        <f t="shared" si="5"/>
        <v>16</v>
      </c>
      <c r="C71" s="58" t="s">
        <v>84</v>
      </c>
      <c r="D71" s="58"/>
      <c r="E71" s="118"/>
      <c r="F71" s="118"/>
      <c r="G71" s="118"/>
      <c r="H71" s="118"/>
      <c r="I71" s="121">
        <f>I69</f>
        <v>1085.1299999999997</v>
      </c>
      <c r="J71" s="118"/>
      <c r="K71" s="121">
        <v>0</v>
      </c>
      <c r="L71" s="118"/>
      <c r="M71" s="121">
        <f>ROUND(+(K71-I71)*M77,2)</f>
        <v>-227.88</v>
      </c>
    </row>
    <row r="72" spans="1:13" ht="12" thickTop="1" x14ac:dyDescent="0.2">
      <c r="A72" s="49">
        <f t="shared" si="5"/>
        <v>17</v>
      </c>
      <c r="E72" s="57"/>
      <c r="F72" s="57"/>
      <c r="G72" s="57"/>
      <c r="H72" s="57"/>
      <c r="I72" s="58" t="s">
        <v>85</v>
      </c>
    </row>
    <row r="73" spans="1:13" x14ac:dyDescent="0.2">
      <c r="A73" s="49">
        <f t="shared" si="5"/>
        <v>18</v>
      </c>
      <c r="I73" s="58" t="s">
        <v>156</v>
      </c>
      <c r="M73" s="55" t="s">
        <v>88</v>
      </c>
    </row>
    <row r="74" spans="1:13" x14ac:dyDescent="0.2">
      <c r="A74" s="49">
        <f t="shared" si="5"/>
        <v>19</v>
      </c>
      <c r="K74" s="55" t="s">
        <v>93</v>
      </c>
      <c r="M74" s="55" t="s">
        <v>94</v>
      </c>
    </row>
    <row r="75" spans="1:13" x14ac:dyDescent="0.2">
      <c r="A75" s="49">
        <f t="shared" si="5"/>
        <v>20</v>
      </c>
      <c r="E75" s="63" t="s">
        <v>95</v>
      </c>
      <c r="F75" s="63"/>
      <c r="G75" s="63" t="s">
        <v>96</v>
      </c>
      <c r="K75" s="55" t="s">
        <v>97</v>
      </c>
      <c r="M75" s="55" t="s">
        <v>98</v>
      </c>
    </row>
    <row r="76" spans="1:13" ht="12" thickBot="1" x14ac:dyDescent="0.25">
      <c r="A76" s="49">
        <f t="shared" si="5"/>
        <v>21</v>
      </c>
      <c r="E76" s="64" t="s">
        <v>99</v>
      </c>
      <c r="F76" s="63"/>
      <c r="G76" s="64" t="s">
        <v>99</v>
      </c>
      <c r="K76" s="64" t="s">
        <v>100</v>
      </c>
      <c r="M76" s="64" t="s">
        <v>101</v>
      </c>
    </row>
    <row r="77" spans="1:13" x14ac:dyDescent="0.2">
      <c r="A77" s="49">
        <f t="shared" si="5"/>
        <v>22</v>
      </c>
      <c r="C77" s="65" t="str">
        <f>E52</f>
        <v>Acct 2.303.00</v>
      </c>
      <c r="D77" s="65"/>
      <c r="E77" s="66">
        <f>'CAPCIT1000000678 Input'!J16</f>
        <v>1.6666666666666666E-2</v>
      </c>
      <c r="F77" s="66"/>
      <c r="G77" s="66">
        <f>E77/13</f>
        <v>1.2820512820512821E-3</v>
      </c>
      <c r="K77" s="80">
        <f>+'CAPCIT1000000678 Input'!L16</f>
        <v>0.33333000000000002</v>
      </c>
      <c r="M77" s="81">
        <f>+'CAPCIT1000000678 Input'!N16</f>
        <v>0.21</v>
      </c>
    </row>
    <row r="78" spans="1:13" x14ac:dyDescent="0.2">
      <c r="A78" s="49">
        <f t="shared" si="5"/>
        <v>23</v>
      </c>
      <c r="H78" s="61"/>
      <c r="I78" s="57"/>
      <c r="K78" s="55" t="s">
        <v>157</v>
      </c>
    </row>
    <row r="79" spans="1:13" x14ac:dyDescent="0.2">
      <c r="A79" s="49">
        <f t="shared" si="5"/>
        <v>24</v>
      </c>
      <c r="H79" s="66"/>
      <c r="I79" s="57"/>
    </row>
    <row r="80" spans="1:13" x14ac:dyDescent="0.2">
      <c r="A80" s="49">
        <f t="shared" si="5"/>
        <v>25</v>
      </c>
    </row>
    <row r="81" spans="1:13" x14ac:dyDescent="0.2">
      <c r="A81" s="49">
        <f t="shared" si="5"/>
        <v>26</v>
      </c>
      <c r="H81" s="66"/>
      <c r="I81" s="57"/>
    </row>
    <row r="82" spans="1:13" x14ac:dyDescent="0.2">
      <c r="A82" s="149"/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</row>
    <row r="83" spans="1:13" x14ac:dyDescent="0.2">
      <c r="A83" s="149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</row>
    <row r="87" spans="1:13" x14ac:dyDescent="0.2">
      <c r="A87" s="149"/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</row>
    <row r="88" spans="1:13" x14ac:dyDescent="0.2">
      <c r="A88" s="149" t="str">
        <f>A5</f>
        <v>Pro Forma Adjustment - Project In Service During Test Year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</row>
    <row r="89" spans="1:13" x14ac:dyDescent="0.2">
      <c r="A89" s="150" t="str">
        <f>A6</f>
        <v>Gas System Safety: Target Zero</v>
      </c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</row>
    <row r="90" spans="1:13" x14ac:dyDescent="0.2">
      <c r="A90" s="50"/>
      <c r="B90" s="50"/>
      <c r="C90" s="48"/>
      <c r="D90" s="48"/>
      <c r="E90" s="48"/>
      <c r="F90" s="48"/>
      <c r="G90" s="48"/>
      <c r="H90" s="48"/>
      <c r="I90" s="48"/>
    </row>
    <row r="91" spans="1:13" x14ac:dyDescent="0.2">
      <c r="A91" s="50" t="s">
        <v>103</v>
      </c>
      <c r="B91" s="50"/>
      <c r="C91" s="48"/>
      <c r="D91" s="48"/>
      <c r="E91" s="48"/>
      <c r="F91" s="48"/>
      <c r="G91" s="48"/>
      <c r="H91" s="48"/>
      <c r="I91" s="48"/>
    </row>
    <row r="92" spans="1:13" x14ac:dyDescent="0.2">
      <c r="A92" s="50" t="s">
        <v>9</v>
      </c>
      <c r="B92" s="50"/>
      <c r="C92" s="48"/>
      <c r="D92" s="48"/>
      <c r="E92" s="48"/>
      <c r="F92" s="48"/>
      <c r="G92" s="48"/>
      <c r="H92" s="48"/>
      <c r="I92" s="48"/>
    </row>
    <row r="94" spans="1:13" ht="12" thickBot="1" x14ac:dyDescent="0.25">
      <c r="A94" s="65" t="s">
        <v>77</v>
      </c>
      <c r="E94" s="52" t="str">
        <f>E11</f>
        <v>Acct 2.303.00</v>
      </c>
      <c r="F94" s="52"/>
      <c r="G94" s="52"/>
      <c r="H94" s="52"/>
      <c r="I94" s="52"/>
      <c r="M94" s="55" t="s">
        <v>104</v>
      </c>
    </row>
    <row r="95" spans="1:13" ht="12" thickBot="1" x14ac:dyDescent="0.25">
      <c r="A95" s="88" t="s">
        <v>79</v>
      </c>
      <c r="B95" s="55"/>
      <c r="C95" s="53" t="s">
        <v>80</v>
      </c>
      <c r="D95" s="55"/>
      <c r="E95" s="53" t="s">
        <v>81</v>
      </c>
      <c r="F95" s="55"/>
      <c r="G95" s="53" t="s">
        <v>82</v>
      </c>
      <c r="H95" s="55"/>
      <c r="I95" s="53" t="s">
        <v>83</v>
      </c>
      <c r="M95" s="53" t="s">
        <v>105</v>
      </c>
    </row>
    <row r="96" spans="1:13" x14ac:dyDescent="0.2">
      <c r="A96" s="55"/>
      <c r="B96" s="55"/>
      <c r="C96" s="39" t="s">
        <v>5</v>
      </c>
      <c r="D96" s="55"/>
      <c r="E96" s="36" t="s">
        <v>6</v>
      </c>
      <c r="F96" s="55"/>
      <c r="G96" s="36" t="s">
        <v>7</v>
      </c>
      <c r="H96" s="33"/>
      <c r="I96" s="36" t="s">
        <v>41</v>
      </c>
      <c r="K96" s="17" t="s">
        <v>42</v>
      </c>
      <c r="M96" s="55" t="s">
        <v>43</v>
      </c>
    </row>
    <row r="97" spans="1:13" x14ac:dyDescent="0.2">
      <c r="A97" s="55"/>
      <c r="B97" s="55"/>
      <c r="C97" s="55"/>
      <c r="D97" s="55"/>
      <c r="E97" s="55"/>
      <c r="F97" s="55"/>
      <c r="G97" s="55"/>
      <c r="H97" s="55"/>
      <c r="I97" s="55"/>
    </row>
    <row r="98" spans="1:13" x14ac:dyDescent="0.2">
      <c r="A98" s="49">
        <v>1</v>
      </c>
      <c r="C98" s="56">
        <f>C15</f>
        <v>45641</v>
      </c>
      <c r="D98" s="56"/>
      <c r="E98" s="117">
        <f>E56</f>
        <v>0</v>
      </c>
      <c r="F98" s="118"/>
      <c r="G98" s="117">
        <f>G56</f>
        <v>120.57</v>
      </c>
      <c r="H98" s="118"/>
      <c r="I98" s="118">
        <f>G98-E98</f>
        <v>120.57</v>
      </c>
      <c r="J98" s="118"/>
      <c r="K98" s="119"/>
      <c r="L98" s="118"/>
      <c r="M98" s="7">
        <f>+M56</f>
        <v>-17.53</v>
      </c>
    </row>
    <row r="99" spans="1:13" x14ac:dyDescent="0.2">
      <c r="A99" s="49">
        <f t="shared" ref="A99:A127" si="9">1+A98</f>
        <v>2</v>
      </c>
      <c r="C99" s="56">
        <f>C16</f>
        <v>45672</v>
      </c>
      <c r="D99" s="56"/>
      <c r="E99" s="8">
        <f>E97+E56</f>
        <v>0</v>
      </c>
      <c r="F99" s="8"/>
      <c r="G99" s="8">
        <f t="shared" ref="G99:G110" si="10">G98+G57</f>
        <v>241.14</v>
      </c>
      <c r="H99" s="8"/>
      <c r="I99" s="8">
        <f t="shared" ref="I99:I110" si="11">G99-E99</f>
        <v>241.14</v>
      </c>
      <c r="J99" s="8"/>
      <c r="K99" s="8"/>
      <c r="L99" s="8"/>
      <c r="M99" s="8">
        <f t="shared" ref="M99:M110" si="12">+M98+M57</f>
        <v>-35.06</v>
      </c>
    </row>
    <row r="100" spans="1:13" x14ac:dyDescent="0.2">
      <c r="A100" s="49">
        <f t="shared" si="9"/>
        <v>3</v>
      </c>
      <c r="C100" s="56">
        <f t="shared" ref="C100:C110" si="13">C99+31</f>
        <v>45703</v>
      </c>
      <c r="D100" s="56"/>
      <c r="E100" s="8">
        <f>E98+E57</f>
        <v>0</v>
      </c>
      <c r="F100" s="8"/>
      <c r="G100" s="8">
        <f t="shared" si="10"/>
        <v>361.71</v>
      </c>
      <c r="H100" s="8"/>
      <c r="I100" s="8">
        <f t="shared" si="11"/>
        <v>361.71</v>
      </c>
      <c r="J100" s="8"/>
      <c r="K100" s="8"/>
      <c r="L100" s="8"/>
      <c r="M100" s="8">
        <f t="shared" si="12"/>
        <v>-52.59</v>
      </c>
    </row>
    <row r="101" spans="1:13" x14ac:dyDescent="0.2">
      <c r="A101" s="49">
        <f t="shared" si="9"/>
        <v>4</v>
      </c>
      <c r="C101" s="56">
        <f t="shared" si="13"/>
        <v>45734</v>
      </c>
      <c r="D101" s="56"/>
      <c r="E101" s="8">
        <f t="shared" ref="E101:E110" si="14">E100+E59</f>
        <v>0</v>
      </c>
      <c r="F101" s="8"/>
      <c r="G101" s="8">
        <f t="shared" si="10"/>
        <v>482.28</v>
      </c>
      <c r="H101" s="8"/>
      <c r="I101" s="8">
        <f t="shared" si="11"/>
        <v>482.28</v>
      </c>
      <c r="J101" s="8"/>
      <c r="K101" s="8"/>
      <c r="L101" s="8"/>
      <c r="M101" s="8">
        <f t="shared" si="12"/>
        <v>-70.12</v>
      </c>
    </row>
    <row r="102" spans="1:13" x14ac:dyDescent="0.2">
      <c r="A102" s="49">
        <f t="shared" si="9"/>
        <v>5</v>
      </c>
      <c r="C102" s="56">
        <f t="shared" si="13"/>
        <v>45765</v>
      </c>
      <c r="D102" s="56"/>
      <c r="E102" s="8">
        <f t="shared" si="14"/>
        <v>0</v>
      </c>
      <c r="F102" s="8"/>
      <c r="G102" s="8">
        <f t="shared" si="10"/>
        <v>602.84999999999991</v>
      </c>
      <c r="H102" s="8"/>
      <c r="I102" s="8">
        <f t="shared" si="11"/>
        <v>602.84999999999991</v>
      </c>
      <c r="J102" s="8"/>
      <c r="K102" s="8"/>
      <c r="L102" s="8"/>
      <c r="M102" s="8">
        <f t="shared" si="12"/>
        <v>-87.65</v>
      </c>
    </row>
    <row r="103" spans="1:13" x14ac:dyDescent="0.2">
      <c r="A103" s="49">
        <f t="shared" si="9"/>
        <v>6</v>
      </c>
      <c r="C103" s="56">
        <f t="shared" si="13"/>
        <v>45796</v>
      </c>
      <c r="D103" s="56"/>
      <c r="E103" s="8">
        <f t="shared" si="14"/>
        <v>0</v>
      </c>
      <c r="F103" s="8"/>
      <c r="G103" s="8">
        <f t="shared" si="10"/>
        <v>723.41999999999985</v>
      </c>
      <c r="H103" s="8"/>
      <c r="I103" s="8">
        <f t="shared" si="11"/>
        <v>723.41999999999985</v>
      </c>
      <c r="J103" s="8"/>
      <c r="K103" s="8"/>
      <c r="L103" s="8"/>
      <c r="M103" s="8">
        <f t="shared" si="12"/>
        <v>-105.18</v>
      </c>
    </row>
    <row r="104" spans="1:13" x14ac:dyDescent="0.2">
      <c r="A104" s="49">
        <f t="shared" si="9"/>
        <v>7</v>
      </c>
      <c r="C104" s="56">
        <f t="shared" si="13"/>
        <v>45827</v>
      </c>
      <c r="D104" s="56"/>
      <c r="E104" s="8">
        <f t="shared" si="14"/>
        <v>0</v>
      </c>
      <c r="F104" s="8"/>
      <c r="G104" s="8">
        <f t="shared" si="10"/>
        <v>843.98999999999978</v>
      </c>
      <c r="H104" s="8"/>
      <c r="I104" s="8">
        <f t="shared" si="11"/>
        <v>843.98999999999978</v>
      </c>
      <c r="J104" s="8"/>
      <c r="K104" s="8"/>
      <c r="L104" s="8"/>
      <c r="M104" s="8">
        <f t="shared" si="12"/>
        <v>-122.71000000000001</v>
      </c>
    </row>
    <row r="105" spans="1:13" x14ac:dyDescent="0.2">
      <c r="A105" s="49">
        <f t="shared" si="9"/>
        <v>8</v>
      </c>
      <c r="C105" s="56">
        <f t="shared" si="13"/>
        <v>45858</v>
      </c>
      <c r="D105" s="56"/>
      <c r="E105" s="8">
        <f t="shared" si="14"/>
        <v>0</v>
      </c>
      <c r="F105" s="8"/>
      <c r="G105" s="8">
        <f t="shared" si="10"/>
        <v>964.55999999999972</v>
      </c>
      <c r="H105" s="8"/>
      <c r="I105" s="8">
        <f t="shared" si="11"/>
        <v>964.55999999999972</v>
      </c>
      <c r="J105" s="8"/>
      <c r="K105" s="8"/>
      <c r="L105" s="8"/>
      <c r="M105" s="8">
        <f t="shared" si="12"/>
        <v>-140.24</v>
      </c>
    </row>
    <row r="106" spans="1:13" x14ac:dyDescent="0.2">
      <c r="A106" s="49">
        <f t="shared" si="9"/>
        <v>9</v>
      </c>
      <c r="C106" s="56">
        <f t="shared" si="13"/>
        <v>45889</v>
      </c>
      <c r="D106" s="56"/>
      <c r="E106" s="8">
        <f t="shared" si="14"/>
        <v>0</v>
      </c>
      <c r="F106" s="8"/>
      <c r="G106" s="8">
        <f t="shared" si="10"/>
        <v>1085.1299999999997</v>
      </c>
      <c r="H106" s="8"/>
      <c r="I106" s="8">
        <f t="shared" si="11"/>
        <v>1085.1299999999997</v>
      </c>
      <c r="J106" s="8"/>
      <c r="K106" s="8"/>
      <c r="L106" s="8"/>
      <c r="M106" s="8">
        <f t="shared" si="12"/>
        <v>-157.77000000000001</v>
      </c>
    </row>
    <row r="107" spans="1:13" x14ac:dyDescent="0.2">
      <c r="A107" s="49">
        <f t="shared" si="9"/>
        <v>10</v>
      </c>
      <c r="C107" s="56">
        <f t="shared" si="13"/>
        <v>45920</v>
      </c>
      <c r="D107" s="56"/>
      <c r="E107" s="8">
        <f t="shared" si="14"/>
        <v>120.57</v>
      </c>
      <c r="F107" s="8"/>
      <c r="G107" s="8">
        <f t="shared" si="10"/>
        <v>1205.6999999999996</v>
      </c>
      <c r="H107" s="8"/>
      <c r="I107" s="8">
        <f t="shared" si="11"/>
        <v>1085.1299999999997</v>
      </c>
      <c r="J107" s="8"/>
      <c r="K107" s="8"/>
      <c r="L107" s="8"/>
      <c r="M107" s="8">
        <f t="shared" si="12"/>
        <v>-175.3</v>
      </c>
    </row>
    <row r="108" spans="1:13" x14ac:dyDescent="0.2">
      <c r="A108" s="49">
        <f t="shared" si="9"/>
        <v>11</v>
      </c>
      <c r="C108" s="56">
        <f t="shared" si="13"/>
        <v>45951</v>
      </c>
      <c r="D108" s="56"/>
      <c r="E108" s="8">
        <f t="shared" si="14"/>
        <v>241.14</v>
      </c>
      <c r="F108" s="8"/>
      <c r="G108" s="8">
        <f t="shared" si="10"/>
        <v>1326.2699999999995</v>
      </c>
      <c r="H108" s="8"/>
      <c r="I108" s="8">
        <f t="shared" si="11"/>
        <v>1085.1299999999997</v>
      </c>
      <c r="J108" s="8"/>
      <c r="K108" s="8"/>
      <c r="L108" s="8"/>
      <c r="M108" s="8">
        <f t="shared" si="12"/>
        <v>-192.83</v>
      </c>
    </row>
    <row r="109" spans="1:13" x14ac:dyDescent="0.2">
      <c r="A109" s="49">
        <f t="shared" si="9"/>
        <v>12</v>
      </c>
      <c r="C109" s="56">
        <f t="shared" si="13"/>
        <v>45982</v>
      </c>
      <c r="D109" s="56"/>
      <c r="E109" s="8">
        <f t="shared" si="14"/>
        <v>361.71</v>
      </c>
      <c r="F109" s="8"/>
      <c r="G109" s="8">
        <f t="shared" si="10"/>
        <v>1446.8399999999995</v>
      </c>
      <c r="H109" s="8"/>
      <c r="I109" s="8">
        <f t="shared" si="11"/>
        <v>1085.1299999999994</v>
      </c>
      <c r="J109" s="8"/>
      <c r="K109" s="8"/>
      <c r="L109" s="8"/>
      <c r="M109" s="8">
        <f t="shared" si="12"/>
        <v>-210.36</v>
      </c>
    </row>
    <row r="110" spans="1:13" x14ac:dyDescent="0.2">
      <c r="A110" s="49">
        <f t="shared" si="9"/>
        <v>13</v>
      </c>
      <c r="C110" s="56">
        <f t="shared" si="13"/>
        <v>46013</v>
      </c>
      <c r="D110" s="56"/>
      <c r="E110" s="131">
        <f t="shared" si="14"/>
        <v>482.28</v>
      </c>
      <c r="F110" s="8"/>
      <c r="G110" s="131">
        <f t="shared" si="10"/>
        <v>1567.4099999999994</v>
      </c>
      <c r="H110" s="8"/>
      <c r="I110" s="131">
        <f t="shared" si="11"/>
        <v>1085.1299999999994</v>
      </c>
      <c r="J110" s="8"/>
      <c r="K110" s="8"/>
      <c r="L110" s="8"/>
      <c r="M110" s="131">
        <f t="shared" si="12"/>
        <v>-227.89000000000001</v>
      </c>
    </row>
    <row r="111" spans="1:13" x14ac:dyDescent="0.2">
      <c r="A111" s="49">
        <f t="shared" si="9"/>
        <v>14</v>
      </c>
      <c r="C111" s="58" t="s">
        <v>46</v>
      </c>
      <c r="D111" s="58"/>
      <c r="E111" s="118">
        <f>SUM(E98:E110)</f>
        <v>1205.6999999999998</v>
      </c>
      <c r="F111" s="118"/>
      <c r="G111" s="118">
        <f>SUM(G98:G110)</f>
        <v>10971.869999999997</v>
      </c>
      <c r="H111" s="118"/>
      <c r="I111" s="118">
        <f>SUM(I98:I110)</f>
        <v>9766.1699999999946</v>
      </c>
      <c r="J111" s="118"/>
      <c r="K111" s="118"/>
      <c r="L111" s="118"/>
      <c r="M111" s="118">
        <f>SUM(M98:M110)</f>
        <v>-1595.2300000000002</v>
      </c>
    </row>
    <row r="112" spans="1:13" x14ac:dyDescent="0.2">
      <c r="A112" s="49">
        <f t="shared" si="9"/>
        <v>15</v>
      </c>
      <c r="E112" s="118"/>
      <c r="F112" s="118"/>
      <c r="G112" s="118"/>
      <c r="H112" s="118"/>
      <c r="I112" s="118"/>
      <c r="J112" s="118"/>
      <c r="K112" s="118"/>
      <c r="L112" s="118"/>
      <c r="M112" s="118"/>
    </row>
    <row r="113" spans="1:13" ht="12" thickBot="1" x14ac:dyDescent="0.25">
      <c r="A113" s="49">
        <f t="shared" si="9"/>
        <v>16</v>
      </c>
      <c r="C113" s="67" t="s">
        <v>117</v>
      </c>
      <c r="D113" s="67"/>
      <c r="E113" s="121">
        <f>ROUND(+E111/13,2)</f>
        <v>92.75</v>
      </c>
      <c r="F113" s="118"/>
      <c r="G113" s="121">
        <f>ROUND(+G111/13,2)</f>
        <v>843.99</v>
      </c>
      <c r="H113" s="118"/>
      <c r="I113" s="121">
        <f>ROUND(+I111/13,2)</f>
        <v>751.24</v>
      </c>
      <c r="J113" s="118"/>
      <c r="K113" s="118"/>
      <c r="L113" s="118"/>
      <c r="M113" s="121">
        <f>ROUND(+M111/13,2)</f>
        <v>-122.71</v>
      </c>
    </row>
    <row r="114" spans="1:13" ht="12" thickTop="1" x14ac:dyDescent="0.2">
      <c r="A114" s="49">
        <f t="shared" si="9"/>
        <v>17</v>
      </c>
      <c r="E114" s="122" t="s">
        <v>9</v>
      </c>
      <c r="F114" s="122"/>
      <c r="G114" s="122" t="s">
        <v>9</v>
      </c>
      <c r="H114" s="122"/>
      <c r="I114" s="122" t="s">
        <v>9</v>
      </c>
      <c r="J114" s="118"/>
      <c r="K114" s="118"/>
      <c r="L114" s="118"/>
      <c r="M114" s="118"/>
    </row>
    <row r="115" spans="1:13" x14ac:dyDescent="0.2">
      <c r="A115" s="49">
        <f t="shared" si="9"/>
        <v>18</v>
      </c>
      <c r="E115" s="118"/>
      <c r="F115" s="118"/>
      <c r="G115" s="118"/>
      <c r="H115" s="118"/>
      <c r="I115" s="118"/>
      <c r="J115" s="118"/>
      <c r="K115" s="118"/>
      <c r="L115" s="118"/>
      <c r="M115" s="118"/>
    </row>
    <row r="116" spans="1:13" ht="12" thickBot="1" x14ac:dyDescent="0.25">
      <c r="A116" s="49">
        <f t="shared" si="9"/>
        <v>19</v>
      </c>
      <c r="C116" s="58" t="s">
        <v>84</v>
      </c>
      <c r="D116" s="58"/>
      <c r="E116" s="118"/>
      <c r="F116" s="118"/>
      <c r="G116" s="118"/>
      <c r="H116" s="118"/>
      <c r="I116" s="128">
        <f>I113</f>
        <v>751.24</v>
      </c>
      <c r="J116" s="118"/>
      <c r="K116" s="118"/>
      <c r="L116" s="118"/>
      <c r="M116" s="128">
        <f>+M113</f>
        <v>-122.71</v>
      </c>
    </row>
    <row r="117" spans="1:13" ht="12" thickTop="1" x14ac:dyDescent="0.2">
      <c r="A117" s="49">
        <f t="shared" si="9"/>
        <v>20</v>
      </c>
      <c r="E117" s="57"/>
      <c r="F117" s="57"/>
      <c r="G117" s="57"/>
      <c r="H117" s="57"/>
      <c r="I117" s="58" t="s">
        <v>85</v>
      </c>
      <c r="M117" s="58" t="s">
        <v>85</v>
      </c>
    </row>
    <row r="118" spans="1:13" x14ac:dyDescent="0.2">
      <c r="A118" s="49">
        <f t="shared" si="9"/>
        <v>21</v>
      </c>
      <c r="I118" s="58" t="s">
        <v>158</v>
      </c>
      <c r="M118" s="58" t="s">
        <v>159</v>
      </c>
    </row>
    <row r="119" spans="1:13" x14ac:dyDescent="0.2">
      <c r="A119" s="49">
        <f t="shared" si="9"/>
        <v>22</v>
      </c>
    </row>
    <row r="120" spans="1:13" x14ac:dyDescent="0.2">
      <c r="A120" s="49">
        <f t="shared" si="9"/>
        <v>23</v>
      </c>
      <c r="E120" s="63" t="s">
        <v>95</v>
      </c>
      <c r="F120" s="63"/>
      <c r="G120" s="63" t="s">
        <v>96</v>
      </c>
    </row>
    <row r="121" spans="1:13" ht="12" thickBot="1" x14ac:dyDescent="0.25">
      <c r="A121" s="49">
        <f t="shared" si="9"/>
        <v>24</v>
      </c>
      <c r="E121" s="64" t="s">
        <v>99</v>
      </c>
      <c r="F121" s="63"/>
      <c r="G121" s="64" t="s">
        <v>99</v>
      </c>
    </row>
    <row r="122" spans="1:13" x14ac:dyDescent="0.2">
      <c r="A122" s="49">
        <f t="shared" si="9"/>
        <v>25</v>
      </c>
      <c r="C122" s="65" t="str">
        <f>C77</f>
        <v>Acct 2.303.00</v>
      </c>
      <c r="D122" s="65"/>
      <c r="E122" s="68">
        <f>E77</f>
        <v>1.6666666666666666E-2</v>
      </c>
      <c r="F122" s="68"/>
      <c r="G122" s="68">
        <f>G77</f>
        <v>1.2820512820512821E-3</v>
      </c>
    </row>
    <row r="123" spans="1:13" x14ac:dyDescent="0.2">
      <c r="A123" s="49">
        <f t="shared" si="9"/>
        <v>26</v>
      </c>
      <c r="E123" s="57"/>
      <c r="F123" s="57"/>
      <c r="G123" s="57"/>
      <c r="H123" s="57"/>
      <c r="I123" s="57"/>
    </row>
    <row r="124" spans="1:13" x14ac:dyDescent="0.2">
      <c r="A124" s="49">
        <f t="shared" si="9"/>
        <v>27</v>
      </c>
      <c r="H124" s="57"/>
      <c r="I124" s="57"/>
    </row>
    <row r="125" spans="1:13" x14ac:dyDescent="0.2">
      <c r="A125" s="49">
        <f t="shared" si="9"/>
        <v>28</v>
      </c>
    </row>
    <row r="126" spans="1:13" x14ac:dyDescent="0.2">
      <c r="A126" s="49">
        <f t="shared" si="9"/>
        <v>29</v>
      </c>
    </row>
    <row r="127" spans="1:13" x14ac:dyDescent="0.2">
      <c r="A127" s="49">
        <f t="shared" si="9"/>
        <v>30</v>
      </c>
    </row>
  </sheetData>
  <mergeCells count="14">
    <mergeCell ref="A40:M40"/>
    <mergeCell ref="A1:I1"/>
    <mergeCell ref="A2:I2"/>
    <mergeCell ref="A5:I5"/>
    <mergeCell ref="A6:I6"/>
    <mergeCell ref="A39:M39"/>
    <mergeCell ref="A88:M88"/>
    <mergeCell ref="A89:M89"/>
    <mergeCell ref="A45:M45"/>
    <mergeCell ref="A46:M46"/>
    <mergeCell ref="A47:M47"/>
    <mergeCell ref="A82:M82"/>
    <mergeCell ref="A83:M83"/>
    <mergeCell ref="A87:M87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2" man="1"/>
    <brk id="82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E38ED-D35F-428F-A688-413FF2451F96}">
  <dimension ref="A1:J186"/>
  <sheetViews>
    <sheetView view="pageLayout" zoomScaleNormal="100" workbookViewId="0">
      <selection sqref="A1:J1"/>
    </sheetView>
  </sheetViews>
  <sheetFormatPr defaultColWidth="9.140625" defaultRowHeight="11.25" x14ac:dyDescent="0.2"/>
  <cols>
    <col min="1" max="1" width="4.42578125" style="69" customWidth="1"/>
    <col min="2" max="2" width="9.140625" style="69"/>
    <col min="3" max="3" width="0.85546875" style="69" customWidth="1"/>
    <col min="4" max="4" width="11.7109375" style="69" bestFit="1" customWidth="1"/>
    <col min="5" max="16384" width="9.140625" style="69"/>
  </cols>
  <sheetData>
    <row r="1" spans="1:10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4" spans="1:10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2">
      <c r="A5" s="152" t="str">
        <f>'CAPCIT1000000678 Input'!A7:J7</f>
        <v>Pro Forma Adjustment - Project In Service During Test Year</v>
      </c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2">
      <c r="A6" s="153" t="str">
        <f>'CAPCIT1000000678 Input'!F9</f>
        <v>Gas System Safety: Target Zero</v>
      </c>
      <c r="B6" s="153"/>
      <c r="C6" s="153"/>
      <c r="D6" s="153"/>
      <c r="E6" s="153"/>
      <c r="F6" s="153"/>
      <c r="G6" s="153"/>
      <c r="H6" s="153"/>
      <c r="I6" s="153"/>
      <c r="J6" s="153"/>
    </row>
    <row r="10" spans="1:10" x14ac:dyDescent="0.2">
      <c r="C10" s="69" t="s">
        <v>154</v>
      </c>
    </row>
    <row r="13" spans="1:10" x14ac:dyDescent="0.2">
      <c r="C13" s="69" t="s">
        <v>139</v>
      </c>
      <c r="F13" s="69" t="s">
        <v>140</v>
      </c>
      <c r="G13" s="69" t="s">
        <v>141</v>
      </c>
      <c r="H13" s="42">
        <v>1</v>
      </c>
    </row>
    <row r="14" spans="1:10" x14ac:dyDescent="0.2">
      <c r="G14" s="69" t="s">
        <v>153</v>
      </c>
    </row>
    <row r="18" spans="3:9" x14ac:dyDescent="0.2">
      <c r="C18" s="101" t="s">
        <v>142</v>
      </c>
      <c r="D18" s="102"/>
      <c r="E18" s="102"/>
      <c r="F18" s="102"/>
      <c r="G18" s="102"/>
      <c r="H18" s="102"/>
      <c r="I18" s="103"/>
    </row>
    <row r="19" spans="3:9" x14ac:dyDescent="0.2">
      <c r="C19" s="102"/>
      <c r="D19" s="102"/>
      <c r="E19" s="104" t="s">
        <v>143</v>
      </c>
      <c r="F19" s="104" t="s">
        <v>144</v>
      </c>
      <c r="G19" s="104" t="s">
        <v>145</v>
      </c>
      <c r="H19" s="105" t="s">
        <v>146</v>
      </c>
      <c r="I19" s="105" t="s">
        <v>147</v>
      </c>
    </row>
    <row r="20" spans="3:9" x14ac:dyDescent="0.2">
      <c r="C20" s="102" t="s">
        <v>148</v>
      </c>
      <c r="D20" s="102" t="s">
        <v>144</v>
      </c>
      <c r="E20" s="106">
        <v>766959</v>
      </c>
      <c r="F20" s="106">
        <v>766959</v>
      </c>
      <c r="G20" s="106"/>
      <c r="H20" s="107">
        <v>0.88949999999999996</v>
      </c>
      <c r="I20" s="107"/>
    </row>
    <row r="21" spans="3:9" x14ac:dyDescent="0.2">
      <c r="C21" s="102" t="s">
        <v>148</v>
      </c>
      <c r="D21" s="102" t="s">
        <v>145</v>
      </c>
      <c r="E21" s="106">
        <v>582877</v>
      </c>
      <c r="F21" s="106"/>
      <c r="G21" s="106">
        <v>582877</v>
      </c>
      <c r="H21" s="102"/>
      <c r="I21" s="108">
        <v>0.77408023713367857</v>
      </c>
    </row>
    <row r="22" spans="3:9" x14ac:dyDescent="0.2">
      <c r="C22" s="102" t="s">
        <v>149</v>
      </c>
      <c r="D22" s="102" t="s">
        <v>144</v>
      </c>
      <c r="E22" s="106">
        <v>89732</v>
      </c>
      <c r="F22" s="106">
        <v>89732</v>
      </c>
      <c r="G22" s="106"/>
      <c r="H22" s="107">
        <v>0.1041</v>
      </c>
      <c r="I22" s="107"/>
    </row>
    <row r="23" spans="3:9" x14ac:dyDescent="0.2">
      <c r="C23" s="102" t="s">
        <v>149</v>
      </c>
      <c r="D23" s="102" t="s">
        <v>145</v>
      </c>
      <c r="E23" s="106">
        <v>61605</v>
      </c>
      <c r="F23" s="106"/>
      <c r="G23" s="106">
        <v>61605</v>
      </c>
      <c r="H23" s="102"/>
      <c r="I23" s="107">
        <v>8.1799999999999998E-2</v>
      </c>
    </row>
    <row r="24" spans="3:9" x14ac:dyDescent="0.2">
      <c r="C24" s="102" t="s">
        <v>150</v>
      </c>
      <c r="D24" s="102" t="s">
        <v>144</v>
      </c>
      <c r="E24" s="106">
        <v>5502</v>
      </c>
      <c r="F24" s="106">
        <v>5502</v>
      </c>
      <c r="G24" s="106"/>
      <c r="H24" s="107">
        <v>6.3814018439026995E-3</v>
      </c>
      <c r="I24" s="107"/>
    </row>
    <row r="25" spans="3:9" x14ac:dyDescent="0.2">
      <c r="C25" s="102" t="s">
        <v>150</v>
      </c>
      <c r="D25" s="102" t="s">
        <v>145</v>
      </c>
      <c r="E25" s="106">
        <v>104568</v>
      </c>
      <c r="F25" s="106"/>
      <c r="G25" s="106">
        <v>104568</v>
      </c>
      <c r="H25" s="102"/>
      <c r="I25" s="107">
        <v>0.13886981685088706</v>
      </c>
    </row>
    <row r="26" spans="3:9" x14ac:dyDescent="0.2">
      <c r="C26" s="102" t="s">
        <v>151</v>
      </c>
      <c r="D26" s="102" t="s">
        <v>145</v>
      </c>
      <c r="E26" s="106">
        <v>3943</v>
      </c>
      <c r="F26" s="106"/>
      <c r="G26" s="106">
        <v>3943</v>
      </c>
      <c r="H26" s="102"/>
      <c r="I26" s="107">
        <v>5.2364364608967146E-3</v>
      </c>
    </row>
    <row r="27" spans="3:9" ht="12" thickBot="1" x14ac:dyDescent="0.25">
      <c r="C27" s="102"/>
      <c r="D27" s="102"/>
      <c r="E27" s="109">
        <v>1615186</v>
      </c>
      <c r="F27" s="109">
        <v>862193</v>
      </c>
      <c r="G27" s="109">
        <v>752993</v>
      </c>
      <c r="H27" s="102"/>
      <c r="I27" s="102"/>
    </row>
    <row r="28" spans="3:9" ht="12" thickTop="1" x14ac:dyDescent="0.2">
      <c r="C28" s="102"/>
      <c r="D28" s="102"/>
      <c r="E28" s="102"/>
      <c r="F28" s="102"/>
      <c r="G28" s="102"/>
      <c r="H28" s="110">
        <v>0.99998140184390261</v>
      </c>
      <c r="I28" s="110">
        <v>0.99998649044546228</v>
      </c>
    </row>
    <row r="29" spans="3:9" x14ac:dyDescent="0.2">
      <c r="C29" s="102"/>
      <c r="D29" s="111" t="s">
        <v>152</v>
      </c>
      <c r="E29" s="112"/>
      <c r="F29" s="113">
        <v>0.53380000000000005</v>
      </c>
      <c r="G29" s="113">
        <v>0.4662</v>
      </c>
      <c r="H29" s="102"/>
      <c r="I29" s="110">
        <v>1</v>
      </c>
    </row>
    <row r="34" spans="1:10" x14ac:dyDescent="0.2">
      <c r="A34" s="152"/>
      <c r="B34" s="152"/>
      <c r="C34" s="152"/>
      <c r="D34" s="152"/>
      <c r="E34" s="152"/>
      <c r="F34" s="152"/>
      <c r="G34" s="152"/>
      <c r="H34" s="152"/>
      <c r="I34" s="152"/>
      <c r="J34" s="152"/>
    </row>
    <row r="35" spans="1:10" x14ac:dyDescent="0.2">
      <c r="A35" s="152" t="s">
        <v>56</v>
      </c>
      <c r="B35" s="152"/>
      <c r="C35" s="152"/>
      <c r="D35" s="152"/>
      <c r="E35" s="152"/>
      <c r="F35" s="152"/>
      <c r="G35" s="152"/>
      <c r="H35" s="152"/>
      <c r="I35" s="152"/>
      <c r="J35" s="152"/>
    </row>
    <row r="36" spans="1:10" x14ac:dyDescent="0.2">
      <c r="A36" s="153" t="s">
        <v>138</v>
      </c>
      <c r="B36" s="153"/>
      <c r="C36" s="153"/>
      <c r="D36" s="153"/>
      <c r="E36" s="153"/>
      <c r="F36" s="153"/>
      <c r="G36" s="153"/>
      <c r="H36" s="153"/>
      <c r="I36" s="153"/>
      <c r="J36" s="153"/>
    </row>
    <row r="104" spans="1:10" x14ac:dyDescent="0.2">
      <c r="A104" s="152" t="str">
        <f>A5</f>
        <v>Pro Forma Adjustment - Project In Service During Test Year</v>
      </c>
      <c r="B104" s="152"/>
      <c r="C104" s="152"/>
      <c r="D104" s="152"/>
      <c r="E104" s="152"/>
      <c r="F104" s="152"/>
      <c r="G104" s="152"/>
      <c r="H104" s="152"/>
      <c r="I104" s="152"/>
      <c r="J104" s="152"/>
    </row>
    <row r="105" spans="1:10" x14ac:dyDescent="0.2">
      <c r="A105" s="153" t="str">
        <f>A6</f>
        <v>Gas System Safety: Target Zero</v>
      </c>
      <c r="B105" s="153"/>
      <c r="C105" s="153"/>
      <c r="D105" s="153"/>
      <c r="E105" s="153"/>
      <c r="F105" s="153"/>
      <c r="G105" s="153"/>
      <c r="H105" s="153"/>
      <c r="I105" s="153"/>
      <c r="J105" s="153"/>
    </row>
    <row r="142" spans="1:10" x14ac:dyDescent="0.2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</row>
    <row r="143" spans="1:10" x14ac:dyDescent="0.2">
      <c r="A143" s="135"/>
      <c r="B143" s="135"/>
      <c r="C143" s="135"/>
      <c r="D143" s="135"/>
      <c r="E143" s="135"/>
      <c r="F143" s="135"/>
      <c r="G143" s="135"/>
      <c r="H143" s="135"/>
      <c r="I143" s="135"/>
      <c r="J143" s="135"/>
    </row>
    <row r="144" spans="1:10" x14ac:dyDescent="0.2">
      <c r="A144" s="135"/>
      <c r="B144" s="135"/>
      <c r="C144" s="135"/>
      <c r="D144" s="135"/>
      <c r="E144" s="135"/>
      <c r="F144" s="135"/>
      <c r="G144" s="135"/>
      <c r="H144" s="135"/>
      <c r="I144" s="135"/>
      <c r="J144" s="135"/>
    </row>
    <row r="145" spans="1:10" x14ac:dyDescent="0.2">
      <c r="A145" s="135"/>
      <c r="B145" s="135"/>
      <c r="C145" s="135"/>
      <c r="D145" s="135"/>
      <c r="E145" s="135"/>
      <c r="F145" s="135"/>
      <c r="G145" s="135"/>
      <c r="H145" s="135"/>
      <c r="I145" s="135"/>
      <c r="J145" s="135"/>
    </row>
    <row r="146" spans="1:10" x14ac:dyDescent="0.2">
      <c r="A146" s="135"/>
      <c r="B146" s="135"/>
      <c r="C146" s="135"/>
      <c r="D146" s="135"/>
      <c r="E146" s="135"/>
      <c r="F146" s="135"/>
      <c r="G146" s="135"/>
      <c r="H146" s="135"/>
      <c r="I146" s="135"/>
      <c r="J146" s="135"/>
    </row>
    <row r="147" spans="1:10" x14ac:dyDescent="0.2">
      <c r="A147" s="135"/>
      <c r="B147" s="135"/>
      <c r="C147" s="135"/>
      <c r="D147" s="135"/>
      <c r="E147" s="135"/>
      <c r="F147" s="135"/>
      <c r="G147" s="135"/>
      <c r="H147" s="135"/>
      <c r="I147" s="135"/>
      <c r="J147" s="135"/>
    </row>
    <row r="148" spans="1:10" x14ac:dyDescent="0.2">
      <c r="A148" s="135"/>
      <c r="B148" s="135"/>
      <c r="C148" s="135"/>
      <c r="D148" s="135"/>
      <c r="E148" s="135"/>
      <c r="F148" s="135"/>
      <c r="G148" s="135"/>
      <c r="H148" s="135"/>
      <c r="I148" s="135"/>
      <c r="J148" s="135"/>
    </row>
    <row r="149" spans="1:10" x14ac:dyDescent="0.2">
      <c r="A149" s="135"/>
      <c r="B149" s="135"/>
      <c r="C149" s="135"/>
      <c r="D149" s="135"/>
      <c r="E149" s="135"/>
      <c r="F149" s="135"/>
      <c r="G149" s="135"/>
      <c r="H149" s="135"/>
      <c r="I149" s="135"/>
      <c r="J149" s="135"/>
    </row>
    <row r="150" spans="1:10" x14ac:dyDescent="0.2">
      <c r="A150" s="135"/>
      <c r="B150" s="135"/>
      <c r="C150" s="135"/>
      <c r="D150" s="135"/>
      <c r="E150" s="135"/>
      <c r="F150" s="135"/>
      <c r="G150" s="135"/>
      <c r="H150" s="135"/>
      <c r="I150" s="135"/>
      <c r="J150" s="135"/>
    </row>
    <row r="151" spans="1:10" x14ac:dyDescent="0.2">
      <c r="A151" s="135"/>
      <c r="B151" s="135"/>
      <c r="C151" s="135"/>
      <c r="D151" s="135"/>
      <c r="E151" s="135"/>
      <c r="F151" s="135"/>
      <c r="G151" s="135"/>
      <c r="H151" s="135"/>
      <c r="I151" s="135"/>
      <c r="J151" s="135"/>
    </row>
    <row r="152" spans="1:10" x14ac:dyDescent="0.2">
      <c r="A152" s="135"/>
      <c r="B152" s="135"/>
      <c r="C152" s="135"/>
      <c r="D152" s="135"/>
      <c r="E152" s="135"/>
      <c r="F152" s="135"/>
      <c r="G152" s="135"/>
      <c r="H152" s="135"/>
      <c r="I152" s="135"/>
      <c r="J152" s="135"/>
    </row>
    <row r="153" spans="1:10" x14ac:dyDescent="0.2">
      <c r="A153" s="135"/>
      <c r="B153" s="135"/>
      <c r="C153" s="135"/>
      <c r="D153" s="135"/>
      <c r="E153" s="135"/>
      <c r="F153" s="135"/>
      <c r="G153" s="135"/>
      <c r="H153" s="135"/>
      <c r="I153" s="135"/>
      <c r="J153" s="135"/>
    </row>
    <row r="154" spans="1:10" x14ac:dyDescent="0.2">
      <c r="A154" s="135"/>
      <c r="B154" s="135"/>
      <c r="C154" s="135"/>
      <c r="D154" s="135"/>
      <c r="E154" s="135"/>
      <c r="F154" s="135"/>
      <c r="G154" s="135"/>
      <c r="H154" s="135"/>
      <c r="I154" s="135"/>
      <c r="J154" s="135"/>
    </row>
    <row r="155" spans="1:10" x14ac:dyDescent="0.2">
      <c r="A155" s="135"/>
      <c r="B155" s="135"/>
      <c r="C155" s="135"/>
      <c r="D155" s="135"/>
      <c r="E155" s="135"/>
      <c r="F155" s="135"/>
      <c r="G155" s="135"/>
      <c r="H155" s="135"/>
      <c r="I155" s="135"/>
      <c r="J155" s="135"/>
    </row>
    <row r="156" spans="1:10" x14ac:dyDescent="0.2">
      <c r="A156" s="135"/>
      <c r="B156" s="135"/>
      <c r="C156" s="135"/>
      <c r="D156" s="135"/>
      <c r="E156" s="135"/>
      <c r="F156" s="135"/>
      <c r="G156" s="135"/>
      <c r="H156" s="135"/>
      <c r="I156" s="135"/>
      <c r="J156" s="135"/>
    </row>
    <row r="157" spans="1:10" x14ac:dyDescent="0.2">
      <c r="A157" s="135"/>
      <c r="B157" s="135"/>
      <c r="C157" s="135"/>
      <c r="D157" s="135"/>
      <c r="E157" s="135"/>
      <c r="F157" s="135"/>
      <c r="G157" s="135"/>
      <c r="H157" s="135"/>
      <c r="I157" s="135"/>
      <c r="J157" s="135"/>
    </row>
    <row r="158" spans="1:10" x14ac:dyDescent="0.2">
      <c r="A158" s="135"/>
      <c r="B158" s="135"/>
      <c r="C158" s="135"/>
      <c r="D158" s="135"/>
      <c r="E158" s="135"/>
      <c r="F158" s="135"/>
      <c r="G158" s="135"/>
      <c r="H158" s="135"/>
      <c r="I158" s="135"/>
      <c r="J158" s="135"/>
    </row>
    <row r="159" spans="1:10" x14ac:dyDescent="0.2">
      <c r="A159" s="135"/>
      <c r="B159" s="135"/>
      <c r="C159" s="135"/>
      <c r="D159" s="135"/>
      <c r="E159" s="135"/>
      <c r="F159" s="135"/>
      <c r="G159" s="135"/>
      <c r="H159" s="135"/>
      <c r="I159" s="135"/>
      <c r="J159" s="135"/>
    </row>
    <row r="160" spans="1:10" x14ac:dyDescent="0.2">
      <c r="A160" s="135"/>
      <c r="B160" s="135"/>
      <c r="C160" s="135"/>
      <c r="D160" s="135"/>
      <c r="E160" s="135"/>
      <c r="F160" s="135"/>
      <c r="G160" s="135"/>
      <c r="H160" s="135"/>
      <c r="I160" s="135"/>
      <c r="J160" s="135"/>
    </row>
    <row r="161" spans="1:10" x14ac:dyDescent="0.2">
      <c r="A161" s="135"/>
      <c r="B161" s="135"/>
      <c r="C161" s="135"/>
      <c r="D161" s="135"/>
      <c r="E161" s="135"/>
      <c r="F161" s="135"/>
      <c r="G161" s="135"/>
      <c r="H161" s="135"/>
      <c r="I161" s="135"/>
      <c r="J161" s="135"/>
    </row>
    <row r="162" spans="1:10" x14ac:dyDescent="0.2">
      <c r="A162" s="152" t="str">
        <f>A5</f>
        <v>Pro Forma Adjustment - Project In Service During Test Year</v>
      </c>
      <c r="B162" s="152"/>
      <c r="C162" s="152"/>
      <c r="D162" s="152"/>
      <c r="E162" s="152"/>
      <c r="F162" s="152"/>
      <c r="G162" s="152"/>
      <c r="H162" s="152"/>
      <c r="I162" s="152"/>
      <c r="J162" s="152"/>
    </row>
    <row r="163" spans="1:10" x14ac:dyDescent="0.2">
      <c r="A163" s="153" t="str">
        <f>A6</f>
        <v>Gas System Safety: Target Zero</v>
      </c>
      <c r="B163" s="153"/>
      <c r="C163" s="153"/>
      <c r="D163" s="153"/>
      <c r="E163" s="153"/>
      <c r="F163" s="153"/>
      <c r="G163" s="153"/>
      <c r="H163" s="153"/>
      <c r="I163" s="153"/>
      <c r="J163" s="153"/>
    </row>
    <row r="165" spans="1:10" x14ac:dyDescent="0.2">
      <c r="A165" s="86" t="s">
        <v>1</v>
      </c>
    </row>
    <row r="166" spans="1:10" x14ac:dyDescent="0.2">
      <c r="A166" s="87" t="s">
        <v>108</v>
      </c>
      <c r="B166" s="72" t="s">
        <v>106</v>
      </c>
      <c r="D166" s="73" t="s">
        <v>3</v>
      </c>
    </row>
    <row r="167" spans="1:10" x14ac:dyDescent="0.2">
      <c r="B167" s="74" t="s">
        <v>5</v>
      </c>
      <c r="C167" s="74"/>
      <c r="D167" s="74" t="s">
        <v>6</v>
      </c>
    </row>
    <row r="170" spans="1:10" x14ac:dyDescent="0.2">
      <c r="A170" s="69">
        <v>1</v>
      </c>
      <c r="B170" s="70">
        <f>'CAPCIT1000000678 Input'!B17</f>
        <v>45672</v>
      </c>
      <c r="D170" s="71">
        <v>0</v>
      </c>
    </row>
    <row r="171" spans="1:10" x14ac:dyDescent="0.2">
      <c r="A171" s="69">
        <f>A170+1</f>
        <v>2</v>
      </c>
      <c r="B171" s="70">
        <f>'CAPCIT1000000678 Input'!B18</f>
        <v>45702</v>
      </c>
      <c r="D171" s="71">
        <v>0</v>
      </c>
    </row>
    <row r="172" spans="1:10" x14ac:dyDescent="0.2">
      <c r="A172" s="69">
        <f>A171+1</f>
        <v>3</v>
      </c>
      <c r="B172" s="70">
        <f>'CAPCIT1000000678 Input'!B19</f>
        <v>45732</v>
      </c>
      <c r="D172" s="71">
        <v>0</v>
      </c>
    </row>
    <row r="173" spans="1:10" x14ac:dyDescent="0.2">
      <c r="A173" s="69">
        <f t="shared" ref="A173:A186" si="0">A172+1</f>
        <v>4</v>
      </c>
      <c r="B173" s="70">
        <f>'CAPCIT1000000678 Input'!B20</f>
        <v>45762</v>
      </c>
      <c r="D173" s="71">
        <v>0</v>
      </c>
    </row>
    <row r="174" spans="1:10" x14ac:dyDescent="0.2">
      <c r="A174" s="69">
        <f t="shared" si="0"/>
        <v>5</v>
      </c>
      <c r="B174" s="70">
        <f>'CAPCIT1000000678 Input'!B21</f>
        <v>45792</v>
      </c>
      <c r="D174" s="71">
        <v>0</v>
      </c>
    </row>
    <row r="175" spans="1:10" x14ac:dyDescent="0.2">
      <c r="A175" s="69">
        <f t="shared" si="0"/>
        <v>6</v>
      </c>
      <c r="B175" s="70">
        <f>'CAPCIT1000000678 Input'!B22</f>
        <v>45822</v>
      </c>
      <c r="D175" s="71">
        <v>0</v>
      </c>
    </row>
    <row r="176" spans="1:10" x14ac:dyDescent="0.2">
      <c r="A176" s="69">
        <f t="shared" si="0"/>
        <v>7</v>
      </c>
      <c r="B176" s="70">
        <f>'CAPCIT1000000678 Input'!B23</f>
        <v>45852</v>
      </c>
      <c r="D176" s="71">
        <v>0</v>
      </c>
    </row>
    <row r="177" spans="1:4" x14ac:dyDescent="0.2">
      <c r="A177" s="69">
        <f t="shared" si="0"/>
        <v>8</v>
      </c>
      <c r="B177" s="70">
        <f>'CAPCIT1000000678 Input'!B24</f>
        <v>45882</v>
      </c>
      <c r="D177" s="71">
        <v>0</v>
      </c>
    </row>
    <row r="178" spans="1:4" x14ac:dyDescent="0.2">
      <c r="A178" s="69">
        <f t="shared" si="0"/>
        <v>9</v>
      </c>
      <c r="B178" s="70">
        <f>'CAPCIT1000000678 Input'!B25</f>
        <v>45912</v>
      </c>
      <c r="D178" s="71">
        <v>1452599.69</v>
      </c>
    </row>
    <row r="179" spans="1:4" x14ac:dyDescent="0.2">
      <c r="A179" s="69">
        <f t="shared" si="0"/>
        <v>10</v>
      </c>
      <c r="B179" s="70">
        <f>'CAPCIT1000000678 Input'!B26</f>
        <v>45942</v>
      </c>
      <c r="D179" s="71">
        <v>0</v>
      </c>
    </row>
    <row r="180" spans="1:4" x14ac:dyDescent="0.2">
      <c r="A180" s="69">
        <f t="shared" si="0"/>
        <v>11</v>
      </c>
      <c r="B180" s="70">
        <f>'CAPCIT1000000678 Input'!B27</f>
        <v>45972</v>
      </c>
      <c r="D180" s="71">
        <v>0</v>
      </c>
    </row>
    <row r="181" spans="1:4" x14ac:dyDescent="0.2">
      <c r="A181" s="69">
        <f t="shared" si="0"/>
        <v>12</v>
      </c>
      <c r="B181" s="70">
        <f>'CAPCIT1000000678 Input'!B28</f>
        <v>46002</v>
      </c>
      <c r="D181" s="71">
        <v>0</v>
      </c>
    </row>
    <row r="182" spans="1:4" x14ac:dyDescent="0.2">
      <c r="A182" s="69">
        <f t="shared" si="0"/>
        <v>13</v>
      </c>
      <c r="B182" s="70"/>
      <c r="D182" s="75"/>
    </row>
    <row r="183" spans="1:4" ht="12" thickBot="1" x14ac:dyDescent="0.25">
      <c r="A183" s="69">
        <f t="shared" si="0"/>
        <v>14</v>
      </c>
      <c r="B183" s="70" t="s">
        <v>40</v>
      </c>
      <c r="D183" s="76">
        <f>SUM(D173:D182)</f>
        <v>1452599.69</v>
      </c>
    </row>
    <row r="184" spans="1:4" ht="12" thickTop="1" x14ac:dyDescent="0.2">
      <c r="A184" s="69">
        <f t="shared" si="0"/>
        <v>15</v>
      </c>
    </row>
    <row r="185" spans="1:4" x14ac:dyDescent="0.2">
      <c r="A185" s="69">
        <f t="shared" si="0"/>
        <v>16</v>
      </c>
      <c r="D185" s="65" t="s">
        <v>85</v>
      </c>
    </row>
    <row r="186" spans="1:4" x14ac:dyDescent="0.2">
      <c r="A186" s="69">
        <f t="shared" si="0"/>
        <v>17</v>
      </c>
      <c r="D186" s="65" t="s">
        <v>186</v>
      </c>
    </row>
  </sheetData>
  <mergeCells count="13">
    <mergeCell ref="A105:J105"/>
    <mergeCell ref="A142:J142"/>
    <mergeCell ref="A162:J162"/>
    <mergeCell ref="A163:J163"/>
    <mergeCell ref="A1:J1"/>
    <mergeCell ref="A2:J2"/>
    <mergeCell ref="A4:J4"/>
    <mergeCell ref="A5:J5"/>
    <mergeCell ref="A6:J6"/>
    <mergeCell ref="A104:J104"/>
    <mergeCell ref="A34:J34"/>
    <mergeCell ref="A35:J35"/>
    <mergeCell ref="A36:J36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3" manualBreakCount="3">
    <brk id="30" max="9" man="1"/>
    <brk id="99" max="9" man="1"/>
    <brk id="157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view="pageLayout" zoomScaleNormal="100" zoomScaleSheetLayoutView="78" workbookViewId="0">
      <selection sqref="A1:J1"/>
    </sheetView>
  </sheetViews>
  <sheetFormatPr defaultColWidth="8" defaultRowHeight="11.25" x14ac:dyDescent="0.2"/>
  <cols>
    <col min="1" max="1" width="4.140625" style="33" customWidth="1"/>
    <col min="2" max="2" width="13.7109375" style="33" customWidth="1"/>
    <col min="3" max="3" width="0.85546875" style="33" customWidth="1"/>
    <col min="4" max="4" width="17.42578125" style="33" customWidth="1"/>
    <col min="5" max="5" width="0.85546875" style="33" customWidth="1"/>
    <col min="6" max="6" width="10.140625" style="33" customWidth="1"/>
    <col min="7" max="7" width="0.85546875" style="33" customWidth="1"/>
    <col min="8" max="8" width="10.28515625" style="33" customWidth="1"/>
    <col min="9" max="9" width="0.85546875" style="33" customWidth="1"/>
    <col min="10" max="10" width="8" style="33"/>
    <col min="11" max="11" width="1.140625" style="33" customWidth="1"/>
    <col min="12" max="12" width="9.28515625" style="33" customWidth="1"/>
    <col min="13" max="13" width="1.42578125" style="33" customWidth="1"/>
    <col min="14" max="16384" width="8" style="33"/>
  </cols>
  <sheetData>
    <row r="1" spans="1:14" ht="13.5" customHeight="1" x14ac:dyDescent="0.2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4" ht="13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</row>
    <row r="3" spans="1:14" ht="13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</row>
    <row r="4" spans="1:14" ht="13.5" customHeight="1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</row>
    <row r="5" spans="1:14" ht="13.5" customHeight="1" x14ac:dyDescent="0.2"/>
    <row r="6" spans="1:14" ht="13.5" customHeight="1" x14ac:dyDescent="0.2"/>
    <row r="7" spans="1:14" ht="12" customHeight="1" x14ac:dyDescent="0.2">
      <c r="A7" s="145" t="s">
        <v>56</v>
      </c>
      <c r="B7" s="145"/>
      <c r="C7" s="145"/>
      <c r="D7" s="145"/>
      <c r="E7" s="145"/>
      <c r="F7" s="145"/>
      <c r="G7" s="145"/>
      <c r="H7" s="145"/>
      <c r="I7" s="145"/>
      <c r="J7" s="145"/>
    </row>
    <row r="8" spans="1:14" x14ac:dyDescent="0.2">
      <c r="B8" s="146"/>
      <c r="C8" s="147"/>
      <c r="D8" s="147"/>
      <c r="F8" s="148"/>
      <c r="G8" s="148"/>
      <c r="H8" s="148"/>
    </row>
    <row r="9" spans="1:14" x14ac:dyDescent="0.2">
      <c r="B9" s="90" t="s">
        <v>57</v>
      </c>
      <c r="D9" s="91" t="s">
        <v>113</v>
      </c>
      <c r="E9" s="34"/>
      <c r="F9" s="143" t="s">
        <v>114</v>
      </c>
      <c r="G9" s="144"/>
      <c r="H9" s="144"/>
      <c r="I9" s="144"/>
      <c r="J9" s="144"/>
    </row>
    <row r="10" spans="1:14" x14ac:dyDescent="0.2">
      <c r="B10" s="34" t="s">
        <v>58</v>
      </c>
      <c r="D10" s="92">
        <v>1</v>
      </c>
      <c r="F10" s="34" t="s">
        <v>59</v>
      </c>
      <c r="H10" s="99">
        <v>0.1389</v>
      </c>
    </row>
    <row r="11" spans="1:14" x14ac:dyDescent="0.2">
      <c r="L11" s="36" t="s">
        <v>60</v>
      </c>
      <c r="N11" s="36" t="s">
        <v>47</v>
      </c>
    </row>
    <row r="12" spans="1:14" x14ac:dyDescent="0.2">
      <c r="A12" s="33" t="s">
        <v>1</v>
      </c>
      <c r="F12" s="35" t="s">
        <v>61</v>
      </c>
      <c r="G12" s="35"/>
      <c r="H12" s="35"/>
      <c r="J12" s="36" t="s">
        <v>50</v>
      </c>
      <c r="L12" s="36" t="s">
        <v>50</v>
      </c>
      <c r="N12" s="36" t="s">
        <v>62</v>
      </c>
    </row>
    <row r="13" spans="1:14" x14ac:dyDescent="0.2">
      <c r="A13" s="89" t="s">
        <v>108</v>
      </c>
      <c r="B13" s="93" t="s">
        <v>63</v>
      </c>
      <c r="D13" s="37" t="s">
        <v>64</v>
      </c>
      <c r="E13" s="38"/>
      <c r="F13" s="37" t="s">
        <v>65</v>
      </c>
      <c r="H13" s="37" t="s">
        <v>66</v>
      </c>
      <c r="J13" s="37" t="s">
        <v>67</v>
      </c>
      <c r="L13" s="37" t="s">
        <v>67</v>
      </c>
      <c r="N13" s="37" t="s">
        <v>68</v>
      </c>
    </row>
    <row r="14" spans="1:14" x14ac:dyDescent="0.2">
      <c r="B14" s="94" t="s">
        <v>5</v>
      </c>
      <c r="D14" s="36" t="s">
        <v>6</v>
      </c>
      <c r="E14" s="38"/>
      <c r="F14" s="36" t="s">
        <v>7</v>
      </c>
      <c r="H14" s="36" t="s">
        <v>41</v>
      </c>
      <c r="J14" s="36" t="s">
        <v>42</v>
      </c>
      <c r="L14" s="36" t="s">
        <v>43</v>
      </c>
      <c r="N14" s="36" t="s">
        <v>44</v>
      </c>
    </row>
    <row r="15" spans="1:14" x14ac:dyDescent="0.2">
      <c r="B15" s="95"/>
      <c r="D15" s="36"/>
      <c r="E15" s="38"/>
      <c r="F15" s="36"/>
      <c r="H15" s="36"/>
      <c r="J15" s="36"/>
    </row>
    <row r="16" spans="1:14" x14ac:dyDescent="0.2">
      <c r="A16" s="36">
        <v>1</v>
      </c>
      <c r="B16" s="40">
        <v>45641</v>
      </c>
      <c r="D16" s="44">
        <v>0</v>
      </c>
      <c r="E16" s="38"/>
      <c r="F16" s="36" t="s">
        <v>115</v>
      </c>
      <c r="H16" s="6">
        <v>1</v>
      </c>
      <c r="J16" s="43">
        <f>1.02/30</f>
        <v>3.4000000000000002E-2</v>
      </c>
      <c r="L16" s="43">
        <v>3.7499999999999999E-2</v>
      </c>
      <c r="N16" s="96">
        <v>0.21</v>
      </c>
    </row>
    <row r="17" spans="1:10" x14ac:dyDescent="0.2">
      <c r="A17" s="36">
        <v>2</v>
      </c>
      <c r="B17" s="41">
        <v>45672</v>
      </c>
      <c r="D17" s="44">
        <v>0</v>
      </c>
      <c r="E17" s="38"/>
      <c r="F17" s="36" t="s">
        <v>69</v>
      </c>
      <c r="H17" s="6">
        <v>0</v>
      </c>
      <c r="J17" s="43">
        <v>0</v>
      </c>
    </row>
    <row r="18" spans="1:10" x14ac:dyDescent="0.2">
      <c r="A18" s="36">
        <v>3</v>
      </c>
      <c r="B18" s="41">
        <f>B17+30</f>
        <v>45702</v>
      </c>
      <c r="D18" s="44">
        <v>0</v>
      </c>
      <c r="E18" s="38"/>
      <c r="F18" s="36" t="s">
        <v>69</v>
      </c>
      <c r="H18" s="6">
        <v>0</v>
      </c>
      <c r="J18" s="43">
        <v>0</v>
      </c>
    </row>
    <row r="19" spans="1:10" x14ac:dyDescent="0.2">
      <c r="A19" s="36">
        <v>4</v>
      </c>
      <c r="B19" s="41">
        <f t="shared" ref="B19:B28" si="0">B18+30</f>
        <v>45732</v>
      </c>
      <c r="D19" s="44">
        <v>0</v>
      </c>
      <c r="E19" s="38"/>
      <c r="F19" s="36" t="s">
        <v>69</v>
      </c>
      <c r="H19" s="6">
        <v>0</v>
      </c>
      <c r="J19" s="43">
        <v>0</v>
      </c>
    </row>
    <row r="20" spans="1:10" x14ac:dyDescent="0.2">
      <c r="A20" s="36">
        <v>5</v>
      </c>
      <c r="B20" s="41">
        <f t="shared" si="0"/>
        <v>45762</v>
      </c>
      <c r="D20" s="44">
        <f>+'CAPGDS1000000935 Support'!D199</f>
        <v>0</v>
      </c>
      <c r="E20" s="38"/>
      <c r="F20" s="36" t="s">
        <v>69</v>
      </c>
      <c r="H20" s="6">
        <v>0</v>
      </c>
      <c r="J20" s="43">
        <v>0</v>
      </c>
    </row>
    <row r="21" spans="1:10" x14ac:dyDescent="0.2">
      <c r="A21" s="36">
        <v>6</v>
      </c>
      <c r="B21" s="41">
        <f t="shared" si="0"/>
        <v>45792</v>
      </c>
      <c r="D21" s="44">
        <f>+'CAPGDS1000000935 Support'!D200+D20</f>
        <v>0</v>
      </c>
      <c r="E21" s="38"/>
      <c r="F21" s="36"/>
      <c r="H21" s="42" t="s">
        <v>9</v>
      </c>
      <c r="J21" s="43"/>
    </row>
    <row r="22" spans="1:10" x14ac:dyDescent="0.2">
      <c r="A22" s="36">
        <v>7</v>
      </c>
      <c r="B22" s="41">
        <f t="shared" si="0"/>
        <v>45822</v>
      </c>
      <c r="D22" s="44">
        <f>+'CAPGDS1000000935 Support'!D201+D21</f>
        <v>0</v>
      </c>
      <c r="E22" s="38"/>
      <c r="F22" s="36"/>
      <c r="H22" s="42" t="s">
        <v>9</v>
      </c>
      <c r="J22" s="43"/>
    </row>
    <row r="23" spans="1:10" x14ac:dyDescent="0.2">
      <c r="A23" s="36">
        <v>8</v>
      </c>
      <c r="B23" s="41">
        <f t="shared" si="0"/>
        <v>45852</v>
      </c>
      <c r="D23" s="44">
        <f>+'CAPGDS1000000935 Support'!D202+D22</f>
        <v>0</v>
      </c>
      <c r="E23" s="38"/>
      <c r="F23" s="36"/>
      <c r="H23" s="42" t="s">
        <v>9</v>
      </c>
      <c r="J23" s="43"/>
    </row>
    <row r="24" spans="1:10" x14ac:dyDescent="0.2">
      <c r="A24" s="36">
        <v>9</v>
      </c>
      <c r="B24" s="41">
        <f t="shared" si="0"/>
        <v>45882</v>
      </c>
      <c r="D24" s="44">
        <f>+'CAPGDS1000000935 Support'!D203+D23</f>
        <v>0</v>
      </c>
      <c r="E24" s="38"/>
      <c r="F24" s="36"/>
      <c r="H24" s="42" t="s">
        <v>9</v>
      </c>
      <c r="J24" s="43"/>
    </row>
    <row r="25" spans="1:10" x14ac:dyDescent="0.2">
      <c r="A25" s="36">
        <v>10</v>
      </c>
      <c r="B25" s="41">
        <f t="shared" si="0"/>
        <v>45912</v>
      </c>
      <c r="D25" s="44">
        <f>+'CAPGDS1000000935 Support'!D204+D24</f>
        <v>0</v>
      </c>
      <c r="E25" s="38"/>
      <c r="F25" s="36"/>
      <c r="H25" s="42" t="s">
        <v>9</v>
      </c>
      <c r="J25" s="43"/>
    </row>
    <row r="26" spans="1:10" x14ac:dyDescent="0.2">
      <c r="A26" s="36">
        <v>11</v>
      </c>
      <c r="B26" s="41">
        <f t="shared" si="0"/>
        <v>45942</v>
      </c>
      <c r="D26" s="44">
        <f>+'CAPGDS1000000935 Support'!D205+D25</f>
        <v>0</v>
      </c>
      <c r="E26" s="38"/>
      <c r="F26" s="36"/>
      <c r="H26" s="42" t="s">
        <v>9</v>
      </c>
      <c r="J26" s="43"/>
    </row>
    <row r="27" spans="1:10" x14ac:dyDescent="0.2">
      <c r="A27" s="36">
        <v>12</v>
      </c>
      <c r="B27" s="41">
        <f t="shared" si="0"/>
        <v>45972</v>
      </c>
      <c r="D27" s="44">
        <f>+'CAPGDS1000000935 Support'!D206+D26</f>
        <v>0</v>
      </c>
      <c r="E27" s="38"/>
      <c r="H27" s="42" t="s">
        <v>9</v>
      </c>
      <c r="J27" s="43"/>
    </row>
    <row r="28" spans="1:10" x14ac:dyDescent="0.2">
      <c r="A28" s="36">
        <v>13</v>
      </c>
      <c r="B28" s="41">
        <f t="shared" si="0"/>
        <v>46002</v>
      </c>
      <c r="D28" s="116">
        <f>+'CAPGDS1000000935 Support'!D207+D27</f>
        <v>15332417.01</v>
      </c>
      <c r="E28" s="38"/>
      <c r="H28" s="42"/>
      <c r="J28" s="43"/>
    </row>
    <row r="29" spans="1:10" x14ac:dyDescent="0.2">
      <c r="A29" s="36">
        <v>14</v>
      </c>
      <c r="D29" s="44"/>
      <c r="E29" s="38"/>
      <c r="J29" s="43"/>
    </row>
    <row r="30" spans="1:10" x14ac:dyDescent="0.2">
      <c r="A30" s="36">
        <v>15</v>
      </c>
      <c r="B30" s="34" t="s">
        <v>70</v>
      </c>
      <c r="D30" s="97">
        <v>45992</v>
      </c>
    </row>
    <row r="31" spans="1:10" x14ac:dyDescent="0.2">
      <c r="A31" s="36">
        <v>16</v>
      </c>
      <c r="B31" s="34" t="s">
        <v>71</v>
      </c>
      <c r="D31" s="98">
        <v>15477261.42</v>
      </c>
    </row>
    <row r="33" spans="2:2" x14ac:dyDescent="0.2">
      <c r="B33" s="45" t="s">
        <v>72</v>
      </c>
    </row>
    <row r="34" spans="2:2" x14ac:dyDescent="0.2">
      <c r="B34" s="45" t="s">
        <v>73</v>
      </c>
    </row>
    <row r="35" spans="2:2" x14ac:dyDescent="0.2">
      <c r="B35" s="45" t="s">
        <v>161</v>
      </c>
    </row>
    <row r="36" spans="2:2" x14ac:dyDescent="0.2">
      <c r="B36" s="45" t="s">
        <v>162</v>
      </c>
    </row>
    <row r="37" spans="2:2" x14ac:dyDescent="0.2">
      <c r="B37" s="45" t="s">
        <v>163</v>
      </c>
    </row>
    <row r="38" spans="2:2" x14ac:dyDescent="0.2">
      <c r="B38" s="45" t="s">
        <v>164</v>
      </c>
    </row>
    <row r="39" spans="2:2" x14ac:dyDescent="0.2">
      <c r="B39" s="45" t="s">
        <v>165</v>
      </c>
    </row>
    <row r="40" spans="2:2" x14ac:dyDescent="0.2">
      <c r="B40" s="45" t="s">
        <v>166</v>
      </c>
    </row>
    <row r="41" spans="2:2" x14ac:dyDescent="0.2">
      <c r="B41" s="33" t="s">
        <v>74</v>
      </c>
    </row>
    <row r="42" spans="2:2" x14ac:dyDescent="0.2">
      <c r="B42" s="82" t="s">
        <v>160</v>
      </c>
    </row>
    <row r="43" spans="2:2" x14ac:dyDescent="0.2">
      <c r="B43" s="33" t="s">
        <v>75</v>
      </c>
    </row>
  </sheetData>
  <mergeCells count="6">
    <mergeCell ref="F9:J9"/>
    <mergeCell ref="A1:J1"/>
    <mergeCell ref="A4:J4"/>
    <mergeCell ref="A7:J7"/>
    <mergeCell ref="B8:D8"/>
    <mergeCell ref="F8:H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9" customWidth="1"/>
    <col min="2" max="2" width="1" style="49" customWidth="1"/>
    <col min="3" max="3" width="14.7109375" style="49" customWidth="1"/>
    <col min="4" max="4" width="1" style="49" customWidth="1"/>
    <col min="5" max="5" width="17.85546875" style="49" customWidth="1"/>
    <col min="6" max="6" width="1" style="49" customWidth="1"/>
    <col min="7" max="7" width="17.85546875" style="49" customWidth="1"/>
    <col min="8" max="8" width="1" style="49" customWidth="1"/>
    <col min="9" max="9" width="15.85546875" style="49" customWidth="1"/>
    <col min="10" max="10" width="6.42578125" style="49" customWidth="1"/>
    <col min="11" max="11" width="4.85546875" style="49" customWidth="1"/>
    <col min="12" max="12" width="1" style="49" customWidth="1"/>
    <col min="13" max="13" width="25.140625" style="49" customWidth="1"/>
    <col min="14" max="14" width="1" style="49" customWidth="1"/>
    <col min="15" max="15" width="14.85546875" style="49" customWidth="1"/>
    <col min="16" max="16" width="1" style="49" customWidth="1"/>
    <col min="17" max="17" width="14.85546875" style="49" customWidth="1"/>
    <col min="18" max="18" width="1" style="49" customWidth="1"/>
    <col min="19" max="19" width="13.85546875" style="49" customWidth="1"/>
    <col min="20" max="20" width="6.42578125" style="49" customWidth="1"/>
    <col min="21" max="21" width="4.85546875" style="49" customWidth="1"/>
    <col min="22" max="22" width="1" style="49" customWidth="1"/>
    <col min="23" max="23" width="25.140625" style="49" customWidth="1"/>
    <col min="24" max="24" width="1" style="49" customWidth="1"/>
    <col min="25" max="25" width="14.85546875" style="49" customWidth="1"/>
    <col min="26" max="26" width="1" style="49" customWidth="1"/>
    <col min="27" max="27" width="14.85546875" style="49" customWidth="1"/>
    <col min="28" max="28" width="1" style="49" customWidth="1"/>
    <col min="29" max="29" width="13.85546875" style="49" customWidth="1"/>
    <col min="30" max="30" width="6.42578125" style="49" customWidth="1"/>
    <col min="31" max="31" width="4.85546875" style="49" customWidth="1"/>
    <col min="32" max="32" width="1" style="49" customWidth="1"/>
    <col min="33" max="33" width="25.140625" style="49" customWidth="1"/>
    <col min="34" max="34" width="1" style="49" customWidth="1"/>
    <col min="35" max="35" width="14.85546875" style="49" customWidth="1"/>
    <col min="36" max="36" width="1" style="49" customWidth="1"/>
    <col min="37" max="37" width="14.85546875" style="49" customWidth="1"/>
    <col min="38" max="38" width="1" style="49" customWidth="1"/>
    <col min="39" max="39" width="13.85546875" style="49" customWidth="1"/>
    <col min="40" max="40" width="6.42578125" style="49" customWidth="1"/>
    <col min="41" max="41" width="4.85546875" style="49" customWidth="1"/>
    <col min="42" max="42" width="1" style="49" customWidth="1"/>
    <col min="43" max="43" width="17.85546875" style="49" customWidth="1"/>
    <col min="44" max="44" width="1" style="49" customWidth="1"/>
    <col min="45" max="45" width="14.85546875" style="49" customWidth="1"/>
    <col min="46" max="46" width="1" style="49" customWidth="1"/>
    <col min="47" max="47" width="14.85546875" style="49" customWidth="1"/>
    <col min="48" max="48" width="1" style="49" customWidth="1"/>
    <col min="49" max="49" width="13.85546875" style="49" customWidth="1"/>
    <col min="50" max="16384" width="11" style="49"/>
  </cols>
  <sheetData>
    <row r="1" spans="1:10" x14ac:dyDescent="0.2">
      <c r="A1" s="46"/>
      <c r="B1" s="46"/>
      <c r="C1" s="47"/>
      <c r="D1" s="47"/>
      <c r="E1" s="47"/>
      <c r="F1" s="47"/>
      <c r="G1" s="47"/>
      <c r="H1" s="47"/>
      <c r="I1" s="47"/>
      <c r="J1" s="48" t="s">
        <v>9</v>
      </c>
    </row>
    <row r="2" spans="1:10" x14ac:dyDescent="0.2">
      <c r="A2" s="46"/>
      <c r="B2" s="46"/>
      <c r="C2" s="47"/>
      <c r="D2" s="47"/>
      <c r="E2" s="47"/>
      <c r="F2" s="47"/>
      <c r="G2" s="47"/>
      <c r="H2" s="47"/>
      <c r="I2" s="47"/>
      <c r="J2" s="48" t="s">
        <v>9</v>
      </c>
    </row>
    <row r="3" spans="1:10" x14ac:dyDescent="0.2">
      <c r="A3" s="46"/>
      <c r="B3" s="46"/>
      <c r="C3" s="47"/>
      <c r="D3" s="47"/>
      <c r="E3" s="47"/>
      <c r="F3" s="47"/>
      <c r="G3" s="47"/>
      <c r="H3" s="47"/>
      <c r="I3" s="47"/>
      <c r="J3" s="48"/>
    </row>
    <row r="4" spans="1:10" x14ac:dyDescent="0.2">
      <c r="A4" s="46"/>
      <c r="B4" s="46"/>
      <c r="C4" s="47"/>
      <c r="D4" s="47"/>
      <c r="E4" s="47"/>
      <c r="F4" s="47"/>
      <c r="G4" s="47"/>
      <c r="H4" s="47"/>
      <c r="I4" s="47"/>
      <c r="J4" s="48"/>
    </row>
    <row r="5" spans="1:10" x14ac:dyDescent="0.2">
      <c r="J5" s="48" t="s">
        <v>9</v>
      </c>
    </row>
    <row r="6" spans="1:10" x14ac:dyDescent="0.2">
      <c r="A6" s="149"/>
      <c r="B6" s="149"/>
      <c r="C6" s="149"/>
      <c r="D6" s="149"/>
      <c r="E6" s="149"/>
      <c r="F6" s="149"/>
      <c r="G6" s="149"/>
      <c r="H6" s="149"/>
      <c r="I6" s="149"/>
      <c r="J6" s="48"/>
    </row>
    <row r="7" spans="1:10" x14ac:dyDescent="0.2">
      <c r="A7" s="46" t="str">
        <f>'CAPGDS1000000935 Input'!A7:J7</f>
        <v>Pro Forma Adjustment - Project In Service During Test Year</v>
      </c>
      <c r="B7" s="46"/>
      <c r="C7" s="47"/>
      <c r="D7" s="47"/>
      <c r="E7" s="47"/>
      <c r="F7" s="47"/>
      <c r="G7" s="47"/>
      <c r="H7" s="47"/>
      <c r="I7" s="47"/>
      <c r="J7" s="48"/>
    </row>
    <row r="8" spans="1:10" x14ac:dyDescent="0.2">
      <c r="A8" s="150" t="str">
        <f>'CAPGDS1000000935 Input'!F9</f>
        <v>Gas ERT Replacement (2025)</v>
      </c>
      <c r="B8" s="150"/>
      <c r="C8" s="150"/>
      <c r="D8" s="150"/>
      <c r="E8" s="150"/>
      <c r="F8" s="150"/>
      <c r="G8" s="150"/>
      <c r="H8" s="150"/>
      <c r="I8" s="150"/>
      <c r="J8" s="48"/>
    </row>
    <row r="9" spans="1:10" x14ac:dyDescent="0.2">
      <c r="A9" s="50"/>
      <c r="B9" s="50"/>
      <c r="C9" s="48"/>
      <c r="D9" s="48"/>
      <c r="E9" s="48"/>
      <c r="F9" s="48"/>
      <c r="G9" s="48"/>
      <c r="H9" s="48"/>
      <c r="I9" s="48"/>
      <c r="J9" s="48"/>
    </row>
    <row r="10" spans="1:10" x14ac:dyDescent="0.2">
      <c r="A10" s="50" t="s">
        <v>76</v>
      </c>
      <c r="B10" s="50"/>
      <c r="C10" s="48"/>
      <c r="D10" s="48"/>
      <c r="E10" s="48"/>
      <c r="F10" s="48"/>
      <c r="G10" s="48"/>
      <c r="H10" s="48"/>
      <c r="I10" s="48"/>
      <c r="J10" s="48" t="s">
        <v>9</v>
      </c>
    </row>
    <row r="11" spans="1:10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  <c r="J11" s="48" t="s">
        <v>9</v>
      </c>
    </row>
    <row r="13" spans="1:10" ht="12" thickBot="1" x14ac:dyDescent="0.25">
      <c r="A13" s="65" t="s">
        <v>77</v>
      </c>
      <c r="E13" s="51" t="s">
        <v>78</v>
      </c>
      <c r="F13" s="52"/>
      <c r="G13" s="52"/>
      <c r="H13" s="52"/>
      <c r="I13" s="52"/>
    </row>
    <row r="14" spans="1:10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0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0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0" x14ac:dyDescent="0.2">
      <c r="A17" s="49">
        <v>1</v>
      </c>
      <c r="C17" s="56">
        <f>'CAPGDS1000000935 Input'!B16</f>
        <v>45641</v>
      </c>
      <c r="D17" s="56"/>
      <c r="E17" s="117">
        <f>'CAPGDS1000000935 Input'!D16*'CAPGDS1000000935 Input'!$D$10*'CAPGDS1000000935 Input'!$H$10</f>
        <v>0</v>
      </c>
      <c r="F17" s="118"/>
      <c r="G17" s="117">
        <f>'CAPGDS1000000935 Input'!D31*'CAPGDS1000000935 Input'!D10*'CAPGDS1000000935 Input'!H10</f>
        <v>2149791.611238</v>
      </c>
      <c r="H17" s="118"/>
      <c r="I17" s="117">
        <f>G17-E18</f>
        <v>2149791.611238</v>
      </c>
    </row>
    <row r="18" spans="1:10" x14ac:dyDescent="0.2">
      <c r="A18" s="49">
        <f t="shared" ref="A18:A40" si="0">1+A17</f>
        <v>2</v>
      </c>
      <c r="C18" s="56">
        <f>'CAPGDS1000000935 Input'!B17</f>
        <v>45672</v>
      </c>
      <c r="D18" s="56"/>
      <c r="E18" s="78">
        <f>'CAPGDS1000000935 Input'!D17*'CAPGDS1000000935 Input'!$D$10*'CAPGDS1000000935 Input'!$H$10</f>
        <v>0</v>
      </c>
      <c r="F18" s="8"/>
      <c r="G18" s="8">
        <f t="shared" ref="G18:G29" si="1">$G$17</f>
        <v>2149791.611238</v>
      </c>
      <c r="H18" s="8"/>
      <c r="I18" s="8">
        <f t="shared" ref="I18" si="2">G18-E18</f>
        <v>2149791.611238</v>
      </c>
    </row>
    <row r="19" spans="1:10" x14ac:dyDescent="0.2">
      <c r="A19" s="49">
        <f t="shared" si="0"/>
        <v>3</v>
      </c>
      <c r="C19" s="56">
        <f>'CAPGDS1000000935 Input'!B18</f>
        <v>45702</v>
      </c>
      <c r="D19" s="56"/>
      <c r="E19" s="78">
        <f>'CAPGDS1000000935 Input'!D18*'CAPGDS1000000935 Input'!$D$10*'CAPGDS1000000935 Input'!$H$10</f>
        <v>0</v>
      </c>
      <c r="F19" s="8"/>
      <c r="G19" s="8">
        <f t="shared" si="1"/>
        <v>2149791.611238</v>
      </c>
      <c r="H19" s="8"/>
      <c r="I19" s="8">
        <f t="shared" ref="I19:I29" si="3">G19-E19</f>
        <v>2149791.611238</v>
      </c>
      <c r="J19" s="57"/>
    </row>
    <row r="20" spans="1:10" x14ac:dyDescent="0.2">
      <c r="A20" s="49">
        <f t="shared" si="0"/>
        <v>4</v>
      </c>
      <c r="C20" s="56">
        <f>'CAPGDS1000000935 Input'!B19</f>
        <v>45732</v>
      </c>
      <c r="D20" s="56"/>
      <c r="E20" s="78">
        <f>'CAPGDS1000000935 Input'!D19*'CAPGDS1000000935 Input'!$D$10*'CAPGDS1000000935 Input'!$H$10</f>
        <v>0</v>
      </c>
      <c r="F20" s="8"/>
      <c r="G20" s="8">
        <f t="shared" si="1"/>
        <v>2149791.611238</v>
      </c>
      <c r="H20" s="8"/>
      <c r="I20" s="8">
        <f t="shared" si="3"/>
        <v>2149791.611238</v>
      </c>
      <c r="J20" s="57"/>
    </row>
    <row r="21" spans="1:10" x14ac:dyDescent="0.2">
      <c r="A21" s="49">
        <f t="shared" si="0"/>
        <v>5</v>
      </c>
      <c r="C21" s="56">
        <f>'CAPGDS1000000935 Input'!B20</f>
        <v>45762</v>
      </c>
      <c r="D21" s="56"/>
      <c r="E21" s="78">
        <f>'CAPGDS1000000935 Input'!D20*'CAPGDS1000000935 Input'!$D$10*'CAPGDS1000000935 Input'!$H$10</f>
        <v>0</v>
      </c>
      <c r="F21" s="8"/>
      <c r="G21" s="8">
        <f t="shared" si="1"/>
        <v>2149791.611238</v>
      </c>
      <c r="H21" s="8"/>
      <c r="I21" s="8">
        <f t="shared" si="3"/>
        <v>2149791.611238</v>
      </c>
      <c r="J21" s="57"/>
    </row>
    <row r="22" spans="1:10" x14ac:dyDescent="0.2">
      <c r="A22" s="49">
        <f t="shared" si="0"/>
        <v>6</v>
      </c>
      <c r="C22" s="56">
        <f>'CAPGDS1000000935 Input'!B21</f>
        <v>45792</v>
      </c>
      <c r="D22" s="56"/>
      <c r="E22" s="78">
        <f>'CAPGDS1000000935 Input'!D21*'CAPGDS1000000935 Input'!$D$10*'CAPGDS1000000935 Input'!$H$10</f>
        <v>0</v>
      </c>
      <c r="F22" s="8"/>
      <c r="G22" s="8">
        <f t="shared" si="1"/>
        <v>2149791.611238</v>
      </c>
      <c r="H22" s="8"/>
      <c r="I22" s="8">
        <f t="shared" si="3"/>
        <v>2149791.611238</v>
      </c>
      <c r="J22" s="57"/>
    </row>
    <row r="23" spans="1:10" x14ac:dyDescent="0.2">
      <c r="A23" s="49">
        <f t="shared" si="0"/>
        <v>7</v>
      </c>
      <c r="C23" s="56">
        <f>'CAPGDS1000000935 Input'!B22</f>
        <v>45822</v>
      </c>
      <c r="D23" s="56"/>
      <c r="E23" s="78">
        <f>'CAPGDS1000000935 Input'!D22*'CAPGDS1000000935 Input'!$D$10*'CAPGDS1000000935 Input'!$H$10</f>
        <v>0</v>
      </c>
      <c r="F23" s="8"/>
      <c r="G23" s="8">
        <f t="shared" si="1"/>
        <v>2149791.611238</v>
      </c>
      <c r="H23" s="8"/>
      <c r="I23" s="8">
        <f t="shared" si="3"/>
        <v>2149791.611238</v>
      </c>
      <c r="J23" s="57"/>
    </row>
    <row r="24" spans="1:10" x14ac:dyDescent="0.2">
      <c r="A24" s="49">
        <f t="shared" si="0"/>
        <v>8</v>
      </c>
      <c r="C24" s="56">
        <f>'CAPGDS1000000935 Input'!B23</f>
        <v>45852</v>
      </c>
      <c r="D24" s="56"/>
      <c r="E24" s="78">
        <f>'CAPGDS1000000935 Input'!D23*'CAPGDS1000000935 Input'!$D$10*'CAPGDS1000000935 Input'!$H$10</f>
        <v>0</v>
      </c>
      <c r="F24" s="8"/>
      <c r="G24" s="8">
        <f t="shared" si="1"/>
        <v>2149791.611238</v>
      </c>
      <c r="H24" s="8"/>
      <c r="I24" s="8">
        <f t="shared" si="3"/>
        <v>2149791.611238</v>
      </c>
      <c r="J24" s="57"/>
    </row>
    <row r="25" spans="1:10" x14ac:dyDescent="0.2">
      <c r="A25" s="49">
        <f t="shared" si="0"/>
        <v>9</v>
      </c>
      <c r="C25" s="56">
        <f>'CAPGDS1000000935 Input'!B24</f>
        <v>45882</v>
      </c>
      <c r="D25" s="56"/>
      <c r="E25" s="78">
        <f>'CAPGDS1000000935 Input'!D24*'CAPGDS1000000935 Input'!$D$10*'CAPGDS1000000935 Input'!$H$10</f>
        <v>0</v>
      </c>
      <c r="F25" s="8"/>
      <c r="G25" s="8">
        <f t="shared" si="1"/>
        <v>2149791.611238</v>
      </c>
      <c r="H25" s="8"/>
      <c r="I25" s="8">
        <f t="shared" si="3"/>
        <v>2149791.611238</v>
      </c>
      <c r="J25" s="57"/>
    </row>
    <row r="26" spans="1:10" x14ac:dyDescent="0.2">
      <c r="A26" s="49">
        <f t="shared" si="0"/>
        <v>10</v>
      </c>
      <c r="C26" s="56">
        <f>'CAPGDS1000000935 Input'!B25</f>
        <v>45912</v>
      </c>
      <c r="D26" s="56"/>
      <c r="E26" s="78">
        <f>'CAPGDS1000000935 Input'!D25*'CAPGDS1000000935 Input'!$D$10*'CAPGDS1000000935 Input'!$H$10</f>
        <v>0</v>
      </c>
      <c r="F26" s="8"/>
      <c r="G26" s="8">
        <f t="shared" si="1"/>
        <v>2149791.611238</v>
      </c>
      <c r="H26" s="8"/>
      <c r="I26" s="8">
        <f t="shared" si="3"/>
        <v>2149791.611238</v>
      </c>
      <c r="J26" s="57"/>
    </row>
    <row r="27" spans="1:10" x14ac:dyDescent="0.2">
      <c r="A27" s="49">
        <f t="shared" si="0"/>
        <v>11</v>
      </c>
      <c r="C27" s="56">
        <f>'CAPGDS1000000935 Input'!B26</f>
        <v>45942</v>
      </c>
      <c r="D27" s="56"/>
      <c r="E27" s="78">
        <f>'CAPGDS1000000935 Input'!D26*'CAPGDS1000000935 Input'!$D$10*'CAPGDS1000000935 Input'!$H$10</f>
        <v>0</v>
      </c>
      <c r="F27" s="8"/>
      <c r="G27" s="8">
        <f t="shared" si="1"/>
        <v>2149791.611238</v>
      </c>
      <c r="H27" s="8"/>
      <c r="I27" s="8">
        <f t="shared" si="3"/>
        <v>2149791.611238</v>
      </c>
      <c r="J27" s="57"/>
    </row>
    <row r="28" spans="1:10" x14ac:dyDescent="0.2">
      <c r="A28" s="49">
        <f t="shared" si="0"/>
        <v>12</v>
      </c>
      <c r="C28" s="56">
        <f>'CAPGDS1000000935 Input'!B27</f>
        <v>45972</v>
      </c>
      <c r="D28" s="56"/>
      <c r="E28" s="78">
        <f>'CAPGDS1000000935 Input'!D27*'CAPGDS1000000935 Input'!$D$10*'CAPGDS1000000935 Input'!$H$10</f>
        <v>0</v>
      </c>
      <c r="F28" s="8"/>
      <c r="G28" s="8">
        <f t="shared" si="1"/>
        <v>2149791.611238</v>
      </c>
      <c r="H28" s="8"/>
      <c r="I28" s="8">
        <f t="shared" si="3"/>
        <v>2149791.611238</v>
      </c>
      <c r="J28" s="57"/>
    </row>
    <row r="29" spans="1:10" x14ac:dyDescent="0.2">
      <c r="A29" s="49">
        <f t="shared" si="0"/>
        <v>13</v>
      </c>
      <c r="C29" s="56">
        <f>'CAPGDS1000000935 Input'!B28</f>
        <v>46002</v>
      </c>
      <c r="D29" s="56"/>
      <c r="E29" s="130">
        <f>'CAPGDS1000000935 Input'!D28*'CAPGDS1000000935 Input'!$D$10*'CAPGDS1000000935 Input'!$H$10</f>
        <v>2129672.722689</v>
      </c>
      <c r="F29" s="8"/>
      <c r="G29" s="131">
        <f t="shared" si="1"/>
        <v>2149791.611238</v>
      </c>
      <c r="H29" s="8"/>
      <c r="I29" s="131">
        <f t="shared" si="3"/>
        <v>20118.888549000025</v>
      </c>
      <c r="J29" s="57"/>
    </row>
    <row r="30" spans="1:10" x14ac:dyDescent="0.2">
      <c r="A30" s="49">
        <f t="shared" si="0"/>
        <v>14</v>
      </c>
      <c r="C30" s="58" t="s">
        <v>46</v>
      </c>
      <c r="D30" s="58"/>
      <c r="E30" s="118">
        <f>SUM(E18:E29)</f>
        <v>2129672.722689</v>
      </c>
      <c r="F30" s="118"/>
      <c r="G30" s="118">
        <f>SUM(G17:G29)</f>
        <v>27947290.946093991</v>
      </c>
      <c r="H30" s="118"/>
      <c r="I30" s="118">
        <f>SUM(I17:I29)</f>
        <v>25817618.223404992</v>
      </c>
      <c r="J30" s="57"/>
    </row>
    <row r="31" spans="1:10" x14ac:dyDescent="0.2">
      <c r="A31" s="49">
        <f t="shared" si="0"/>
        <v>15</v>
      </c>
      <c r="E31" s="118"/>
      <c r="F31" s="118"/>
      <c r="G31" s="118"/>
      <c r="H31" s="118"/>
      <c r="I31" s="118"/>
      <c r="J31" s="57"/>
    </row>
    <row r="32" spans="1:10" ht="12" thickBot="1" x14ac:dyDescent="0.25">
      <c r="A32" s="49">
        <f t="shared" si="0"/>
        <v>16</v>
      </c>
      <c r="C32" s="60" t="s">
        <v>116</v>
      </c>
      <c r="D32" s="60"/>
      <c r="E32" s="121">
        <f>ROUND(+E30/13,2)</f>
        <v>163820.98000000001</v>
      </c>
      <c r="F32" s="118"/>
      <c r="G32" s="121">
        <f>ROUND(+G30/13,2)</f>
        <v>2149791.61</v>
      </c>
      <c r="H32" s="118"/>
      <c r="I32" s="121">
        <f>ROUND(+I30/13,2)</f>
        <v>1985970.63</v>
      </c>
      <c r="J32" s="59"/>
    </row>
    <row r="33" spans="1:10" ht="12" thickTop="1" x14ac:dyDescent="0.2">
      <c r="A33" s="49">
        <f t="shared" si="0"/>
        <v>17</v>
      </c>
      <c r="E33" s="118"/>
      <c r="F33" s="118"/>
      <c r="G33" s="118"/>
      <c r="H33" s="118"/>
      <c r="I33" s="118"/>
      <c r="J33" s="57"/>
    </row>
    <row r="34" spans="1:10" x14ac:dyDescent="0.2">
      <c r="A34" s="49">
        <f t="shared" si="0"/>
        <v>18</v>
      </c>
      <c r="E34" s="122" t="s">
        <v>9</v>
      </c>
      <c r="F34" s="122"/>
      <c r="G34" s="122" t="s">
        <v>9</v>
      </c>
      <c r="H34" s="122"/>
      <c r="I34" s="122" t="s">
        <v>9</v>
      </c>
      <c r="J34" s="57"/>
    </row>
    <row r="35" spans="1:10" ht="12" thickBot="1" x14ac:dyDescent="0.25">
      <c r="A35" s="49">
        <f t="shared" si="0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1985970.63</v>
      </c>
      <c r="J35" s="57"/>
    </row>
    <row r="36" spans="1:10" ht="12" thickTop="1" x14ac:dyDescent="0.2">
      <c r="A36" s="49">
        <f t="shared" si="0"/>
        <v>20</v>
      </c>
      <c r="J36" s="57"/>
    </row>
    <row r="37" spans="1:10" x14ac:dyDescent="0.2">
      <c r="A37" s="49">
        <f t="shared" si="0"/>
        <v>21</v>
      </c>
      <c r="J37" s="57"/>
    </row>
    <row r="38" spans="1:10" x14ac:dyDescent="0.2">
      <c r="A38" s="49">
        <f t="shared" si="0"/>
        <v>22</v>
      </c>
      <c r="J38" s="57"/>
    </row>
    <row r="39" spans="1:10" x14ac:dyDescent="0.2">
      <c r="A39" s="49">
        <f t="shared" si="0"/>
        <v>23</v>
      </c>
      <c r="J39" s="57"/>
    </row>
    <row r="40" spans="1:10" x14ac:dyDescent="0.2">
      <c r="A40" s="49">
        <f t="shared" si="0"/>
        <v>24</v>
      </c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53" spans="10:10" x14ac:dyDescent="0.2">
      <c r="J53" s="57"/>
    </row>
    <row r="54" spans="10:10" x14ac:dyDescent="0.2">
      <c r="J54" s="57"/>
    </row>
    <row r="70" spans="10:10" x14ac:dyDescent="0.2">
      <c r="J70" s="48"/>
    </row>
    <row r="71" spans="10:10" x14ac:dyDescent="0.2">
      <c r="J71" s="48"/>
    </row>
    <row r="72" spans="10:10" x14ac:dyDescent="0.2">
      <c r="J72" s="48"/>
    </row>
    <row r="73" spans="10:10" x14ac:dyDescent="0.2">
      <c r="J73" s="48"/>
    </row>
    <row r="74" spans="10:10" x14ac:dyDescent="0.2">
      <c r="J74" s="48"/>
    </row>
    <row r="82" spans="10:10" x14ac:dyDescent="0.2">
      <c r="J82" s="59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57"/>
    </row>
    <row r="94" spans="10:10" x14ac:dyDescent="0.2">
      <c r="J94" s="57"/>
    </row>
    <row r="95" spans="10:10" x14ac:dyDescent="0.2">
      <c r="J95" s="59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6" spans="10:10" x14ac:dyDescent="0.2">
      <c r="J106" s="57"/>
    </row>
    <row r="107" spans="10:10" x14ac:dyDescent="0.2">
      <c r="J107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18" spans="10:10" x14ac:dyDescent="0.2">
      <c r="J118" s="57"/>
    </row>
    <row r="119" spans="10:10" x14ac:dyDescent="0.2">
      <c r="J119" s="57"/>
    </row>
    <row r="135" spans="10:10" x14ac:dyDescent="0.2">
      <c r="J135" s="48"/>
    </row>
    <row r="136" spans="10:10" x14ac:dyDescent="0.2">
      <c r="J136" s="48"/>
    </row>
    <row r="137" spans="10:10" x14ac:dyDescent="0.2">
      <c r="J137" s="48"/>
    </row>
    <row r="138" spans="10:10" x14ac:dyDescent="0.2">
      <c r="J138" s="48"/>
    </row>
    <row r="139" spans="10:10" x14ac:dyDescent="0.2">
      <c r="J139" s="48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57"/>
    </row>
    <row r="160" spans="10:10" x14ac:dyDescent="0.2">
      <c r="J160" s="57"/>
    </row>
    <row r="161" spans="10:10" x14ac:dyDescent="0.2">
      <c r="J161" s="59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7" spans="10:10" x14ac:dyDescent="0.2">
      <c r="J167" s="57"/>
    </row>
    <row r="168" spans="10:10" x14ac:dyDescent="0.2">
      <c r="J168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3" spans="10:10" x14ac:dyDescent="0.2">
      <c r="J173" s="57"/>
    </row>
    <row r="174" spans="10:10" x14ac:dyDescent="0.2">
      <c r="J174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183" spans="10:10" x14ac:dyDescent="0.2">
      <c r="J183" s="57"/>
    </row>
    <row r="184" spans="10:10" x14ac:dyDescent="0.2">
      <c r="J184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57"/>
    </row>
    <row r="225" spans="10:10" x14ac:dyDescent="0.2">
      <c r="J225" s="57"/>
    </row>
    <row r="226" spans="10:10" x14ac:dyDescent="0.2">
      <c r="J226" s="59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52" spans="10:10" x14ac:dyDescent="0.2">
      <c r="J252" s="57"/>
    </row>
    <row r="253" spans="10:10" x14ac:dyDescent="0.2">
      <c r="J253" s="57"/>
    </row>
    <row r="277" spans="3:10" x14ac:dyDescent="0.2">
      <c r="C277" s="56"/>
      <c r="D277" s="56"/>
      <c r="E277" s="59"/>
      <c r="F277" s="59"/>
      <c r="G277" s="59"/>
      <c r="H277" s="59"/>
      <c r="I277" s="59"/>
    </row>
    <row r="278" spans="3:10" x14ac:dyDescent="0.2">
      <c r="C278" s="56"/>
      <c r="D278" s="56"/>
      <c r="E278" s="57"/>
      <c r="F278" s="57"/>
      <c r="G278" s="57"/>
      <c r="H278" s="57"/>
      <c r="I278" s="57"/>
      <c r="J278" s="57"/>
    </row>
    <row r="279" spans="3:10" x14ac:dyDescent="0.2">
      <c r="C279" s="56"/>
      <c r="D279" s="56"/>
      <c r="E279" s="57"/>
      <c r="F279" s="57"/>
      <c r="G279" s="57"/>
      <c r="H279" s="57"/>
      <c r="I279" s="57"/>
      <c r="J279" s="57"/>
    </row>
    <row r="280" spans="3:10" x14ac:dyDescent="0.2">
      <c r="C280" s="56"/>
      <c r="D280" s="56"/>
      <c r="E280" s="57"/>
      <c r="F280" s="57"/>
      <c r="G280" s="57"/>
      <c r="H280" s="57"/>
      <c r="I280" s="57"/>
      <c r="J280" s="57"/>
    </row>
    <row r="281" spans="3:10" x14ac:dyDescent="0.2">
      <c r="C281" s="56"/>
      <c r="D281" s="56"/>
      <c r="E281" s="57"/>
      <c r="F281" s="57"/>
      <c r="G281" s="57"/>
      <c r="H281" s="57"/>
      <c r="I281" s="57"/>
      <c r="J281" s="57"/>
    </row>
    <row r="282" spans="3:10" x14ac:dyDescent="0.2">
      <c r="C282" s="56"/>
      <c r="D282" s="56"/>
      <c r="E282" s="57"/>
      <c r="F282" s="57"/>
      <c r="G282" s="57"/>
      <c r="H282" s="57"/>
      <c r="I282" s="57"/>
      <c r="J282" s="57"/>
    </row>
    <row r="283" spans="3:10" x14ac:dyDescent="0.2">
      <c r="C283" s="56"/>
      <c r="D283" s="56"/>
      <c r="E283" s="57"/>
      <c r="F283" s="57"/>
      <c r="G283" s="57"/>
      <c r="H283" s="57"/>
      <c r="I283" s="57"/>
      <c r="J283" s="57"/>
    </row>
    <row r="284" spans="3:10" x14ac:dyDescent="0.2">
      <c r="C284" s="56"/>
      <c r="D284" s="56"/>
      <c r="E284" s="57"/>
      <c r="F284" s="57"/>
      <c r="G284" s="57"/>
      <c r="H284" s="57"/>
      <c r="I284" s="57"/>
      <c r="J284" s="57"/>
    </row>
    <row r="285" spans="3:10" x14ac:dyDescent="0.2">
      <c r="C285" s="56"/>
      <c r="D285" s="56"/>
      <c r="E285" s="57"/>
      <c r="F285" s="57"/>
      <c r="G285" s="57"/>
      <c r="H285" s="57"/>
      <c r="I285" s="57"/>
      <c r="J285" s="57"/>
    </row>
    <row r="286" spans="3:10" x14ac:dyDescent="0.2">
      <c r="C286" s="56"/>
      <c r="D286" s="56"/>
      <c r="E286" s="57"/>
      <c r="F286" s="57"/>
      <c r="G286" s="57"/>
      <c r="H286" s="57"/>
      <c r="I286" s="57"/>
      <c r="J286" s="57"/>
    </row>
    <row r="287" spans="3:10" x14ac:dyDescent="0.2">
      <c r="C287" s="56"/>
      <c r="D287" s="56"/>
      <c r="E287" s="57"/>
      <c r="F287" s="57"/>
      <c r="G287" s="57"/>
      <c r="H287" s="57"/>
      <c r="I287" s="57"/>
      <c r="J287" s="57"/>
    </row>
    <row r="288" spans="3:10" x14ac:dyDescent="0.2">
      <c r="C288" s="56"/>
      <c r="D288" s="56"/>
      <c r="E288" s="57"/>
      <c r="F288" s="57"/>
      <c r="G288" s="57"/>
      <c r="H288" s="57"/>
      <c r="I288" s="57"/>
      <c r="J288" s="57"/>
    </row>
    <row r="289" spans="3:10" x14ac:dyDescent="0.2">
      <c r="C289" s="56"/>
      <c r="D289" s="56"/>
      <c r="E289" s="57"/>
      <c r="F289" s="57"/>
      <c r="G289" s="57"/>
      <c r="H289" s="57"/>
      <c r="I289" s="57"/>
      <c r="J289" s="57"/>
    </row>
    <row r="290" spans="3:10" x14ac:dyDescent="0.2">
      <c r="C290" s="56"/>
      <c r="D290" s="56"/>
      <c r="E290" s="57"/>
      <c r="F290" s="57"/>
      <c r="G290" s="57"/>
      <c r="H290" s="57"/>
      <c r="I290" s="57"/>
      <c r="J290" s="57"/>
    </row>
    <row r="291" spans="3:10" x14ac:dyDescent="0.2">
      <c r="E291" s="59"/>
      <c r="F291" s="59"/>
      <c r="G291" s="59"/>
      <c r="H291" s="59"/>
      <c r="I291" s="59"/>
      <c r="J291" s="59"/>
    </row>
    <row r="292" spans="3:10" x14ac:dyDescent="0.2">
      <c r="E292" s="57"/>
      <c r="F292" s="57"/>
      <c r="G292" s="57"/>
      <c r="H292" s="57"/>
      <c r="I292" s="57"/>
      <c r="J292" s="57"/>
    </row>
    <row r="293" spans="3:10" x14ac:dyDescent="0.2">
      <c r="E293" s="57"/>
      <c r="F293" s="57"/>
      <c r="G293" s="57"/>
      <c r="H293" s="57"/>
      <c r="I293" s="57"/>
      <c r="J293" s="57"/>
    </row>
    <row r="294" spans="3:10" x14ac:dyDescent="0.2">
      <c r="E294" s="59"/>
      <c r="F294" s="59"/>
      <c r="G294" s="59"/>
      <c r="H294" s="59"/>
      <c r="I294" s="59"/>
      <c r="J294" s="57"/>
    </row>
    <row r="295" spans="3:10" x14ac:dyDescent="0.2">
      <c r="E295" s="57"/>
      <c r="F295" s="57"/>
      <c r="G295" s="57"/>
      <c r="H295" s="57"/>
      <c r="I295" s="57"/>
      <c r="J295" s="57"/>
    </row>
    <row r="296" spans="3:10" x14ac:dyDescent="0.2">
      <c r="E296" s="57"/>
      <c r="F296" s="57"/>
      <c r="G296" s="57"/>
      <c r="H296" s="57"/>
      <c r="I296" s="57"/>
      <c r="J296" s="57"/>
    </row>
    <row r="297" spans="3:10" x14ac:dyDescent="0.2">
      <c r="E297" s="57"/>
      <c r="F297" s="57"/>
      <c r="G297" s="57"/>
      <c r="H297" s="57"/>
      <c r="I297" s="57"/>
      <c r="J297" s="57"/>
    </row>
    <row r="298" spans="3:10" x14ac:dyDescent="0.2">
      <c r="E298" s="57"/>
      <c r="F298" s="57"/>
      <c r="G298" s="57"/>
      <c r="H298" s="57"/>
      <c r="I298" s="57"/>
      <c r="J298" s="57"/>
    </row>
    <row r="299" spans="3:10" x14ac:dyDescent="0.2">
      <c r="E299" s="57"/>
      <c r="F299" s="57"/>
      <c r="G299" s="57"/>
      <c r="H299" s="57"/>
      <c r="I299" s="57"/>
      <c r="J299" s="57"/>
    </row>
    <row r="300" spans="3:10" x14ac:dyDescent="0.2">
      <c r="E300" s="57"/>
      <c r="F300" s="57"/>
      <c r="G300" s="57"/>
      <c r="H300" s="57"/>
      <c r="I300" s="57"/>
      <c r="J300" s="57"/>
    </row>
    <row r="301" spans="3:10" x14ac:dyDescent="0.2">
      <c r="E301" s="57"/>
      <c r="F301" s="57"/>
      <c r="G301" s="57"/>
      <c r="H301" s="57"/>
      <c r="I301" s="57"/>
      <c r="J301" s="57"/>
    </row>
    <row r="302" spans="3:10" x14ac:dyDescent="0.2">
      <c r="E302" s="57"/>
      <c r="F302" s="57"/>
      <c r="G302" s="57"/>
      <c r="H302" s="57"/>
      <c r="I302" s="57"/>
      <c r="J302" s="57"/>
    </row>
    <row r="303" spans="3:10" x14ac:dyDescent="0.2">
      <c r="E303" s="57"/>
      <c r="F303" s="57"/>
      <c r="G303" s="57"/>
      <c r="H303" s="57"/>
      <c r="I303" s="57"/>
      <c r="J303" s="57"/>
    </row>
    <row r="304" spans="3:10" x14ac:dyDescent="0.2">
      <c r="E304" s="57"/>
      <c r="F304" s="57"/>
      <c r="G304" s="57"/>
      <c r="H304" s="57"/>
      <c r="I304" s="57"/>
      <c r="J304" s="57"/>
    </row>
    <row r="305" spans="5:10" x14ac:dyDescent="0.2">
      <c r="E305" s="57"/>
      <c r="F305" s="57"/>
      <c r="G305" s="57"/>
      <c r="H305" s="57"/>
      <c r="I305" s="57"/>
      <c r="J305" s="57"/>
    </row>
    <row r="342" spans="3:10" x14ac:dyDescent="0.2">
      <c r="C342" s="56"/>
      <c r="D342" s="56"/>
      <c r="E342" s="59"/>
      <c r="F342" s="59"/>
      <c r="G342" s="59"/>
      <c r="H342" s="59"/>
      <c r="I342" s="59"/>
    </row>
    <row r="343" spans="3:10" x14ac:dyDescent="0.2">
      <c r="C343" s="56"/>
      <c r="D343" s="56"/>
      <c r="E343" s="57"/>
      <c r="F343" s="57"/>
      <c r="G343" s="57"/>
      <c r="H343" s="57"/>
      <c r="I343" s="57"/>
      <c r="J343" s="57"/>
    </row>
    <row r="344" spans="3:10" x14ac:dyDescent="0.2">
      <c r="C344" s="56"/>
      <c r="D344" s="56"/>
      <c r="E344" s="57"/>
      <c r="F344" s="57"/>
      <c r="G344" s="57"/>
      <c r="H344" s="57"/>
      <c r="I344" s="57"/>
      <c r="J344" s="57"/>
    </row>
    <row r="345" spans="3:10" x14ac:dyDescent="0.2">
      <c r="C345" s="56"/>
      <c r="D345" s="56"/>
      <c r="E345" s="57"/>
      <c r="F345" s="57"/>
      <c r="G345" s="57"/>
      <c r="H345" s="57"/>
      <c r="I345" s="57"/>
      <c r="J345" s="57"/>
    </row>
    <row r="346" spans="3:10" x14ac:dyDescent="0.2">
      <c r="C346" s="56"/>
      <c r="D346" s="56"/>
      <c r="E346" s="57"/>
      <c r="F346" s="57"/>
      <c r="G346" s="57"/>
      <c r="H346" s="57"/>
      <c r="I346" s="57"/>
      <c r="J346" s="57"/>
    </row>
    <row r="347" spans="3:10" x14ac:dyDescent="0.2">
      <c r="C347" s="56"/>
      <c r="D347" s="56"/>
      <c r="E347" s="57"/>
      <c r="F347" s="57"/>
      <c r="G347" s="57"/>
      <c r="H347" s="57"/>
      <c r="I347" s="57"/>
      <c r="J347" s="57"/>
    </row>
    <row r="348" spans="3:10" x14ac:dyDescent="0.2">
      <c r="C348" s="56"/>
      <c r="D348" s="56"/>
      <c r="E348" s="57"/>
      <c r="F348" s="57"/>
      <c r="G348" s="57"/>
      <c r="H348" s="57"/>
      <c r="I348" s="57"/>
      <c r="J348" s="57"/>
    </row>
    <row r="349" spans="3:10" x14ac:dyDescent="0.2">
      <c r="C349" s="56"/>
      <c r="D349" s="56"/>
      <c r="E349" s="57"/>
      <c r="F349" s="57"/>
      <c r="G349" s="57"/>
      <c r="H349" s="57"/>
      <c r="I349" s="57"/>
      <c r="J349" s="57"/>
    </row>
    <row r="350" spans="3:10" x14ac:dyDescent="0.2">
      <c r="C350" s="56"/>
      <c r="D350" s="56"/>
      <c r="E350" s="57"/>
      <c r="F350" s="57"/>
      <c r="G350" s="57"/>
      <c r="H350" s="57"/>
      <c r="I350" s="57"/>
      <c r="J350" s="57"/>
    </row>
    <row r="351" spans="3:10" x14ac:dyDescent="0.2">
      <c r="C351" s="56"/>
      <c r="D351" s="56"/>
      <c r="E351" s="57"/>
      <c r="F351" s="57"/>
      <c r="G351" s="57"/>
      <c r="H351" s="57"/>
      <c r="I351" s="57"/>
      <c r="J351" s="57"/>
    </row>
    <row r="352" spans="3:10" x14ac:dyDescent="0.2">
      <c r="C352" s="56"/>
      <c r="D352" s="56"/>
      <c r="E352" s="57"/>
      <c r="F352" s="57"/>
      <c r="G352" s="57"/>
      <c r="H352" s="57"/>
      <c r="I352" s="57"/>
      <c r="J352" s="57"/>
    </row>
    <row r="353" spans="3:10" x14ac:dyDescent="0.2">
      <c r="C353" s="56"/>
      <c r="D353" s="56"/>
      <c r="E353" s="57"/>
      <c r="F353" s="57"/>
      <c r="G353" s="57"/>
      <c r="H353" s="57"/>
      <c r="I353" s="57"/>
      <c r="J353" s="57"/>
    </row>
    <row r="354" spans="3:10" x14ac:dyDescent="0.2">
      <c r="C354" s="56"/>
      <c r="D354" s="56"/>
      <c r="E354" s="57"/>
      <c r="F354" s="57"/>
      <c r="G354" s="57"/>
      <c r="H354" s="57"/>
      <c r="I354" s="57"/>
      <c r="J354" s="57"/>
    </row>
    <row r="355" spans="3:10" x14ac:dyDescent="0.2">
      <c r="C355" s="56"/>
      <c r="D355" s="56"/>
      <c r="E355" s="57"/>
      <c r="F355" s="57"/>
      <c r="G355" s="57"/>
      <c r="H355" s="57"/>
      <c r="I355" s="57"/>
      <c r="J355" s="57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57"/>
      <c r="F357" s="57"/>
      <c r="G357" s="57"/>
      <c r="H357" s="57"/>
      <c r="I357" s="57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9"/>
      <c r="F359" s="59"/>
      <c r="G359" s="59"/>
      <c r="H359" s="59"/>
      <c r="I359" s="59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369" spans="5:10" x14ac:dyDescent="0.2">
      <c r="E369" s="57"/>
      <c r="F369" s="57"/>
      <c r="G369" s="57"/>
      <c r="H369" s="57"/>
      <c r="I369" s="57"/>
      <c r="J369" s="57"/>
    </row>
    <row r="370" spans="5:10" x14ac:dyDescent="0.2">
      <c r="E370" s="57"/>
      <c r="F370" s="57"/>
      <c r="G370" s="57"/>
      <c r="H370" s="57"/>
      <c r="I370" s="57"/>
      <c r="J370" s="57"/>
    </row>
    <row r="407" spans="3:10" x14ac:dyDescent="0.2">
      <c r="C407" s="56"/>
      <c r="D407" s="56"/>
      <c r="E407" s="59"/>
      <c r="F407" s="59"/>
      <c r="G407" s="59"/>
      <c r="H407" s="59"/>
      <c r="I407" s="59"/>
    </row>
    <row r="408" spans="3:10" x14ac:dyDescent="0.2">
      <c r="C408" s="56"/>
      <c r="D408" s="56"/>
      <c r="E408" s="57"/>
      <c r="F408" s="57"/>
      <c r="G408" s="57"/>
      <c r="H408" s="57"/>
      <c r="I408" s="57"/>
      <c r="J408" s="57"/>
    </row>
    <row r="409" spans="3:10" x14ac:dyDescent="0.2">
      <c r="C409" s="56"/>
      <c r="D409" s="56"/>
      <c r="E409" s="57"/>
      <c r="F409" s="57"/>
      <c r="G409" s="57"/>
      <c r="H409" s="57"/>
      <c r="I409" s="57"/>
      <c r="J409" s="57"/>
    </row>
    <row r="410" spans="3:10" x14ac:dyDescent="0.2">
      <c r="C410" s="56"/>
      <c r="D410" s="56"/>
      <c r="E410" s="57"/>
      <c r="F410" s="57"/>
      <c r="G410" s="57"/>
      <c r="H410" s="57"/>
      <c r="I410" s="57"/>
      <c r="J410" s="57"/>
    </row>
    <row r="411" spans="3:10" x14ac:dyDescent="0.2">
      <c r="C411" s="56"/>
      <c r="D411" s="56"/>
      <c r="E411" s="57"/>
      <c r="F411" s="57"/>
      <c r="G411" s="57"/>
      <c r="H411" s="57"/>
      <c r="I411" s="57"/>
      <c r="J411" s="57"/>
    </row>
    <row r="412" spans="3:10" x14ac:dyDescent="0.2">
      <c r="C412" s="56"/>
      <c r="D412" s="56"/>
      <c r="E412" s="57"/>
      <c r="F412" s="57"/>
      <c r="G412" s="57"/>
      <c r="H412" s="57"/>
      <c r="I412" s="57"/>
      <c r="J412" s="57"/>
    </row>
    <row r="413" spans="3:10" x14ac:dyDescent="0.2">
      <c r="C413" s="56"/>
      <c r="D413" s="56"/>
      <c r="E413" s="57"/>
      <c r="F413" s="57"/>
      <c r="G413" s="57"/>
      <c r="H413" s="57"/>
      <c r="I413" s="57"/>
      <c r="J413" s="57"/>
    </row>
    <row r="414" spans="3:10" x14ac:dyDescent="0.2">
      <c r="C414" s="56"/>
      <c r="D414" s="56"/>
      <c r="E414" s="57"/>
      <c r="F414" s="57"/>
      <c r="G414" s="57"/>
      <c r="H414" s="57"/>
      <c r="I414" s="57"/>
      <c r="J414" s="57"/>
    </row>
    <row r="415" spans="3:10" x14ac:dyDescent="0.2">
      <c r="C415" s="56"/>
      <c r="D415" s="56"/>
      <c r="E415" s="57"/>
      <c r="F415" s="57"/>
      <c r="G415" s="57"/>
      <c r="H415" s="57"/>
      <c r="I415" s="57"/>
      <c r="J415" s="57"/>
    </row>
    <row r="416" spans="3:10" x14ac:dyDescent="0.2">
      <c r="C416" s="56"/>
      <c r="D416" s="56"/>
      <c r="E416" s="57"/>
      <c r="F416" s="57"/>
      <c r="G416" s="57"/>
      <c r="H416" s="57"/>
      <c r="I416" s="57"/>
      <c r="J416" s="57"/>
    </row>
    <row r="417" spans="3:10" x14ac:dyDescent="0.2">
      <c r="C417" s="56"/>
      <c r="D417" s="56"/>
      <c r="E417" s="57"/>
      <c r="F417" s="57"/>
      <c r="G417" s="57"/>
      <c r="H417" s="57"/>
      <c r="I417" s="57"/>
      <c r="J417" s="57"/>
    </row>
    <row r="418" spans="3:10" x14ac:dyDescent="0.2">
      <c r="C418" s="56"/>
      <c r="D418" s="56"/>
      <c r="E418" s="57"/>
      <c r="F418" s="57"/>
      <c r="G418" s="57"/>
      <c r="H418" s="57"/>
      <c r="I418" s="57"/>
      <c r="J418" s="57"/>
    </row>
    <row r="419" spans="3:10" x14ac:dyDescent="0.2">
      <c r="C419" s="56"/>
      <c r="D419" s="56"/>
      <c r="E419" s="57"/>
      <c r="F419" s="57"/>
      <c r="G419" s="57"/>
      <c r="H419" s="57"/>
      <c r="I419" s="57"/>
      <c r="J419" s="57"/>
    </row>
    <row r="420" spans="3:10" x14ac:dyDescent="0.2">
      <c r="C420" s="56"/>
      <c r="D420" s="56"/>
      <c r="E420" s="57"/>
      <c r="F420" s="57"/>
      <c r="G420" s="57"/>
      <c r="H420" s="57"/>
      <c r="I420" s="57"/>
      <c r="J420" s="57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57"/>
      <c r="F422" s="57"/>
      <c r="G422" s="57"/>
      <c r="H422" s="57"/>
      <c r="I422" s="57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9"/>
      <c r="F424" s="59"/>
      <c r="G424" s="59"/>
      <c r="H424" s="59"/>
      <c r="I424" s="59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  <row r="434" spans="5:10" x14ac:dyDescent="0.2">
      <c r="E434" s="57"/>
      <c r="F434" s="57"/>
      <c r="G434" s="57"/>
      <c r="H434" s="57"/>
      <c r="I434" s="57"/>
      <c r="J434" s="57"/>
    </row>
    <row r="435" spans="5:10" x14ac:dyDescent="0.2">
      <c r="E435" s="57"/>
      <c r="F435" s="57"/>
      <c r="G435" s="57"/>
      <c r="H435" s="57"/>
      <c r="I435" s="57"/>
      <c r="J435" s="57"/>
    </row>
  </sheetData>
  <mergeCells count="2">
    <mergeCell ref="A6:I6"/>
    <mergeCell ref="A8:I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8"/>
  <sheetViews>
    <sheetView view="pageLayout" zoomScaleNormal="100" workbookViewId="0">
      <selection sqref="A1:I1"/>
    </sheetView>
  </sheetViews>
  <sheetFormatPr defaultColWidth="10.28515625" defaultRowHeight="11.25" x14ac:dyDescent="0.2"/>
  <cols>
    <col min="1" max="1" width="4.85546875" style="49" customWidth="1"/>
    <col min="2" max="2" width="1" style="49" customWidth="1"/>
    <col min="3" max="3" width="11.85546875" style="49" customWidth="1"/>
    <col min="4" max="4" width="1" style="49" customWidth="1"/>
    <col min="5" max="5" width="15" style="49" customWidth="1"/>
    <col min="6" max="6" width="1" style="49" customWidth="1"/>
    <col min="7" max="7" width="15" style="49" customWidth="1"/>
    <col min="8" max="8" width="1" style="49" customWidth="1"/>
    <col min="9" max="9" width="19" style="49" bestFit="1" customWidth="1"/>
    <col min="10" max="10" width="1.85546875" style="49" customWidth="1"/>
    <col min="11" max="11" width="11" style="49" customWidth="1"/>
    <col min="12" max="12" width="1.140625" style="49" customWidth="1"/>
    <col min="13" max="13" width="13.140625" style="49" customWidth="1"/>
    <col min="14" max="16384" width="10.28515625" style="49"/>
  </cols>
  <sheetData>
    <row r="1" spans="1:13" x14ac:dyDescent="0.2">
      <c r="A1" s="149"/>
      <c r="B1" s="149"/>
      <c r="C1" s="149"/>
      <c r="D1" s="149"/>
      <c r="E1" s="149"/>
      <c r="F1" s="149"/>
      <c r="G1" s="149"/>
      <c r="H1" s="149"/>
      <c r="I1" s="149"/>
      <c r="J1" s="83"/>
      <c r="K1" s="83"/>
      <c r="L1" s="83"/>
      <c r="M1" s="83"/>
    </row>
    <row r="2" spans="1:13" x14ac:dyDescent="0.2">
      <c r="A2" s="149"/>
      <c r="B2" s="149"/>
      <c r="C2" s="149"/>
      <c r="D2" s="149"/>
      <c r="E2" s="149"/>
      <c r="F2" s="149"/>
      <c r="G2" s="149"/>
      <c r="H2" s="149"/>
      <c r="I2" s="149"/>
    </row>
    <row r="3" spans="1:13" x14ac:dyDescent="0.2">
      <c r="A3" s="137"/>
      <c r="B3" s="137"/>
      <c r="C3" s="137"/>
      <c r="D3" s="137"/>
      <c r="E3" s="137"/>
      <c r="F3" s="137"/>
      <c r="G3" s="137"/>
      <c r="H3" s="137"/>
      <c r="I3" s="137"/>
    </row>
    <row r="4" spans="1:13" x14ac:dyDescent="0.2">
      <c r="A4" s="137"/>
      <c r="B4" s="137"/>
      <c r="C4" s="137"/>
      <c r="D4" s="137"/>
      <c r="E4" s="137"/>
      <c r="F4" s="137"/>
      <c r="G4" s="137"/>
      <c r="H4" s="137"/>
      <c r="I4" s="137"/>
    </row>
    <row r="6" spans="1:13" x14ac:dyDescent="0.2">
      <c r="A6" s="46"/>
      <c r="B6" s="46"/>
      <c r="C6" s="47"/>
      <c r="D6" s="47"/>
      <c r="E6" s="47"/>
      <c r="F6" s="47"/>
      <c r="G6" s="47"/>
      <c r="H6" s="47"/>
      <c r="I6" s="47"/>
    </row>
    <row r="7" spans="1:13" x14ac:dyDescent="0.2">
      <c r="A7" s="149" t="str">
        <f>'CAPGDS1000000935 Input'!A7:J7</f>
        <v>Pro Forma Adjustment - Project In Service During Test Year</v>
      </c>
      <c r="B7" s="149"/>
      <c r="C7" s="149"/>
      <c r="D7" s="149"/>
      <c r="E7" s="149"/>
      <c r="F7" s="149"/>
      <c r="G7" s="149"/>
      <c r="H7" s="149"/>
      <c r="I7" s="149"/>
    </row>
    <row r="8" spans="1:13" x14ac:dyDescent="0.2">
      <c r="A8" s="151" t="str">
        <f>'CAPGDS1000000935 Input'!F9</f>
        <v>Gas ERT Replacement (2025)</v>
      </c>
      <c r="B8" s="151"/>
      <c r="C8" s="151"/>
      <c r="D8" s="151"/>
      <c r="E8" s="151"/>
      <c r="F8" s="151"/>
      <c r="G8" s="151"/>
      <c r="H8" s="151"/>
      <c r="I8" s="151"/>
    </row>
    <row r="9" spans="1:13" x14ac:dyDescent="0.2">
      <c r="A9" s="62"/>
      <c r="B9" s="62"/>
      <c r="C9" s="62"/>
      <c r="D9" s="62"/>
      <c r="E9" s="62"/>
      <c r="F9" s="62"/>
      <c r="G9" s="62"/>
      <c r="H9" s="62"/>
      <c r="I9" s="62"/>
    </row>
    <row r="10" spans="1:13" x14ac:dyDescent="0.2">
      <c r="A10" s="50" t="str">
        <f>'CAPGDS1000000935 TotalWO'!A10</f>
        <v>PLANT IN SERVICE</v>
      </c>
      <c r="B10" s="50"/>
      <c r="C10" s="48"/>
      <c r="D10" s="48"/>
      <c r="E10" s="48"/>
      <c r="F10" s="48"/>
      <c r="G10" s="48"/>
      <c r="H10" s="48"/>
      <c r="I10" s="48"/>
    </row>
    <row r="11" spans="1:13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</row>
    <row r="13" spans="1:13" ht="12" thickBot="1" x14ac:dyDescent="0.25">
      <c r="A13" s="65" t="s">
        <v>77</v>
      </c>
      <c r="E13" s="52" t="str">
        <f>"Acct "&amp;'CAPGDS1000000935 Input'!F16</f>
        <v>Acct 2.381.00</v>
      </c>
      <c r="F13" s="52"/>
      <c r="G13" s="52"/>
      <c r="H13" s="52"/>
      <c r="I13" s="52"/>
    </row>
    <row r="14" spans="1:13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3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3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2" x14ac:dyDescent="0.2">
      <c r="A17" s="49">
        <v>1</v>
      </c>
      <c r="C17" s="56">
        <f>'CAPGDS1000000935 TotalWO'!C17</f>
        <v>45641</v>
      </c>
      <c r="D17" s="56"/>
      <c r="E17" s="117">
        <f>'CAPGDS1000000935 TotalWO'!E17*'CAPGDS1000000935 Input'!$H$16</f>
        <v>0</v>
      </c>
      <c r="F17" s="123"/>
      <c r="G17" s="117">
        <f>'CAPGDS1000000935 TotalWO'!G22*'CAPGDS1000000935 Input'!$H$16</f>
        <v>2149791.611238</v>
      </c>
      <c r="H17" s="118"/>
      <c r="I17" s="117">
        <f t="shared" ref="I17:I29" si="0">G17-E17</f>
        <v>2149791.611238</v>
      </c>
    </row>
    <row r="18" spans="1:12" x14ac:dyDescent="0.2">
      <c r="A18" s="49">
        <f t="shared" ref="A18:A40" si="1">1+A17</f>
        <v>2</v>
      </c>
      <c r="C18" s="56">
        <f>'CAPGDS1000000935 TotalWO'!C18</f>
        <v>45672</v>
      </c>
      <c r="D18" s="56"/>
      <c r="E18" s="119">
        <f>'CAPGDS1000000935 TotalWO'!E18*'CAPGDS1000000935 Input'!$H$16</f>
        <v>0</v>
      </c>
      <c r="F18" s="123"/>
      <c r="G18" s="119">
        <f>'CAPGDS1000000935 TotalWO'!G17*'CAPGDS1000000935 Input'!$H$16</f>
        <v>2149791.611238</v>
      </c>
      <c r="H18" s="118"/>
      <c r="I18" s="119">
        <f t="shared" si="0"/>
        <v>2149791.611238</v>
      </c>
      <c r="K18" s="78"/>
      <c r="L18" s="78"/>
    </row>
    <row r="19" spans="1:12" x14ac:dyDescent="0.2">
      <c r="A19" s="49">
        <f t="shared" si="1"/>
        <v>3</v>
      </c>
      <c r="C19" s="56">
        <f t="shared" ref="C19:C29" si="2">C18+31</f>
        <v>45703</v>
      </c>
      <c r="D19" s="56"/>
      <c r="E19" s="124">
        <f>'CAPGDS1000000935 TotalWO'!E19*'CAPGDS1000000935 Input'!$H$16</f>
        <v>0</v>
      </c>
      <c r="F19" s="123"/>
      <c r="G19" s="123">
        <f>'CAPGDS1000000935 TotalWO'!G19*'CAPGDS1000000935 Input'!$H$16</f>
        <v>2149791.611238</v>
      </c>
      <c r="H19" s="118"/>
      <c r="I19" s="118">
        <f t="shared" si="0"/>
        <v>2149791.611238</v>
      </c>
    </row>
    <row r="20" spans="1:12" x14ac:dyDescent="0.2">
      <c r="A20" s="49">
        <f t="shared" si="1"/>
        <v>4</v>
      </c>
      <c r="C20" s="56">
        <f t="shared" si="2"/>
        <v>45734</v>
      </c>
      <c r="D20" s="56"/>
      <c r="E20" s="124">
        <f>'CAPGDS1000000935 TotalWO'!E20*'CAPGDS1000000935 Input'!$H$16</f>
        <v>0</v>
      </c>
      <c r="F20" s="123"/>
      <c r="G20" s="123">
        <f>'CAPGDS1000000935 TotalWO'!G20*'CAPGDS1000000935 Input'!$H$16</f>
        <v>2149791.611238</v>
      </c>
      <c r="H20" s="118"/>
      <c r="I20" s="118">
        <f t="shared" si="0"/>
        <v>2149791.611238</v>
      </c>
    </row>
    <row r="21" spans="1:12" x14ac:dyDescent="0.2">
      <c r="A21" s="49">
        <f t="shared" si="1"/>
        <v>5</v>
      </c>
      <c r="C21" s="56">
        <f t="shared" si="2"/>
        <v>45765</v>
      </c>
      <c r="D21" s="56"/>
      <c r="E21" s="124">
        <f>'CAPGDS1000000935 TotalWO'!E21*'CAPGDS1000000935 Input'!$H$16</f>
        <v>0</v>
      </c>
      <c r="F21" s="123"/>
      <c r="G21" s="123">
        <f>'CAPGDS1000000935 TotalWO'!G21*'CAPGDS1000000935 Input'!$H$16</f>
        <v>2149791.611238</v>
      </c>
      <c r="H21" s="118"/>
      <c r="I21" s="118">
        <f t="shared" si="0"/>
        <v>2149791.611238</v>
      </c>
    </row>
    <row r="22" spans="1:12" x14ac:dyDescent="0.2">
      <c r="A22" s="49">
        <f t="shared" si="1"/>
        <v>6</v>
      </c>
      <c r="C22" s="56">
        <f t="shared" si="2"/>
        <v>45796</v>
      </c>
      <c r="D22" s="56"/>
      <c r="E22" s="124">
        <f>'CAPGDS1000000935 TotalWO'!E22*'CAPGDS1000000935 Input'!$H$16</f>
        <v>0</v>
      </c>
      <c r="F22" s="123"/>
      <c r="G22" s="123">
        <f>'CAPGDS1000000935 TotalWO'!G22*'CAPGDS1000000935 Input'!$H$16</f>
        <v>2149791.611238</v>
      </c>
      <c r="H22" s="118"/>
      <c r="I22" s="118">
        <f t="shared" si="0"/>
        <v>2149791.611238</v>
      </c>
    </row>
    <row r="23" spans="1:12" x14ac:dyDescent="0.2">
      <c r="A23" s="49">
        <f t="shared" si="1"/>
        <v>7</v>
      </c>
      <c r="C23" s="56">
        <f t="shared" si="2"/>
        <v>45827</v>
      </c>
      <c r="D23" s="56"/>
      <c r="E23" s="124">
        <f>'CAPGDS1000000935 TotalWO'!E23*'CAPGDS1000000935 Input'!$H$16</f>
        <v>0</v>
      </c>
      <c r="F23" s="123"/>
      <c r="G23" s="123">
        <f>'CAPGDS1000000935 TotalWO'!G23*'CAPGDS1000000935 Input'!$H$16</f>
        <v>2149791.611238</v>
      </c>
      <c r="H23" s="118"/>
      <c r="I23" s="118">
        <f t="shared" si="0"/>
        <v>2149791.611238</v>
      </c>
    </row>
    <row r="24" spans="1:12" x14ac:dyDescent="0.2">
      <c r="A24" s="49">
        <f t="shared" si="1"/>
        <v>8</v>
      </c>
      <c r="C24" s="56">
        <f t="shared" si="2"/>
        <v>45858</v>
      </c>
      <c r="D24" s="56"/>
      <c r="E24" s="124">
        <f>'CAPGDS1000000935 TotalWO'!E24*'CAPGDS1000000935 Input'!$H$16</f>
        <v>0</v>
      </c>
      <c r="F24" s="123"/>
      <c r="G24" s="123">
        <f>'CAPGDS1000000935 TotalWO'!G24*'CAPGDS1000000935 Input'!$H$16</f>
        <v>2149791.611238</v>
      </c>
      <c r="H24" s="118"/>
      <c r="I24" s="118">
        <f t="shared" si="0"/>
        <v>2149791.611238</v>
      </c>
    </row>
    <row r="25" spans="1:12" x14ac:dyDescent="0.2">
      <c r="A25" s="49">
        <f t="shared" si="1"/>
        <v>9</v>
      </c>
      <c r="C25" s="56">
        <f t="shared" si="2"/>
        <v>45889</v>
      </c>
      <c r="D25" s="56"/>
      <c r="E25" s="124">
        <f>'CAPGDS1000000935 TotalWO'!E25*'CAPGDS1000000935 Input'!$H$16</f>
        <v>0</v>
      </c>
      <c r="F25" s="123"/>
      <c r="G25" s="123">
        <f>'CAPGDS1000000935 TotalWO'!G25*'CAPGDS1000000935 Input'!$H$16</f>
        <v>2149791.611238</v>
      </c>
      <c r="H25" s="118"/>
      <c r="I25" s="118">
        <f t="shared" si="0"/>
        <v>2149791.611238</v>
      </c>
    </row>
    <row r="26" spans="1:12" x14ac:dyDescent="0.2">
      <c r="A26" s="49">
        <f t="shared" si="1"/>
        <v>10</v>
      </c>
      <c r="C26" s="56">
        <f t="shared" si="2"/>
        <v>45920</v>
      </c>
      <c r="D26" s="56"/>
      <c r="E26" s="124">
        <f>'CAPGDS1000000935 TotalWO'!E26*'CAPGDS1000000935 Input'!$H$16</f>
        <v>0</v>
      </c>
      <c r="F26" s="123"/>
      <c r="G26" s="123">
        <f>'CAPGDS1000000935 TotalWO'!G26*'CAPGDS1000000935 Input'!$H$16</f>
        <v>2149791.611238</v>
      </c>
      <c r="H26" s="118"/>
      <c r="I26" s="118">
        <f t="shared" si="0"/>
        <v>2149791.611238</v>
      </c>
    </row>
    <row r="27" spans="1:12" x14ac:dyDescent="0.2">
      <c r="A27" s="49">
        <f t="shared" si="1"/>
        <v>11</v>
      </c>
      <c r="C27" s="56">
        <f t="shared" si="2"/>
        <v>45951</v>
      </c>
      <c r="D27" s="56"/>
      <c r="E27" s="124">
        <f>'CAPGDS1000000935 TotalWO'!E27*'CAPGDS1000000935 Input'!$H$16</f>
        <v>0</v>
      </c>
      <c r="F27" s="123"/>
      <c r="G27" s="123">
        <f>'CAPGDS1000000935 TotalWO'!G27*'CAPGDS1000000935 Input'!$H$16</f>
        <v>2149791.611238</v>
      </c>
      <c r="H27" s="118"/>
      <c r="I27" s="118">
        <f t="shared" si="0"/>
        <v>2149791.611238</v>
      </c>
    </row>
    <row r="28" spans="1:12" x14ac:dyDescent="0.2">
      <c r="A28" s="49">
        <f t="shared" si="1"/>
        <v>12</v>
      </c>
      <c r="C28" s="56">
        <f t="shared" si="2"/>
        <v>45982</v>
      </c>
      <c r="D28" s="56"/>
      <c r="E28" s="124">
        <f>'CAPGDS1000000935 TotalWO'!E28*'CAPGDS1000000935 Input'!$H$16</f>
        <v>0</v>
      </c>
      <c r="F28" s="123"/>
      <c r="G28" s="123">
        <f>'CAPGDS1000000935 TotalWO'!G28*'CAPGDS1000000935 Input'!$H$16</f>
        <v>2149791.611238</v>
      </c>
      <c r="H28" s="118"/>
      <c r="I28" s="118">
        <f t="shared" si="0"/>
        <v>2149791.611238</v>
      </c>
    </row>
    <row r="29" spans="1:12" x14ac:dyDescent="0.2">
      <c r="A29" s="49">
        <f t="shared" si="1"/>
        <v>13</v>
      </c>
      <c r="C29" s="56">
        <f t="shared" si="2"/>
        <v>46013</v>
      </c>
      <c r="D29" s="56"/>
      <c r="E29" s="125">
        <f>'CAPGDS1000000935 TotalWO'!E29*'CAPGDS1000000935 Input'!$H$16</f>
        <v>2129672.722689</v>
      </c>
      <c r="F29" s="123"/>
      <c r="G29" s="126">
        <f>'CAPGDS1000000935 TotalWO'!G29*'CAPGDS1000000935 Input'!$H$16</f>
        <v>2149791.611238</v>
      </c>
      <c r="H29" s="118"/>
      <c r="I29" s="120">
        <f t="shared" si="0"/>
        <v>20118.888549000025</v>
      </c>
    </row>
    <row r="30" spans="1:12" x14ac:dyDescent="0.2">
      <c r="A30" s="49">
        <f t="shared" si="1"/>
        <v>14</v>
      </c>
      <c r="C30" s="58" t="s">
        <v>46</v>
      </c>
      <c r="D30" s="58"/>
      <c r="E30" s="118">
        <f>SUM(E17:E29)</f>
        <v>2129672.722689</v>
      </c>
      <c r="F30" s="118"/>
      <c r="G30" s="118">
        <f>SUM(G17:G29)</f>
        <v>27947290.946093991</v>
      </c>
      <c r="H30" s="118"/>
      <c r="I30" s="118">
        <f>SUM(I17:I29)</f>
        <v>25817618.223404992</v>
      </c>
    </row>
    <row r="31" spans="1:12" x14ac:dyDescent="0.2">
      <c r="A31" s="49">
        <f t="shared" si="1"/>
        <v>15</v>
      </c>
      <c r="E31" s="118"/>
      <c r="F31" s="118"/>
      <c r="G31" s="118"/>
      <c r="H31" s="118"/>
      <c r="I31" s="118"/>
    </row>
    <row r="32" spans="1:12" ht="12" thickBot="1" x14ac:dyDescent="0.25">
      <c r="A32" s="49">
        <f t="shared" si="1"/>
        <v>16</v>
      </c>
      <c r="C32" s="60" t="s">
        <v>116</v>
      </c>
      <c r="D32" s="60"/>
      <c r="E32" s="121">
        <f>ROUND(+E30/13,2)</f>
        <v>163820.98000000001</v>
      </c>
      <c r="F32" s="118"/>
      <c r="G32" s="121">
        <f>ROUND(+G30/13,2)</f>
        <v>2149791.61</v>
      </c>
      <c r="H32" s="118"/>
      <c r="I32" s="121">
        <f>ROUND(+I30/13,2)</f>
        <v>1985970.63</v>
      </c>
    </row>
    <row r="33" spans="1:13" ht="12" thickTop="1" x14ac:dyDescent="0.2">
      <c r="A33" s="49">
        <f t="shared" si="1"/>
        <v>17</v>
      </c>
      <c r="E33" s="118"/>
      <c r="F33" s="118"/>
      <c r="G33" s="118"/>
      <c r="H33" s="118"/>
      <c r="I33" s="118"/>
    </row>
    <row r="34" spans="1:13" x14ac:dyDescent="0.2">
      <c r="A34" s="49">
        <f t="shared" si="1"/>
        <v>18</v>
      </c>
      <c r="E34" s="122" t="s">
        <v>9</v>
      </c>
      <c r="F34" s="122"/>
      <c r="G34" s="122" t="s">
        <v>9</v>
      </c>
      <c r="H34" s="122"/>
      <c r="I34" s="122" t="s">
        <v>9</v>
      </c>
    </row>
    <row r="35" spans="1:13" ht="12" thickBot="1" x14ac:dyDescent="0.25">
      <c r="A35" s="49">
        <f t="shared" si="1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1985970.63</v>
      </c>
    </row>
    <row r="36" spans="1:13" ht="12" thickTop="1" x14ac:dyDescent="0.2">
      <c r="A36" s="49">
        <f t="shared" si="1"/>
        <v>20</v>
      </c>
    </row>
    <row r="37" spans="1:13" x14ac:dyDescent="0.2">
      <c r="A37" s="49">
        <f t="shared" si="1"/>
        <v>21</v>
      </c>
      <c r="I37" s="58" t="s">
        <v>85</v>
      </c>
    </row>
    <row r="38" spans="1:13" x14ac:dyDescent="0.2">
      <c r="A38" s="49">
        <f t="shared" si="1"/>
        <v>22</v>
      </c>
      <c r="I38" s="58" t="s">
        <v>86</v>
      </c>
    </row>
    <row r="39" spans="1:13" x14ac:dyDescent="0.2">
      <c r="A39" s="49">
        <f t="shared" si="1"/>
        <v>23</v>
      </c>
    </row>
    <row r="40" spans="1:13" x14ac:dyDescent="0.2">
      <c r="A40" s="49">
        <f t="shared" si="1"/>
        <v>24</v>
      </c>
    </row>
    <row r="41" spans="1:13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</row>
    <row r="42" spans="1:13" x14ac:dyDescent="0.2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</row>
    <row r="43" spans="1:13" x14ac:dyDescent="0.2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1:13" x14ac:dyDescent="0.2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</row>
    <row r="46" spans="1:13" x14ac:dyDescent="0.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 x14ac:dyDescent="0.2">
      <c r="A47" s="149" t="str">
        <f>A7</f>
        <v>Pro Forma Adjustment - Project In Service During Test Year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</row>
    <row r="48" spans="1:13" x14ac:dyDescent="0.2">
      <c r="A48" s="150" t="str">
        <f>A8</f>
        <v>Gas ERT Replacement (2025)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</row>
    <row r="49" spans="1:13" x14ac:dyDescent="0.2">
      <c r="A49" s="50"/>
      <c r="B49" s="50"/>
      <c r="C49" s="48"/>
      <c r="D49" s="48"/>
      <c r="E49" s="48"/>
      <c r="F49" s="48"/>
      <c r="G49" s="48"/>
      <c r="H49" s="48"/>
      <c r="I49" s="48"/>
    </row>
    <row r="50" spans="1:13" x14ac:dyDescent="0.2">
      <c r="A50" s="50" t="s">
        <v>87</v>
      </c>
      <c r="B50" s="50"/>
      <c r="C50" s="48"/>
      <c r="D50" s="48"/>
      <c r="E50" s="48"/>
      <c r="F50" s="48"/>
      <c r="G50" s="48"/>
      <c r="H50" s="48"/>
      <c r="I50" s="48"/>
    </row>
    <row r="51" spans="1:13" x14ac:dyDescent="0.2">
      <c r="A51" s="50" t="s">
        <v>9</v>
      </c>
      <c r="B51" s="50"/>
      <c r="C51" s="48"/>
      <c r="D51" s="48"/>
      <c r="E51" s="48"/>
      <c r="F51" s="48"/>
      <c r="G51" s="48"/>
      <c r="H51" s="48"/>
      <c r="I51" s="48"/>
    </row>
    <row r="52" spans="1:13" x14ac:dyDescent="0.2">
      <c r="K52" s="55" t="s">
        <v>88</v>
      </c>
      <c r="M52" s="55" t="s">
        <v>88</v>
      </c>
    </row>
    <row r="53" spans="1:13" ht="12" thickBot="1" x14ac:dyDescent="0.25">
      <c r="A53" s="65" t="s">
        <v>77</v>
      </c>
      <c r="E53" s="52" t="str">
        <f>E13</f>
        <v>Acct 2.381.00</v>
      </c>
      <c r="F53" s="52"/>
      <c r="G53" s="52"/>
      <c r="H53" s="52"/>
      <c r="I53" s="52"/>
      <c r="K53" s="55" t="s">
        <v>89</v>
      </c>
      <c r="M53" s="55" t="s">
        <v>90</v>
      </c>
    </row>
    <row r="54" spans="1:13" ht="12" thickBot="1" x14ac:dyDescent="0.25">
      <c r="A54" s="88" t="s">
        <v>79</v>
      </c>
      <c r="B54" s="55"/>
      <c r="C54" s="53" t="s">
        <v>80</v>
      </c>
      <c r="D54" s="55"/>
      <c r="E54" s="53" t="s">
        <v>81</v>
      </c>
      <c r="F54" s="55"/>
      <c r="G54" s="53" t="s">
        <v>82</v>
      </c>
      <c r="H54" s="55"/>
      <c r="I54" s="53" t="s">
        <v>83</v>
      </c>
      <c r="K54" s="53" t="s">
        <v>91</v>
      </c>
      <c r="M54" s="53" t="s">
        <v>92</v>
      </c>
    </row>
    <row r="55" spans="1:13" x14ac:dyDescent="0.2">
      <c r="A55" s="55"/>
      <c r="B55" s="55"/>
      <c r="C55" s="39" t="s">
        <v>5</v>
      </c>
      <c r="D55" s="55"/>
      <c r="E55" s="36" t="s">
        <v>6</v>
      </c>
      <c r="F55" s="55"/>
      <c r="G55" s="36" t="s">
        <v>7</v>
      </c>
      <c r="H55" s="33"/>
      <c r="I55" s="36" t="s">
        <v>41</v>
      </c>
      <c r="K55" s="17" t="s">
        <v>42</v>
      </c>
      <c r="M55" s="55" t="s">
        <v>43</v>
      </c>
    </row>
    <row r="56" spans="1:13" x14ac:dyDescent="0.2">
      <c r="A56" s="55"/>
      <c r="B56" s="55"/>
      <c r="C56" s="55"/>
      <c r="D56" s="55"/>
      <c r="E56" s="55"/>
      <c r="F56" s="55"/>
      <c r="G56" s="55"/>
      <c r="H56" s="55"/>
      <c r="I56" s="55"/>
    </row>
    <row r="57" spans="1:13" x14ac:dyDescent="0.2">
      <c r="A57" s="49">
        <v>1</v>
      </c>
      <c r="B57" s="55"/>
      <c r="C57" s="56">
        <f>C17</f>
        <v>45641</v>
      </c>
      <c r="D57" s="56"/>
      <c r="E57" s="117">
        <f t="shared" ref="E57:E69" si="3">ROUND(E17*$G$78,2)</f>
        <v>0</v>
      </c>
      <c r="F57" s="118"/>
      <c r="G57" s="117">
        <f t="shared" ref="G57:G69" si="4">ROUND(+G17*$G$78,2)</f>
        <v>5622.53</v>
      </c>
      <c r="H57" s="118"/>
      <c r="I57" s="118">
        <f>G57-E57</f>
        <v>5622.53</v>
      </c>
      <c r="J57" s="118"/>
      <c r="K57" s="119"/>
      <c r="L57" s="118"/>
      <c r="M57" s="7">
        <f>+ROUND(M72/13,2)</f>
        <v>-1090.76</v>
      </c>
    </row>
    <row r="58" spans="1:13" x14ac:dyDescent="0.2">
      <c r="A58" s="49">
        <f t="shared" ref="A58:A82" si="5">1+A57</f>
        <v>2</v>
      </c>
      <c r="C58" s="56">
        <v>45672</v>
      </c>
      <c r="E58" s="123">
        <f t="shared" si="3"/>
        <v>0</v>
      </c>
      <c r="F58" s="123"/>
      <c r="G58" s="123">
        <f t="shared" si="4"/>
        <v>5622.53</v>
      </c>
      <c r="H58" s="118"/>
      <c r="I58" s="118">
        <f>G58-E58</f>
        <v>5622.53</v>
      </c>
      <c r="J58" s="118"/>
      <c r="K58" s="118"/>
      <c r="L58" s="118"/>
      <c r="M58" s="127">
        <f>+M57</f>
        <v>-1090.76</v>
      </c>
    </row>
    <row r="59" spans="1:13" x14ac:dyDescent="0.2">
      <c r="A59" s="49">
        <f t="shared" si="5"/>
        <v>3</v>
      </c>
      <c r="C59" s="56">
        <f>C58+31</f>
        <v>45703</v>
      </c>
      <c r="D59" s="56"/>
      <c r="E59" s="123">
        <f t="shared" si="3"/>
        <v>0</v>
      </c>
      <c r="F59" s="118"/>
      <c r="G59" s="123">
        <f t="shared" si="4"/>
        <v>5622.53</v>
      </c>
      <c r="H59" s="118"/>
      <c r="I59" s="118">
        <f t="shared" ref="I59:I69" si="6">G59-E59</f>
        <v>5622.53</v>
      </c>
      <c r="J59" s="118"/>
      <c r="K59" s="118"/>
      <c r="L59" s="118"/>
      <c r="M59" s="127">
        <f t="shared" ref="M59:M69" si="7">+M58</f>
        <v>-1090.76</v>
      </c>
    </row>
    <row r="60" spans="1:13" x14ac:dyDescent="0.2">
      <c r="A60" s="49">
        <f t="shared" si="5"/>
        <v>4</v>
      </c>
      <c r="C60" s="56">
        <f t="shared" ref="C60:C69" si="8">C59+31</f>
        <v>45734</v>
      </c>
      <c r="D60" s="56"/>
      <c r="E60" s="123">
        <f t="shared" si="3"/>
        <v>0</v>
      </c>
      <c r="F60" s="123"/>
      <c r="G60" s="123">
        <f t="shared" si="4"/>
        <v>5622.53</v>
      </c>
      <c r="H60" s="118"/>
      <c r="I60" s="118">
        <f t="shared" si="6"/>
        <v>5622.53</v>
      </c>
      <c r="J60" s="118"/>
      <c r="K60" s="118"/>
      <c r="L60" s="118"/>
      <c r="M60" s="127">
        <f t="shared" si="7"/>
        <v>-1090.76</v>
      </c>
    </row>
    <row r="61" spans="1:13" x14ac:dyDescent="0.2">
      <c r="A61" s="49">
        <f t="shared" si="5"/>
        <v>5</v>
      </c>
      <c r="C61" s="56">
        <f t="shared" si="8"/>
        <v>45765</v>
      </c>
      <c r="D61" s="56"/>
      <c r="E61" s="123">
        <f t="shared" si="3"/>
        <v>0</v>
      </c>
      <c r="F61" s="123"/>
      <c r="G61" s="123">
        <f t="shared" si="4"/>
        <v>5622.53</v>
      </c>
      <c r="H61" s="118"/>
      <c r="I61" s="118">
        <f t="shared" si="6"/>
        <v>5622.53</v>
      </c>
      <c r="J61" s="118"/>
      <c r="K61" s="118"/>
      <c r="L61" s="118"/>
      <c r="M61" s="127">
        <f t="shared" si="7"/>
        <v>-1090.76</v>
      </c>
    </row>
    <row r="62" spans="1:13" x14ac:dyDescent="0.2">
      <c r="A62" s="49">
        <f t="shared" si="5"/>
        <v>6</v>
      </c>
      <c r="C62" s="56">
        <f t="shared" si="8"/>
        <v>45796</v>
      </c>
      <c r="D62" s="56"/>
      <c r="E62" s="123">
        <f t="shared" si="3"/>
        <v>0</v>
      </c>
      <c r="F62" s="123"/>
      <c r="G62" s="123">
        <f t="shared" si="4"/>
        <v>5622.53</v>
      </c>
      <c r="H62" s="118"/>
      <c r="I62" s="118">
        <f t="shared" si="6"/>
        <v>5622.53</v>
      </c>
      <c r="J62" s="118"/>
      <c r="K62" s="118"/>
      <c r="L62" s="118"/>
      <c r="M62" s="127">
        <f t="shared" si="7"/>
        <v>-1090.76</v>
      </c>
    </row>
    <row r="63" spans="1:13" x14ac:dyDescent="0.2">
      <c r="A63" s="49">
        <f t="shared" si="5"/>
        <v>7</v>
      </c>
      <c r="C63" s="56">
        <f t="shared" si="8"/>
        <v>45827</v>
      </c>
      <c r="D63" s="56"/>
      <c r="E63" s="123">
        <f t="shared" si="3"/>
        <v>0</v>
      </c>
      <c r="F63" s="123"/>
      <c r="G63" s="123">
        <f t="shared" si="4"/>
        <v>5622.53</v>
      </c>
      <c r="H63" s="118"/>
      <c r="I63" s="118">
        <f t="shared" si="6"/>
        <v>5622.53</v>
      </c>
      <c r="J63" s="118"/>
      <c r="K63" s="118"/>
      <c r="L63" s="118"/>
      <c r="M63" s="127">
        <f t="shared" si="7"/>
        <v>-1090.76</v>
      </c>
    </row>
    <row r="64" spans="1:13" x14ac:dyDescent="0.2">
      <c r="A64" s="49">
        <f t="shared" si="5"/>
        <v>8</v>
      </c>
      <c r="C64" s="56">
        <f t="shared" si="8"/>
        <v>45858</v>
      </c>
      <c r="D64" s="56"/>
      <c r="E64" s="123">
        <f t="shared" si="3"/>
        <v>0</v>
      </c>
      <c r="F64" s="123"/>
      <c r="G64" s="123">
        <f t="shared" si="4"/>
        <v>5622.53</v>
      </c>
      <c r="H64" s="118"/>
      <c r="I64" s="118">
        <f t="shared" si="6"/>
        <v>5622.53</v>
      </c>
      <c r="J64" s="118"/>
      <c r="K64" s="118"/>
      <c r="L64" s="118"/>
      <c r="M64" s="127">
        <f t="shared" si="7"/>
        <v>-1090.76</v>
      </c>
    </row>
    <row r="65" spans="1:13" x14ac:dyDescent="0.2">
      <c r="A65" s="49">
        <f t="shared" si="5"/>
        <v>9</v>
      </c>
      <c r="C65" s="56">
        <f t="shared" si="8"/>
        <v>45889</v>
      </c>
      <c r="D65" s="56"/>
      <c r="E65" s="123">
        <f t="shared" si="3"/>
        <v>0</v>
      </c>
      <c r="F65" s="123"/>
      <c r="G65" s="123">
        <f t="shared" si="4"/>
        <v>5622.53</v>
      </c>
      <c r="H65" s="118"/>
      <c r="I65" s="118">
        <f t="shared" si="6"/>
        <v>5622.53</v>
      </c>
      <c r="J65" s="118"/>
      <c r="K65" s="118"/>
      <c r="L65" s="118"/>
      <c r="M65" s="127">
        <f t="shared" si="7"/>
        <v>-1090.76</v>
      </c>
    </row>
    <row r="66" spans="1:13" x14ac:dyDescent="0.2">
      <c r="A66" s="49">
        <f t="shared" si="5"/>
        <v>10</v>
      </c>
      <c r="C66" s="56">
        <f t="shared" si="8"/>
        <v>45920</v>
      </c>
      <c r="D66" s="56"/>
      <c r="E66" s="123">
        <f t="shared" si="3"/>
        <v>0</v>
      </c>
      <c r="F66" s="123"/>
      <c r="G66" s="123">
        <f t="shared" si="4"/>
        <v>5622.53</v>
      </c>
      <c r="H66" s="118"/>
      <c r="I66" s="118">
        <f t="shared" si="6"/>
        <v>5622.53</v>
      </c>
      <c r="J66" s="118"/>
      <c r="K66" s="118"/>
      <c r="L66" s="118"/>
      <c r="M66" s="127">
        <f t="shared" si="7"/>
        <v>-1090.76</v>
      </c>
    </row>
    <row r="67" spans="1:13" x14ac:dyDescent="0.2">
      <c r="A67" s="49">
        <f t="shared" si="5"/>
        <v>11</v>
      </c>
      <c r="C67" s="56">
        <f t="shared" si="8"/>
        <v>45951</v>
      </c>
      <c r="D67" s="56"/>
      <c r="E67" s="123">
        <f t="shared" si="3"/>
        <v>0</v>
      </c>
      <c r="F67" s="123"/>
      <c r="G67" s="123">
        <f t="shared" si="4"/>
        <v>5622.53</v>
      </c>
      <c r="H67" s="118"/>
      <c r="I67" s="118">
        <f t="shared" si="6"/>
        <v>5622.53</v>
      </c>
      <c r="J67" s="118"/>
      <c r="K67" s="118"/>
      <c r="L67" s="118"/>
      <c r="M67" s="127">
        <f t="shared" si="7"/>
        <v>-1090.76</v>
      </c>
    </row>
    <row r="68" spans="1:13" x14ac:dyDescent="0.2">
      <c r="A68" s="49">
        <f t="shared" si="5"/>
        <v>12</v>
      </c>
      <c r="C68" s="56">
        <f t="shared" si="8"/>
        <v>45982</v>
      </c>
      <c r="D68" s="56"/>
      <c r="E68" s="123">
        <f t="shared" si="3"/>
        <v>0</v>
      </c>
      <c r="F68" s="123"/>
      <c r="G68" s="123">
        <f t="shared" si="4"/>
        <v>5622.53</v>
      </c>
      <c r="H68" s="118"/>
      <c r="I68" s="118">
        <f t="shared" si="6"/>
        <v>5622.53</v>
      </c>
      <c r="J68" s="118"/>
      <c r="K68" s="118"/>
      <c r="L68" s="118"/>
      <c r="M68" s="127">
        <f t="shared" si="7"/>
        <v>-1090.76</v>
      </c>
    </row>
    <row r="69" spans="1:13" x14ac:dyDescent="0.2">
      <c r="A69" s="49">
        <f t="shared" si="5"/>
        <v>13</v>
      </c>
      <c r="C69" s="56">
        <f t="shared" si="8"/>
        <v>46013</v>
      </c>
      <c r="D69" s="56"/>
      <c r="E69" s="126">
        <f t="shared" si="3"/>
        <v>5569.91</v>
      </c>
      <c r="F69" s="123"/>
      <c r="G69" s="126">
        <f t="shared" si="4"/>
        <v>5622.53</v>
      </c>
      <c r="H69" s="118"/>
      <c r="I69" s="126">
        <f t="shared" si="6"/>
        <v>52.619999999999891</v>
      </c>
      <c r="J69" s="118"/>
      <c r="K69" s="118"/>
      <c r="L69" s="118"/>
      <c r="M69" s="126">
        <f t="shared" si="7"/>
        <v>-1090.76</v>
      </c>
    </row>
    <row r="70" spans="1:13" x14ac:dyDescent="0.2">
      <c r="A70" s="49">
        <f t="shared" si="5"/>
        <v>14</v>
      </c>
      <c r="C70" s="58" t="s">
        <v>46</v>
      </c>
      <c r="D70" s="58"/>
      <c r="E70" s="118">
        <f>SUM(E57:E69)</f>
        <v>5569.91</v>
      </c>
      <c r="F70" s="118"/>
      <c r="G70" s="118">
        <f>SUM(G57:G69)</f>
        <v>73092.89</v>
      </c>
      <c r="H70" s="118"/>
      <c r="I70" s="118">
        <f>SUM(I57:I69)</f>
        <v>67522.98</v>
      </c>
      <c r="J70" s="118"/>
      <c r="K70" s="118"/>
      <c r="L70" s="118"/>
      <c r="M70" s="118">
        <f>SUM(M57:M69)</f>
        <v>-14179.880000000001</v>
      </c>
    </row>
    <row r="71" spans="1:13" x14ac:dyDescent="0.2">
      <c r="A71" s="49">
        <f t="shared" si="5"/>
        <v>15</v>
      </c>
      <c r="E71" s="122" t="s">
        <v>9</v>
      </c>
      <c r="F71" s="122"/>
      <c r="G71" s="122" t="s">
        <v>9</v>
      </c>
      <c r="H71" s="122"/>
      <c r="I71" s="122" t="s">
        <v>9</v>
      </c>
      <c r="J71" s="118"/>
      <c r="K71" s="118"/>
      <c r="L71" s="118"/>
      <c r="M71" s="118"/>
    </row>
    <row r="72" spans="1:13" ht="12" thickBot="1" x14ac:dyDescent="0.25">
      <c r="A72" s="49">
        <f t="shared" si="5"/>
        <v>16</v>
      </c>
      <c r="C72" s="58" t="s">
        <v>84</v>
      </c>
      <c r="D72" s="58"/>
      <c r="E72" s="118"/>
      <c r="F72" s="118"/>
      <c r="G72" s="118"/>
      <c r="H72" s="118"/>
      <c r="I72" s="121">
        <f>I70</f>
        <v>67522.98</v>
      </c>
      <c r="J72" s="118"/>
      <c r="K72" s="121">
        <v>0</v>
      </c>
      <c r="L72" s="118"/>
      <c r="M72" s="121">
        <f>ROUND(+(K72-I72)*M78,2)</f>
        <v>-14179.83</v>
      </c>
    </row>
    <row r="73" spans="1:13" ht="12" thickTop="1" x14ac:dyDescent="0.2">
      <c r="A73" s="49">
        <f t="shared" si="5"/>
        <v>17</v>
      </c>
      <c r="E73" s="57"/>
      <c r="F73" s="57"/>
      <c r="G73" s="57"/>
      <c r="H73" s="57"/>
      <c r="I73" s="58" t="s">
        <v>85</v>
      </c>
    </row>
    <row r="74" spans="1:13" x14ac:dyDescent="0.2">
      <c r="A74" s="49">
        <f t="shared" si="5"/>
        <v>18</v>
      </c>
      <c r="I74" s="58" t="s">
        <v>119</v>
      </c>
      <c r="M74" s="55" t="s">
        <v>88</v>
      </c>
    </row>
    <row r="75" spans="1:13" x14ac:dyDescent="0.2">
      <c r="A75" s="49">
        <f t="shared" si="5"/>
        <v>19</v>
      </c>
      <c r="K75" s="55" t="s">
        <v>93</v>
      </c>
      <c r="M75" s="55" t="s">
        <v>94</v>
      </c>
    </row>
    <row r="76" spans="1:13" x14ac:dyDescent="0.2">
      <c r="A76" s="49">
        <f t="shared" si="5"/>
        <v>20</v>
      </c>
      <c r="E76" s="63" t="s">
        <v>95</v>
      </c>
      <c r="F76" s="63"/>
      <c r="G76" s="63" t="s">
        <v>96</v>
      </c>
      <c r="K76" s="55" t="s">
        <v>97</v>
      </c>
      <c r="M76" s="55" t="s">
        <v>98</v>
      </c>
    </row>
    <row r="77" spans="1:13" ht="12" thickBot="1" x14ac:dyDescent="0.25">
      <c r="A77" s="49">
        <f t="shared" si="5"/>
        <v>21</v>
      </c>
      <c r="E77" s="64" t="s">
        <v>99</v>
      </c>
      <c r="F77" s="63"/>
      <c r="G77" s="64" t="s">
        <v>99</v>
      </c>
      <c r="K77" s="64" t="s">
        <v>100</v>
      </c>
      <c r="M77" s="64" t="s">
        <v>101</v>
      </c>
    </row>
    <row r="78" spans="1:13" x14ac:dyDescent="0.2">
      <c r="A78" s="49">
        <f t="shared" si="5"/>
        <v>22</v>
      </c>
      <c r="C78" s="65" t="str">
        <f>E53</f>
        <v>Acct 2.381.00</v>
      </c>
      <c r="D78" s="65"/>
      <c r="E78" s="66">
        <f>'CAPGDS1000000935 Input'!J16</f>
        <v>3.4000000000000002E-2</v>
      </c>
      <c r="F78" s="66"/>
      <c r="G78" s="66">
        <f>E78/13</f>
        <v>2.6153846153846158E-3</v>
      </c>
      <c r="K78" s="80">
        <f>+'CAPGDS1000000935 Input'!L16</f>
        <v>3.7499999999999999E-2</v>
      </c>
      <c r="M78" s="81">
        <f>+'CAPGDS1000000935 Input'!N16</f>
        <v>0.21</v>
      </c>
    </row>
    <row r="79" spans="1:13" x14ac:dyDescent="0.2">
      <c r="A79" s="49">
        <f t="shared" si="5"/>
        <v>23</v>
      </c>
      <c r="H79" s="61"/>
      <c r="I79" s="57"/>
      <c r="K79" s="55" t="s">
        <v>102</v>
      </c>
    </row>
    <row r="80" spans="1:13" x14ac:dyDescent="0.2">
      <c r="A80" s="49">
        <f t="shared" si="5"/>
        <v>24</v>
      </c>
      <c r="H80" s="66"/>
      <c r="I80" s="57"/>
    </row>
    <row r="81" spans="1:13" x14ac:dyDescent="0.2">
      <c r="A81" s="49">
        <f t="shared" si="5"/>
        <v>25</v>
      </c>
    </row>
    <row r="82" spans="1:13" x14ac:dyDescent="0.2">
      <c r="A82" s="49">
        <f t="shared" si="5"/>
        <v>26</v>
      </c>
      <c r="H82" s="66"/>
      <c r="I82" s="57"/>
    </row>
    <row r="83" spans="1:13" x14ac:dyDescent="0.2">
      <c r="A83" s="149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</row>
    <row r="84" spans="1:13" x14ac:dyDescent="0.2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</row>
    <row r="85" spans="1:13" x14ac:dyDescent="0.2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</row>
    <row r="86" spans="1:13" x14ac:dyDescent="0.2">
      <c r="A86" s="149"/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</row>
    <row r="88" spans="1:13" x14ac:dyDescent="0.2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</row>
    <row r="89" spans="1:13" x14ac:dyDescent="0.2">
      <c r="A89" s="149" t="str">
        <f>A7</f>
        <v>Pro Forma Adjustment - Project In Service During Test Year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</row>
    <row r="90" spans="1:13" x14ac:dyDescent="0.2">
      <c r="A90" s="150" t="str">
        <f>A8</f>
        <v>Gas ERT Replacement (2025)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</row>
    <row r="91" spans="1:13" x14ac:dyDescent="0.2">
      <c r="A91" s="50"/>
      <c r="B91" s="50"/>
      <c r="C91" s="48"/>
      <c r="D91" s="48"/>
      <c r="E91" s="48"/>
      <c r="F91" s="48"/>
      <c r="G91" s="48"/>
      <c r="H91" s="48"/>
      <c r="I91" s="48"/>
    </row>
    <row r="92" spans="1:13" x14ac:dyDescent="0.2">
      <c r="A92" s="50" t="s">
        <v>103</v>
      </c>
      <c r="B92" s="50"/>
      <c r="C92" s="48"/>
      <c r="D92" s="48"/>
      <c r="E92" s="48"/>
      <c r="F92" s="48"/>
      <c r="G92" s="48"/>
      <c r="H92" s="48"/>
      <c r="I92" s="48"/>
    </row>
    <row r="93" spans="1:13" x14ac:dyDescent="0.2">
      <c r="A93" s="50" t="s">
        <v>9</v>
      </c>
      <c r="B93" s="50"/>
      <c r="C93" s="48"/>
      <c r="D93" s="48"/>
      <c r="E93" s="48"/>
      <c r="F93" s="48"/>
      <c r="G93" s="48"/>
      <c r="H93" s="48"/>
      <c r="I93" s="48"/>
    </row>
    <row r="95" spans="1:13" ht="12" thickBot="1" x14ac:dyDescent="0.25">
      <c r="A95" s="65" t="s">
        <v>77</v>
      </c>
      <c r="E95" s="52" t="str">
        <f>E13</f>
        <v>Acct 2.381.00</v>
      </c>
      <c r="F95" s="52"/>
      <c r="G95" s="52"/>
      <c r="H95" s="52"/>
      <c r="I95" s="52"/>
      <c r="M95" s="55" t="s">
        <v>104</v>
      </c>
    </row>
    <row r="96" spans="1:13" ht="12" thickBot="1" x14ac:dyDescent="0.25">
      <c r="A96" s="88" t="s">
        <v>79</v>
      </c>
      <c r="B96" s="55"/>
      <c r="C96" s="53" t="s">
        <v>80</v>
      </c>
      <c r="D96" s="55"/>
      <c r="E96" s="53" t="s">
        <v>81</v>
      </c>
      <c r="F96" s="55"/>
      <c r="G96" s="53" t="s">
        <v>82</v>
      </c>
      <c r="H96" s="55"/>
      <c r="I96" s="53" t="s">
        <v>83</v>
      </c>
      <c r="M96" s="53" t="s">
        <v>105</v>
      </c>
    </row>
    <row r="97" spans="1:13" x14ac:dyDescent="0.2">
      <c r="A97" s="55"/>
      <c r="B97" s="55"/>
      <c r="C97" s="39" t="s">
        <v>5</v>
      </c>
      <c r="D97" s="55"/>
      <c r="E97" s="36" t="s">
        <v>6</v>
      </c>
      <c r="F97" s="55"/>
      <c r="G97" s="36" t="s">
        <v>7</v>
      </c>
      <c r="H97" s="33"/>
      <c r="I97" s="36" t="s">
        <v>41</v>
      </c>
      <c r="K97" s="17" t="s">
        <v>42</v>
      </c>
      <c r="M97" s="55" t="s">
        <v>43</v>
      </c>
    </row>
    <row r="98" spans="1:13" x14ac:dyDescent="0.2">
      <c r="A98" s="55"/>
      <c r="B98" s="55"/>
      <c r="C98" s="55"/>
      <c r="D98" s="55"/>
      <c r="E98" s="55"/>
      <c r="F98" s="55"/>
      <c r="G98" s="55"/>
      <c r="H98" s="55"/>
      <c r="I98" s="55"/>
    </row>
    <row r="99" spans="1:13" x14ac:dyDescent="0.2">
      <c r="A99" s="49">
        <v>1</v>
      </c>
      <c r="C99" s="56">
        <f>C17</f>
        <v>45641</v>
      </c>
      <c r="D99" s="56"/>
      <c r="E99" s="117">
        <f>E57</f>
        <v>0</v>
      </c>
      <c r="F99" s="118"/>
      <c r="G99" s="117">
        <f>G57</f>
        <v>5622.53</v>
      </c>
      <c r="H99" s="118"/>
      <c r="I99" s="118">
        <f>G99-E99</f>
        <v>5622.53</v>
      </c>
      <c r="J99" s="118"/>
      <c r="K99" s="119"/>
      <c r="L99" s="118"/>
      <c r="M99" s="7">
        <f>+M57</f>
        <v>-1090.76</v>
      </c>
    </row>
    <row r="100" spans="1:13" x14ac:dyDescent="0.2">
      <c r="A100" s="49">
        <f t="shared" ref="A100:A128" si="9">1+A99</f>
        <v>2</v>
      </c>
      <c r="C100" s="56">
        <f>C18</f>
        <v>45672</v>
      </c>
      <c r="D100" s="56"/>
      <c r="E100" s="8">
        <f>E98+E57</f>
        <v>0</v>
      </c>
      <c r="F100" s="8"/>
      <c r="G100" s="8">
        <f t="shared" ref="G100:G111" si="10">G99+G58</f>
        <v>11245.06</v>
      </c>
      <c r="H100" s="8"/>
      <c r="I100" s="8">
        <f t="shared" ref="I100" si="11">G100-E100</f>
        <v>11245.06</v>
      </c>
      <c r="J100" s="8"/>
      <c r="K100" s="8"/>
      <c r="L100" s="8"/>
      <c r="M100" s="8">
        <f t="shared" ref="M100:M111" si="12">+M99+M58</f>
        <v>-2181.52</v>
      </c>
    </row>
    <row r="101" spans="1:13" x14ac:dyDescent="0.2">
      <c r="A101" s="49">
        <f t="shared" si="9"/>
        <v>3</v>
      </c>
      <c r="C101" s="56">
        <f t="shared" ref="C101:C111" si="13">C100+31</f>
        <v>45703</v>
      </c>
      <c r="D101" s="56"/>
      <c r="E101" s="8">
        <f>E99+E58</f>
        <v>0</v>
      </c>
      <c r="F101" s="8"/>
      <c r="G101" s="8">
        <f t="shared" si="10"/>
        <v>16867.59</v>
      </c>
      <c r="H101" s="8"/>
      <c r="I101" s="8">
        <f t="shared" ref="I101:I111" si="14">G101-E101</f>
        <v>16867.59</v>
      </c>
      <c r="J101" s="8"/>
      <c r="K101" s="8"/>
      <c r="L101" s="8"/>
      <c r="M101" s="8">
        <f t="shared" si="12"/>
        <v>-3272.2799999999997</v>
      </c>
    </row>
    <row r="102" spans="1:13" x14ac:dyDescent="0.2">
      <c r="A102" s="49">
        <f t="shared" si="9"/>
        <v>4</v>
      </c>
      <c r="C102" s="56">
        <f t="shared" si="13"/>
        <v>45734</v>
      </c>
      <c r="D102" s="56"/>
      <c r="E102" s="8">
        <f t="shared" ref="E102:E111" si="15">E101+E60</f>
        <v>0</v>
      </c>
      <c r="F102" s="8"/>
      <c r="G102" s="8">
        <f t="shared" si="10"/>
        <v>22490.12</v>
      </c>
      <c r="H102" s="8"/>
      <c r="I102" s="8">
        <f t="shared" si="14"/>
        <v>22490.12</v>
      </c>
      <c r="J102" s="8"/>
      <c r="K102" s="8"/>
      <c r="L102" s="8"/>
      <c r="M102" s="8">
        <f t="shared" si="12"/>
        <v>-4363.04</v>
      </c>
    </row>
    <row r="103" spans="1:13" x14ac:dyDescent="0.2">
      <c r="A103" s="49">
        <f t="shared" si="9"/>
        <v>5</v>
      </c>
      <c r="C103" s="56">
        <f t="shared" si="13"/>
        <v>45765</v>
      </c>
      <c r="D103" s="56"/>
      <c r="E103" s="8">
        <f t="shared" si="15"/>
        <v>0</v>
      </c>
      <c r="F103" s="8"/>
      <c r="G103" s="8">
        <f t="shared" si="10"/>
        <v>28112.649999999998</v>
      </c>
      <c r="H103" s="8"/>
      <c r="I103" s="8">
        <f t="shared" si="14"/>
        <v>28112.649999999998</v>
      </c>
      <c r="J103" s="8"/>
      <c r="K103" s="8"/>
      <c r="L103" s="8"/>
      <c r="M103" s="8">
        <f t="shared" si="12"/>
        <v>-5453.8</v>
      </c>
    </row>
    <row r="104" spans="1:13" x14ac:dyDescent="0.2">
      <c r="A104" s="49">
        <f t="shared" si="9"/>
        <v>6</v>
      </c>
      <c r="C104" s="56">
        <f t="shared" si="13"/>
        <v>45796</v>
      </c>
      <c r="D104" s="56"/>
      <c r="E104" s="8">
        <f t="shared" si="15"/>
        <v>0</v>
      </c>
      <c r="F104" s="8"/>
      <c r="G104" s="8">
        <f t="shared" si="10"/>
        <v>33735.18</v>
      </c>
      <c r="H104" s="8"/>
      <c r="I104" s="8">
        <f t="shared" si="14"/>
        <v>33735.18</v>
      </c>
      <c r="J104" s="8"/>
      <c r="K104" s="8"/>
      <c r="L104" s="8"/>
      <c r="M104" s="8">
        <f t="shared" si="12"/>
        <v>-6544.56</v>
      </c>
    </row>
    <row r="105" spans="1:13" x14ac:dyDescent="0.2">
      <c r="A105" s="49">
        <f t="shared" si="9"/>
        <v>7</v>
      </c>
      <c r="C105" s="56">
        <f t="shared" si="13"/>
        <v>45827</v>
      </c>
      <c r="D105" s="56"/>
      <c r="E105" s="8">
        <f t="shared" si="15"/>
        <v>0</v>
      </c>
      <c r="F105" s="8"/>
      <c r="G105" s="8">
        <f t="shared" si="10"/>
        <v>39357.71</v>
      </c>
      <c r="H105" s="8"/>
      <c r="I105" s="8">
        <f t="shared" si="14"/>
        <v>39357.71</v>
      </c>
      <c r="J105" s="8"/>
      <c r="K105" s="8"/>
      <c r="L105" s="8"/>
      <c r="M105" s="8">
        <f t="shared" si="12"/>
        <v>-7635.3200000000006</v>
      </c>
    </row>
    <row r="106" spans="1:13" x14ac:dyDescent="0.2">
      <c r="A106" s="49">
        <f t="shared" si="9"/>
        <v>8</v>
      </c>
      <c r="C106" s="56">
        <f t="shared" si="13"/>
        <v>45858</v>
      </c>
      <c r="D106" s="56"/>
      <c r="E106" s="8">
        <f t="shared" si="15"/>
        <v>0</v>
      </c>
      <c r="F106" s="8"/>
      <c r="G106" s="8">
        <f t="shared" si="10"/>
        <v>44980.24</v>
      </c>
      <c r="H106" s="8"/>
      <c r="I106" s="8">
        <f t="shared" si="14"/>
        <v>44980.24</v>
      </c>
      <c r="J106" s="8"/>
      <c r="K106" s="8"/>
      <c r="L106" s="8"/>
      <c r="M106" s="8">
        <f t="shared" si="12"/>
        <v>-8726.08</v>
      </c>
    </row>
    <row r="107" spans="1:13" x14ac:dyDescent="0.2">
      <c r="A107" s="49">
        <f t="shared" si="9"/>
        <v>9</v>
      </c>
      <c r="C107" s="56">
        <f t="shared" si="13"/>
        <v>45889</v>
      </c>
      <c r="D107" s="56"/>
      <c r="E107" s="8">
        <f t="shared" si="15"/>
        <v>0</v>
      </c>
      <c r="F107" s="8"/>
      <c r="G107" s="8">
        <f t="shared" si="10"/>
        <v>50602.77</v>
      </c>
      <c r="H107" s="8"/>
      <c r="I107" s="8">
        <f t="shared" si="14"/>
        <v>50602.77</v>
      </c>
      <c r="J107" s="8"/>
      <c r="K107" s="8"/>
      <c r="L107" s="8"/>
      <c r="M107" s="8">
        <f t="shared" si="12"/>
        <v>-9816.84</v>
      </c>
    </row>
    <row r="108" spans="1:13" x14ac:dyDescent="0.2">
      <c r="A108" s="49">
        <f t="shared" si="9"/>
        <v>10</v>
      </c>
      <c r="C108" s="56">
        <f t="shared" si="13"/>
        <v>45920</v>
      </c>
      <c r="D108" s="56"/>
      <c r="E108" s="8">
        <f t="shared" si="15"/>
        <v>0</v>
      </c>
      <c r="F108" s="8"/>
      <c r="G108" s="8">
        <f t="shared" si="10"/>
        <v>56225.299999999996</v>
      </c>
      <c r="H108" s="8"/>
      <c r="I108" s="8">
        <f t="shared" si="14"/>
        <v>56225.299999999996</v>
      </c>
      <c r="J108" s="8"/>
      <c r="K108" s="8"/>
      <c r="L108" s="8"/>
      <c r="M108" s="8">
        <f t="shared" si="12"/>
        <v>-10907.6</v>
      </c>
    </row>
    <row r="109" spans="1:13" x14ac:dyDescent="0.2">
      <c r="A109" s="49">
        <f t="shared" si="9"/>
        <v>11</v>
      </c>
      <c r="C109" s="56">
        <f t="shared" si="13"/>
        <v>45951</v>
      </c>
      <c r="D109" s="56"/>
      <c r="E109" s="8">
        <f t="shared" si="15"/>
        <v>0</v>
      </c>
      <c r="F109" s="8"/>
      <c r="G109" s="8">
        <f t="shared" si="10"/>
        <v>61847.829999999994</v>
      </c>
      <c r="H109" s="8"/>
      <c r="I109" s="8">
        <f t="shared" si="14"/>
        <v>61847.829999999994</v>
      </c>
      <c r="J109" s="8"/>
      <c r="K109" s="8"/>
      <c r="L109" s="8"/>
      <c r="M109" s="8">
        <f t="shared" si="12"/>
        <v>-11998.36</v>
      </c>
    </row>
    <row r="110" spans="1:13" x14ac:dyDescent="0.2">
      <c r="A110" s="49">
        <f t="shared" si="9"/>
        <v>12</v>
      </c>
      <c r="C110" s="56">
        <f t="shared" si="13"/>
        <v>45982</v>
      </c>
      <c r="D110" s="56"/>
      <c r="E110" s="8">
        <f t="shared" si="15"/>
        <v>0</v>
      </c>
      <c r="F110" s="8"/>
      <c r="G110" s="8">
        <f t="shared" si="10"/>
        <v>67470.36</v>
      </c>
      <c r="H110" s="8"/>
      <c r="I110" s="8">
        <f t="shared" si="14"/>
        <v>67470.36</v>
      </c>
      <c r="J110" s="8"/>
      <c r="K110" s="8"/>
      <c r="L110" s="8"/>
      <c r="M110" s="8">
        <f t="shared" si="12"/>
        <v>-13089.12</v>
      </c>
    </row>
    <row r="111" spans="1:13" x14ac:dyDescent="0.2">
      <c r="A111" s="49">
        <f t="shared" si="9"/>
        <v>13</v>
      </c>
      <c r="C111" s="56">
        <f t="shared" si="13"/>
        <v>46013</v>
      </c>
      <c r="D111" s="56"/>
      <c r="E111" s="131">
        <f t="shared" si="15"/>
        <v>5569.91</v>
      </c>
      <c r="F111" s="8"/>
      <c r="G111" s="131">
        <f t="shared" si="10"/>
        <v>73092.89</v>
      </c>
      <c r="H111" s="8"/>
      <c r="I111" s="131">
        <f t="shared" si="14"/>
        <v>67522.98</v>
      </c>
      <c r="J111" s="8"/>
      <c r="K111" s="8"/>
      <c r="L111" s="8"/>
      <c r="M111" s="131">
        <f t="shared" si="12"/>
        <v>-14179.880000000001</v>
      </c>
    </row>
    <row r="112" spans="1:13" x14ac:dyDescent="0.2">
      <c r="A112" s="49">
        <f t="shared" si="9"/>
        <v>14</v>
      </c>
      <c r="C112" s="58" t="s">
        <v>46</v>
      </c>
      <c r="D112" s="58"/>
      <c r="E112" s="118">
        <f>SUM(E99:E111)</f>
        <v>5569.91</v>
      </c>
      <c r="F112" s="118"/>
      <c r="G112" s="118">
        <f>SUM(G99:G111)</f>
        <v>511650.23</v>
      </c>
      <c r="H112" s="118"/>
      <c r="I112" s="118">
        <f>SUM(I99:I111)</f>
        <v>506080.31999999995</v>
      </c>
      <c r="J112" s="118"/>
      <c r="K112" s="118"/>
      <c r="L112" s="118"/>
      <c r="M112" s="118">
        <f>SUM(M99:M111)</f>
        <v>-99259.16</v>
      </c>
    </row>
    <row r="113" spans="1:13" x14ac:dyDescent="0.2">
      <c r="A113" s="49">
        <f t="shared" si="9"/>
        <v>15</v>
      </c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1:13" ht="12" thickBot="1" x14ac:dyDescent="0.25">
      <c r="A114" s="49">
        <f t="shared" si="9"/>
        <v>16</v>
      </c>
      <c r="C114" s="67" t="s">
        <v>117</v>
      </c>
      <c r="D114" s="67"/>
      <c r="E114" s="121">
        <f>ROUND(+E112/13,2)</f>
        <v>428.45</v>
      </c>
      <c r="F114" s="118"/>
      <c r="G114" s="121">
        <f>ROUND(+G112/13,2)</f>
        <v>39357.71</v>
      </c>
      <c r="H114" s="118"/>
      <c r="I114" s="121">
        <f>ROUND(+I112/13,2)</f>
        <v>38929.26</v>
      </c>
      <c r="J114" s="118"/>
      <c r="K114" s="118"/>
      <c r="L114" s="118"/>
      <c r="M114" s="121">
        <f>ROUND(+M112/13,2)</f>
        <v>-7635.32</v>
      </c>
    </row>
    <row r="115" spans="1:13" ht="12" thickTop="1" x14ac:dyDescent="0.2">
      <c r="A115" s="49">
        <f t="shared" si="9"/>
        <v>17</v>
      </c>
      <c r="E115" s="122" t="s">
        <v>9</v>
      </c>
      <c r="F115" s="122"/>
      <c r="G115" s="122" t="s">
        <v>9</v>
      </c>
      <c r="H115" s="122"/>
      <c r="I115" s="122" t="s">
        <v>9</v>
      </c>
      <c r="J115" s="118"/>
      <c r="K115" s="118"/>
      <c r="L115" s="118"/>
      <c r="M115" s="118"/>
    </row>
    <row r="116" spans="1:13" x14ac:dyDescent="0.2">
      <c r="A116" s="49">
        <f t="shared" si="9"/>
        <v>18</v>
      </c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1:13" ht="12" thickBot="1" x14ac:dyDescent="0.25">
      <c r="A117" s="49">
        <f t="shared" si="9"/>
        <v>19</v>
      </c>
      <c r="C117" s="58" t="s">
        <v>84</v>
      </c>
      <c r="D117" s="58"/>
      <c r="E117" s="118"/>
      <c r="F117" s="118"/>
      <c r="G117" s="118"/>
      <c r="H117" s="118"/>
      <c r="I117" s="128">
        <f>I114</f>
        <v>38929.26</v>
      </c>
      <c r="J117" s="118"/>
      <c r="K117" s="118"/>
      <c r="L117" s="118"/>
      <c r="M117" s="128">
        <f>+M114</f>
        <v>-7635.32</v>
      </c>
    </row>
    <row r="118" spans="1:13" ht="12" thickTop="1" x14ac:dyDescent="0.2">
      <c r="A118" s="49">
        <f t="shared" si="9"/>
        <v>20</v>
      </c>
      <c r="E118" s="57"/>
      <c r="F118" s="57"/>
      <c r="G118" s="57"/>
      <c r="H118" s="57"/>
      <c r="I118" s="58" t="s">
        <v>85</v>
      </c>
      <c r="M118" s="58" t="s">
        <v>85</v>
      </c>
    </row>
    <row r="119" spans="1:13" x14ac:dyDescent="0.2">
      <c r="A119" s="49">
        <f t="shared" si="9"/>
        <v>21</v>
      </c>
      <c r="I119" s="58" t="s">
        <v>118</v>
      </c>
      <c r="M119" s="58" t="s">
        <v>120</v>
      </c>
    </row>
    <row r="120" spans="1:13" x14ac:dyDescent="0.2">
      <c r="A120" s="49">
        <f t="shared" si="9"/>
        <v>22</v>
      </c>
    </row>
    <row r="121" spans="1:13" x14ac:dyDescent="0.2">
      <c r="A121" s="49">
        <f t="shared" si="9"/>
        <v>23</v>
      </c>
      <c r="E121" s="63" t="s">
        <v>95</v>
      </c>
      <c r="F121" s="63"/>
      <c r="G121" s="63" t="s">
        <v>96</v>
      </c>
    </row>
    <row r="122" spans="1:13" ht="12" thickBot="1" x14ac:dyDescent="0.25">
      <c r="A122" s="49">
        <f t="shared" si="9"/>
        <v>24</v>
      </c>
      <c r="E122" s="64" t="s">
        <v>99</v>
      </c>
      <c r="F122" s="63"/>
      <c r="G122" s="64" t="s">
        <v>99</v>
      </c>
    </row>
    <row r="123" spans="1:13" x14ac:dyDescent="0.2">
      <c r="A123" s="49">
        <f t="shared" si="9"/>
        <v>25</v>
      </c>
      <c r="C123" s="65" t="str">
        <f>C78</f>
        <v>Acct 2.381.00</v>
      </c>
      <c r="D123" s="65"/>
      <c r="E123" s="68">
        <f>E78</f>
        <v>3.4000000000000002E-2</v>
      </c>
      <c r="F123" s="68"/>
      <c r="G123" s="68">
        <f>G78</f>
        <v>2.6153846153846158E-3</v>
      </c>
    </row>
    <row r="124" spans="1:13" x14ac:dyDescent="0.2">
      <c r="A124" s="49">
        <f t="shared" si="9"/>
        <v>26</v>
      </c>
      <c r="E124" s="57"/>
      <c r="F124" s="57"/>
      <c r="G124" s="57"/>
      <c r="H124" s="57"/>
      <c r="I124" s="57"/>
    </row>
    <row r="125" spans="1:13" x14ac:dyDescent="0.2">
      <c r="A125" s="49">
        <f t="shared" si="9"/>
        <v>27</v>
      </c>
      <c r="H125" s="57"/>
      <c r="I125" s="57"/>
    </row>
    <row r="126" spans="1:13" x14ac:dyDescent="0.2">
      <c r="A126" s="49">
        <f t="shared" si="9"/>
        <v>28</v>
      </c>
    </row>
    <row r="127" spans="1:13" x14ac:dyDescent="0.2">
      <c r="A127" s="49">
        <f t="shared" si="9"/>
        <v>29</v>
      </c>
    </row>
    <row r="128" spans="1:13" x14ac:dyDescent="0.2">
      <c r="A128" s="49">
        <f t="shared" si="9"/>
        <v>30</v>
      </c>
    </row>
  </sheetData>
  <mergeCells count="14">
    <mergeCell ref="A90:M90"/>
    <mergeCell ref="A1:I1"/>
    <mergeCell ref="A41:M41"/>
    <mergeCell ref="A44:M44"/>
    <mergeCell ref="A48:M48"/>
    <mergeCell ref="A2:I2"/>
    <mergeCell ref="A7:I7"/>
    <mergeCell ref="A8:I8"/>
    <mergeCell ref="A83:M83"/>
    <mergeCell ref="A86:M86"/>
    <mergeCell ref="A88:M88"/>
    <mergeCell ref="A89:M89"/>
    <mergeCell ref="A47:M47"/>
    <mergeCell ref="A46:M46"/>
  </mergeCells>
  <pageMargins left="0.75" right="0.75" top="1" bottom="1" header="0.5" footer="0.5"/>
  <pageSetup scale="94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2"/>
  <sheetViews>
    <sheetView view="pageLayout" zoomScaleNormal="100" workbookViewId="0">
      <selection sqref="A1:J1"/>
    </sheetView>
  </sheetViews>
  <sheetFormatPr defaultColWidth="9.140625" defaultRowHeight="11.25" x14ac:dyDescent="0.2"/>
  <cols>
    <col min="1" max="1" width="4.42578125" style="69" customWidth="1"/>
    <col min="2" max="2" width="9.140625" style="69"/>
    <col min="3" max="3" width="0.85546875" style="69" customWidth="1"/>
    <col min="4" max="4" width="11.7109375" style="69" bestFit="1" customWidth="1"/>
    <col min="5" max="16384" width="9.140625" style="69"/>
  </cols>
  <sheetData>
    <row r="1" spans="1:10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x14ac:dyDescent="0.2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6" spans="1:10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x14ac:dyDescent="0.2">
      <c r="A7" s="152" t="str">
        <f>'CAPGDS1000000935 Input'!A7:J7</f>
        <v>Pro Forma Adjustment - Project In Service During Test Year</v>
      </c>
      <c r="B7" s="152"/>
      <c r="C7" s="152"/>
      <c r="D7" s="152"/>
      <c r="E7" s="152"/>
      <c r="F7" s="152"/>
      <c r="G7" s="152"/>
      <c r="H7" s="152"/>
      <c r="I7" s="152"/>
      <c r="J7" s="152"/>
    </row>
    <row r="8" spans="1:10" x14ac:dyDescent="0.2">
      <c r="A8" s="153" t="str">
        <f>'CAPGDS1000000935 Input'!F9</f>
        <v>Gas ERT Replacement (2025)</v>
      </c>
      <c r="B8" s="153"/>
      <c r="C8" s="153"/>
      <c r="D8" s="153"/>
      <c r="E8" s="153"/>
      <c r="F8" s="153"/>
      <c r="G8" s="153"/>
      <c r="H8" s="153"/>
      <c r="I8" s="153"/>
      <c r="J8" s="153"/>
    </row>
    <row r="40" spans="1:10" x14ac:dyDescent="0.2">
      <c r="A40" s="152" t="s">
        <v>56</v>
      </c>
      <c r="B40" s="152"/>
      <c r="C40" s="152"/>
      <c r="D40" s="152"/>
      <c r="E40" s="152"/>
      <c r="F40" s="152"/>
      <c r="G40" s="152"/>
      <c r="H40" s="152"/>
      <c r="I40" s="152"/>
      <c r="J40" s="152"/>
    </row>
    <row r="41" spans="1:10" x14ac:dyDescent="0.2">
      <c r="A41" s="153" t="s">
        <v>114</v>
      </c>
      <c r="B41" s="153"/>
      <c r="C41" s="153"/>
      <c r="D41" s="153"/>
      <c r="E41" s="153"/>
      <c r="F41" s="153"/>
      <c r="G41" s="153"/>
      <c r="H41" s="153"/>
      <c r="I41" s="153"/>
      <c r="J41" s="153"/>
    </row>
    <row r="128" spans="1:10" x14ac:dyDescent="0.2">
      <c r="A128" s="152" t="str">
        <f>A7</f>
        <v>Pro Forma Adjustment - Project In Service During Test Year</v>
      </c>
      <c r="B128" s="152"/>
      <c r="C128" s="152"/>
      <c r="D128" s="152"/>
      <c r="E128" s="152"/>
      <c r="F128" s="152"/>
      <c r="G128" s="152"/>
      <c r="H128" s="152"/>
      <c r="I128" s="152"/>
      <c r="J128" s="152"/>
    </row>
    <row r="129" spans="1:10" x14ac:dyDescent="0.2">
      <c r="A129" s="153" t="str">
        <f>A8</f>
        <v>Gas ERT Replacement (2025)</v>
      </c>
      <c r="B129" s="153"/>
      <c r="C129" s="153"/>
      <c r="D129" s="153"/>
      <c r="E129" s="153"/>
      <c r="F129" s="153"/>
      <c r="G129" s="153"/>
      <c r="H129" s="153"/>
      <c r="I129" s="153"/>
      <c r="J129" s="153"/>
    </row>
    <row r="186" spans="1:10" x14ac:dyDescent="0.2">
      <c r="A186" s="152" t="str">
        <f>A7</f>
        <v>Pro Forma Adjustment - Project In Service During Test Year</v>
      </c>
      <c r="B186" s="152"/>
      <c r="C186" s="152"/>
      <c r="D186" s="152"/>
      <c r="E186" s="152"/>
      <c r="F186" s="152"/>
      <c r="G186" s="152"/>
      <c r="H186" s="152"/>
      <c r="I186" s="152"/>
      <c r="J186" s="152"/>
    </row>
    <row r="187" spans="1:10" x14ac:dyDescent="0.2">
      <c r="A187" s="153" t="str">
        <f>A8</f>
        <v>Gas ERT Replacement (2025)</v>
      </c>
      <c r="B187" s="153"/>
      <c r="C187" s="153"/>
      <c r="D187" s="153"/>
      <c r="E187" s="153"/>
      <c r="F187" s="153"/>
      <c r="G187" s="153"/>
      <c r="H187" s="153"/>
      <c r="I187" s="153"/>
      <c r="J187" s="153"/>
    </row>
    <row r="191" spans="1:10" x14ac:dyDescent="0.2">
      <c r="A191" s="86" t="s">
        <v>1</v>
      </c>
    </row>
    <row r="192" spans="1:10" x14ac:dyDescent="0.2">
      <c r="A192" s="87" t="s">
        <v>108</v>
      </c>
      <c r="B192" s="72" t="s">
        <v>106</v>
      </c>
      <c r="D192" s="73" t="s">
        <v>3</v>
      </c>
    </row>
    <row r="193" spans="1:4" x14ac:dyDescent="0.2">
      <c r="B193" s="74" t="s">
        <v>5</v>
      </c>
      <c r="C193" s="74"/>
      <c r="D193" s="74" t="s">
        <v>6</v>
      </c>
    </row>
    <row r="196" spans="1:4" x14ac:dyDescent="0.2">
      <c r="A196" s="69">
        <v>1</v>
      </c>
      <c r="B196" s="70">
        <f>'CAPGDS1000000935 Input'!B17</f>
        <v>45672</v>
      </c>
      <c r="D196" s="71">
        <v>0</v>
      </c>
    </row>
    <row r="197" spans="1:4" x14ac:dyDescent="0.2">
      <c r="A197" s="69">
        <f>A196+1</f>
        <v>2</v>
      </c>
      <c r="B197" s="70">
        <f>'CAPGDS1000000935 Input'!B18</f>
        <v>45702</v>
      </c>
      <c r="D197" s="71">
        <v>0</v>
      </c>
    </row>
    <row r="198" spans="1:4" x14ac:dyDescent="0.2">
      <c r="A198" s="69">
        <f>A197+1</f>
        <v>3</v>
      </c>
      <c r="B198" s="70">
        <f>'CAPGDS1000000935 Input'!B19</f>
        <v>45732</v>
      </c>
      <c r="D198" s="71">
        <v>0</v>
      </c>
    </row>
    <row r="199" spans="1:4" x14ac:dyDescent="0.2">
      <c r="A199" s="69">
        <f t="shared" ref="A199:A212" si="0">A198+1</f>
        <v>4</v>
      </c>
      <c r="B199" s="70">
        <f>'CAPGDS1000000935 Input'!B20</f>
        <v>45762</v>
      </c>
      <c r="D199" s="71">
        <v>0</v>
      </c>
    </row>
    <row r="200" spans="1:4" x14ac:dyDescent="0.2">
      <c r="A200" s="69">
        <f t="shared" si="0"/>
        <v>5</v>
      </c>
      <c r="B200" s="70">
        <f>'CAPGDS1000000935 Input'!B21</f>
        <v>45792</v>
      </c>
      <c r="D200" s="71">
        <v>0</v>
      </c>
    </row>
    <row r="201" spans="1:4" x14ac:dyDescent="0.2">
      <c r="A201" s="69">
        <f t="shared" si="0"/>
        <v>6</v>
      </c>
      <c r="B201" s="70">
        <f>'CAPGDS1000000935 Input'!B22</f>
        <v>45822</v>
      </c>
      <c r="D201" s="71">
        <v>0</v>
      </c>
    </row>
    <row r="202" spans="1:4" x14ac:dyDescent="0.2">
      <c r="A202" s="69">
        <f t="shared" si="0"/>
        <v>7</v>
      </c>
      <c r="B202" s="70">
        <f>'CAPGDS1000000935 Input'!B23</f>
        <v>45852</v>
      </c>
      <c r="D202" s="71">
        <v>0</v>
      </c>
    </row>
    <row r="203" spans="1:4" x14ac:dyDescent="0.2">
      <c r="A203" s="69">
        <f t="shared" si="0"/>
        <v>8</v>
      </c>
      <c r="B203" s="70">
        <f>'CAPGDS1000000935 Input'!B24</f>
        <v>45882</v>
      </c>
      <c r="D203" s="71">
        <v>0</v>
      </c>
    </row>
    <row r="204" spans="1:4" x14ac:dyDescent="0.2">
      <c r="A204" s="69">
        <f t="shared" si="0"/>
        <v>9</v>
      </c>
      <c r="B204" s="70">
        <f>'CAPGDS1000000935 Input'!B25</f>
        <v>45912</v>
      </c>
      <c r="D204" s="71">
        <v>0</v>
      </c>
    </row>
    <row r="205" spans="1:4" x14ac:dyDescent="0.2">
      <c r="A205" s="69">
        <f t="shared" si="0"/>
        <v>10</v>
      </c>
      <c r="B205" s="70">
        <f>'CAPGDS1000000935 Input'!B26</f>
        <v>45942</v>
      </c>
      <c r="D205" s="71">
        <v>0</v>
      </c>
    </row>
    <row r="206" spans="1:4" x14ac:dyDescent="0.2">
      <c r="A206" s="69">
        <f t="shared" si="0"/>
        <v>11</v>
      </c>
      <c r="B206" s="70">
        <f>'CAPGDS1000000935 Input'!B27</f>
        <v>45972</v>
      </c>
      <c r="D206" s="71">
        <v>0</v>
      </c>
    </row>
    <row r="207" spans="1:4" x14ac:dyDescent="0.2">
      <c r="A207" s="69">
        <f t="shared" si="0"/>
        <v>12</v>
      </c>
      <c r="B207" s="70">
        <f>'CAPGDS1000000935 Input'!B28</f>
        <v>46002</v>
      </c>
      <c r="D207" s="79">
        <v>15332417.01</v>
      </c>
    </row>
    <row r="208" spans="1:4" x14ac:dyDescent="0.2">
      <c r="A208" s="69">
        <f t="shared" si="0"/>
        <v>13</v>
      </c>
      <c r="B208" s="70"/>
      <c r="D208" s="75"/>
    </row>
    <row r="209" spans="1:4" ht="12" thickBot="1" x14ac:dyDescent="0.25">
      <c r="A209" s="69">
        <f t="shared" si="0"/>
        <v>14</v>
      </c>
      <c r="B209" s="70" t="s">
        <v>40</v>
      </c>
      <c r="D209" s="76">
        <f>SUM(D199:D208)</f>
        <v>15332417.01</v>
      </c>
    </row>
    <row r="210" spans="1:4" ht="12" thickTop="1" x14ac:dyDescent="0.2">
      <c r="A210" s="69">
        <f t="shared" si="0"/>
        <v>15</v>
      </c>
    </row>
    <row r="211" spans="1:4" x14ac:dyDescent="0.2">
      <c r="A211" s="69">
        <f t="shared" si="0"/>
        <v>16</v>
      </c>
      <c r="D211" s="65" t="s">
        <v>85</v>
      </c>
    </row>
    <row r="212" spans="1:4" x14ac:dyDescent="0.2">
      <c r="A212" s="69">
        <f t="shared" si="0"/>
        <v>17</v>
      </c>
      <c r="D212" s="65" t="s">
        <v>107</v>
      </c>
    </row>
  </sheetData>
  <mergeCells count="11">
    <mergeCell ref="A186:J186"/>
    <mergeCell ref="A187:J187"/>
    <mergeCell ref="A128:J128"/>
    <mergeCell ref="A129:J129"/>
    <mergeCell ref="A1:J1"/>
    <mergeCell ref="A4:J4"/>
    <mergeCell ref="A7:J7"/>
    <mergeCell ref="A6:J6"/>
    <mergeCell ref="A8:J8"/>
    <mergeCell ref="A40:J40"/>
    <mergeCell ref="A41:J41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3" manualBreakCount="3">
    <brk id="34" max="9" man="1"/>
    <brk id="122" max="9" man="1"/>
    <brk id="180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684D-8371-4470-AFF3-1481B393B552}">
  <dimension ref="A1:N43"/>
  <sheetViews>
    <sheetView view="pageLayout" zoomScaleNormal="100" zoomScaleSheetLayoutView="91" workbookViewId="0">
      <selection sqref="A1:J1"/>
    </sheetView>
  </sheetViews>
  <sheetFormatPr defaultColWidth="8" defaultRowHeight="11.25" x14ac:dyDescent="0.2"/>
  <cols>
    <col min="1" max="1" width="4.140625" style="33" customWidth="1"/>
    <col min="2" max="2" width="13.7109375" style="33" customWidth="1"/>
    <col min="3" max="3" width="0.85546875" style="33" customWidth="1"/>
    <col min="4" max="4" width="17.42578125" style="33" customWidth="1"/>
    <col min="5" max="5" width="0.85546875" style="33" customWidth="1"/>
    <col min="6" max="6" width="10.140625" style="33" customWidth="1"/>
    <col min="7" max="7" width="0.85546875" style="33" customWidth="1"/>
    <col min="8" max="8" width="10.28515625" style="33" customWidth="1"/>
    <col min="9" max="9" width="0.85546875" style="33" customWidth="1"/>
    <col min="10" max="10" width="8" style="33"/>
    <col min="11" max="11" width="1.140625" style="33" customWidth="1"/>
    <col min="12" max="12" width="9.28515625" style="33" customWidth="1"/>
    <col min="13" max="13" width="1.42578125" style="33" customWidth="1"/>
    <col min="14" max="16384" width="8" style="33"/>
  </cols>
  <sheetData>
    <row r="1" spans="1:14" ht="13.5" customHeight="1" x14ac:dyDescent="0.2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4" ht="13.5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4" ht="13.5" customHeight="1" x14ac:dyDescent="0.2"/>
    <row r="4" spans="1:14" ht="13.5" customHeight="1" x14ac:dyDescent="0.2"/>
    <row r="5" spans="1:14" ht="13.5" customHeight="1" x14ac:dyDescent="0.2"/>
    <row r="6" spans="1:14" ht="13.5" customHeight="1" x14ac:dyDescent="0.2"/>
    <row r="7" spans="1:14" ht="12" customHeight="1" x14ac:dyDescent="0.2">
      <c r="A7" s="145" t="s">
        <v>56</v>
      </c>
      <c r="B7" s="145"/>
      <c r="C7" s="145"/>
      <c r="D7" s="145"/>
      <c r="E7" s="145"/>
      <c r="F7" s="145"/>
      <c r="G7" s="145"/>
      <c r="H7" s="145"/>
      <c r="I7" s="145"/>
      <c r="J7" s="145"/>
    </row>
    <row r="8" spans="1:14" x14ac:dyDescent="0.2">
      <c r="B8" s="146"/>
      <c r="C8" s="147"/>
      <c r="D8" s="147"/>
      <c r="F8" s="148"/>
      <c r="G8" s="148"/>
      <c r="H8" s="148"/>
    </row>
    <row r="9" spans="1:14" x14ac:dyDescent="0.2">
      <c r="B9" s="90" t="s">
        <v>57</v>
      </c>
      <c r="D9" s="91" t="s">
        <v>123</v>
      </c>
      <c r="E9" s="34"/>
      <c r="F9" s="143" t="s">
        <v>124</v>
      </c>
      <c r="G9" s="144"/>
      <c r="H9" s="144"/>
      <c r="I9" s="144"/>
      <c r="J9" s="144"/>
    </row>
    <row r="10" spans="1:14" x14ac:dyDescent="0.2">
      <c r="B10" s="34" t="s">
        <v>58</v>
      </c>
      <c r="D10" s="92">
        <v>1</v>
      </c>
      <c r="F10" s="34" t="s">
        <v>59</v>
      </c>
      <c r="H10" s="99">
        <v>1</v>
      </c>
    </row>
    <row r="11" spans="1:14" x14ac:dyDescent="0.2">
      <c r="L11" s="36" t="s">
        <v>60</v>
      </c>
      <c r="N11" s="36" t="s">
        <v>47</v>
      </c>
    </row>
    <row r="12" spans="1:14" x14ac:dyDescent="0.2">
      <c r="A12" s="33" t="s">
        <v>1</v>
      </c>
      <c r="F12" s="35" t="s">
        <v>61</v>
      </c>
      <c r="G12" s="35"/>
      <c r="H12" s="35"/>
      <c r="J12" s="36" t="s">
        <v>50</v>
      </c>
      <c r="L12" s="36" t="s">
        <v>50</v>
      </c>
      <c r="N12" s="36" t="s">
        <v>62</v>
      </c>
    </row>
    <row r="13" spans="1:14" x14ac:dyDescent="0.2">
      <c r="A13" s="89" t="s">
        <v>108</v>
      </c>
      <c r="B13" s="93" t="s">
        <v>63</v>
      </c>
      <c r="D13" s="37" t="s">
        <v>64</v>
      </c>
      <c r="E13" s="38"/>
      <c r="F13" s="37" t="s">
        <v>65</v>
      </c>
      <c r="H13" s="37" t="s">
        <v>66</v>
      </c>
      <c r="J13" s="37" t="s">
        <v>67</v>
      </c>
      <c r="L13" s="37" t="s">
        <v>67</v>
      </c>
      <c r="N13" s="37" t="s">
        <v>68</v>
      </c>
    </row>
    <row r="14" spans="1:14" x14ac:dyDescent="0.2">
      <c r="B14" s="94" t="s">
        <v>5</v>
      </c>
      <c r="D14" s="36" t="s">
        <v>6</v>
      </c>
      <c r="E14" s="38"/>
      <c r="F14" s="36" t="s">
        <v>7</v>
      </c>
      <c r="H14" s="36" t="s">
        <v>41</v>
      </c>
      <c r="J14" s="36" t="s">
        <v>42</v>
      </c>
      <c r="L14" s="36" t="s">
        <v>43</v>
      </c>
      <c r="N14" s="36" t="s">
        <v>44</v>
      </c>
    </row>
    <row r="15" spans="1:14" x14ac:dyDescent="0.2">
      <c r="B15" s="95"/>
      <c r="D15" s="36"/>
      <c r="E15" s="38"/>
      <c r="F15" s="36"/>
      <c r="H15" s="36"/>
      <c r="J15" s="36"/>
    </row>
    <row r="16" spans="1:14" x14ac:dyDescent="0.2">
      <c r="A16" s="36">
        <v>1</v>
      </c>
      <c r="B16" s="40">
        <v>45641</v>
      </c>
      <c r="D16" s="44">
        <v>0</v>
      </c>
      <c r="E16" s="38"/>
      <c r="F16" s="36" t="s">
        <v>121</v>
      </c>
      <c r="H16" s="6">
        <v>0.8</v>
      </c>
      <c r="J16" s="43">
        <f>1.5/68</f>
        <v>2.2058823529411766E-2</v>
      </c>
      <c r="L16" s="43">
        <v>3.7499999999999999E-2</v>
      </c>
      <c r="N16" s="96">
        <v>0.21</v>
      </c>
    </row>
    <row r="17" spans="1:10" x14ac:dyDescent="0.2">
      <c r="A17" s="36">
        <v>2</v>
      </c>
      <c r="B17" s="41">
        <v>45672</v>
      </c>
      <c r="D17" s="44">
        <v>0</v>
      </c>
      <c r="E17" s="38"/>
      <c r="F17" s="36" t="s">
        <v>122</v>
      </c>
      <c r="H17" s="6">
        <v>0.2</v>
      </c>
      <c r="J17" s="43">
        <f>1.45/52</f>
        <v>2.7884615384615383E-2</v>
      </c>
    </row>
    <row r="18" spans="1:10" x14ac:dyDescent="0.2">
      <c r="A18" s="36">
        <v>3</v>
      </c>
      <c r="B18" s="41">
        <f>B17+30</f>
        <v>45702</v>
      </c>
      <c r="D18" s="44">
        <v>0</v>
      </c>
      <c r="E18" s="38"/>
      <c r="F18" s="36" t="s">
        <v>69</v>
      </c>
      <c r="H18" s="6">
        <v>0</v>
      </c>
      <c r="J18" s="43">
        <v>0</v>
      </c>
    </row>
    <row r="19" spans="1:10" x14ac:dyDescent="0.2">
      <c r="A19" s="36">
        <v>4</v>
      </c>
      <c r="B19" s="41">
        <f t="shared" ref="B19:B28" si="0">B18+30</f>
        <v>45732</v>
      </c>
      <c r="D19" s="44">
        <v>0</v>
      </c>
      <c r="E19" s="38"/>
      <c r="F19" s="36" t="s">
        <v>69</v>
      </c>
      <c r="H19" s="6">
        <v>0</v>
      </c>
      <c r="J19" s="43">
        <v>0</v>
      </c>
    </row>
    <row r="20" spans="1:10" x14ac:dyDescent="0.2">
      <c r="A20" s="36">
        <v>5</v>
      </c>
      <c r="B20" s="41">
        <f t="shared" si="0"/>
        <v>45762</v>
      </c>
      <c r="D20" s="44">
        <f>+'CAPGDS1000000935 Support'!D199</f>
        <v>0</v>
      </c>
      <c r="E20" s="38"/>
      <c r="F20" s="36" t="s">
        <v>69</v>
      </c>
      <c r="H20" s="6">
        <v>0</v>
      </c>
      <c r="J20" s="43">
        <v>0</v>
      </c>
    </row>
    <row r="21" spans="1:10" x14ac:dyDescent="0.2">
      <c r="A21" s="36">
        <v>6</v>
      </c>
      <c r="B21" s="41">
        <f t="shared" si="0"/>
        <v>45792</v>
      </c>
      <c r="D21" s="44">
        <f>+'CAPGDS1000000935 Support'!D200+D20</f>
        <v>0</v>
      </c>
      <c r="E21" s="38"/>
      <c r="F21" s="36"/>
      <c r="H21" s="42" t="s">
        <v>9</v>
      </c>
      <c r="J21" s="43"/>
    </row>
    <row r="22" spans="1:10" x14ac:dyDescent="0.2">
      <c r="A22" s="36">
        <v>7</v>
      </c>
      <c r="B22" s="41">
        <f t="shared" si="0"/>
        <v>45822</v>
      </c>
      <c r="D22" s="44">
        <f>+'CAPGDS1000000935 Support'!D201+D21</f>
        <v>0</v>
      </c>
      <c r="E22" s="38"/>
      <c r="F22" s="36"/>
      <c r="H22" s="42" t="s">
        <v>9</v>
      </c>
      <c r="J22" s="43"/>
    </row>
    <row r="23" spans="1:10" x14ac:dyDescent="0.2">
      <c r="A23" s="36">
        <v>8</v>
      </c>
      <c r="B23" s="41">
        <f t="shared" si="0"/>
        <v>45852</v>
      </c>
      <c r="D23" s="44">
        <f>+'CAPGDS1000000935 Support'!D202+D22</f>
        <v>0</v>
      </c>
      <c r="E23" s="38"/>
      <c r="F23" s="36"/>
      <c r="H23" s="42" t="s">
        <v>9</v>
      </c>
      <c r="J23" s="43"/>
    </row>
    <row r="24" spans="1:10" x14ac:dyDescent="0.2">
      <c r="A24" s="36">
        <v>9</v>
      </c>
      <c r="B24" s="41">
        <f t="shared" si="0"/>
        <v>45882</v>
      </c>
      <c r="D24" s="44">
        <f>+'CAPGDS1000000935 Support'!D203+D23</f>
        <v>0</v>
      </c>
      <c r="E24" s="38"/>
      <c r="F24" s="36"/>
      <c r="H24" s="42" t="s">
        <v>9</v>
      </c>
      <c r="J24" s="43"/>
    </row>
    <row r="25" spans="1:10" x14ac:dyDescent="0.2">
      <c r="A25" s="36">
        <v>10</v>
      </c>
      <c r="B25" s="41">
        <f t="shared" si="0"/>
        <v>45912</v>
      </c>
      <c r="D25" s="44">
        <f>+'CAPGDS1000000935 Support'!D204+D24</f>
        <v>0</v>
      </c>
      <c r="E25" s="38"/>
      <c r="F25" s="36"/>
      <c r="H25" s="42" t="s">
        <v>9</v>
      </c>
      <c r="J25" s="43"/>
    </row>
    <row r="26" spans="1:10" x14ac:dyDescent="0.2">
      <c r="A26" s="36">
        <v>11</v>
      </c>
      <c r="B26" s="41">
        <f t="shared" si="0"/>
        <v>45942</v>
      </c>
      <c r="D26" s="116">
        <f>+'CAPGDS1000000166 Support'!D234+D25</f>
        <v>978422.96</v>
      </c>
      <c r="E26" s="38"/>
      <c r="F26" s="36"/>
      <c r="H26" s="42" t="s">
        <v>9</v>
      </c>
      <c r="J26" s="43"/>
    </row>
    <row r="27" spans="1:10" x14ac:dyDescent="0.2">
      <c r="A27" s="36">
        <v>12</v>
      </c>
      <c r="B27" s="41">
        <f t="shared" si="0"/>
        <v>45972</v>
      </c>
      <c r="D27" s="116">
        <f>+'CAPGDS1000000166 Support'!D235+D26</f>
        <v>978422.96</v>
      </c>
      <c r="E27" s="38"/>
      <c r="H27" s="42" t="s">
        <v>9</v>
      </c>
      <c r="J27" s="43"/>
    </row>
    <row r="28" spans="1:10" x14ac:dyDescent="0.2">
      <c r="A28" s="36">
        <v>13</v>
      </c>
      <c r="B28" s="41">
        <f t="shared" si="0"/>
        <v>46002</v>
      </c>
      <c r="D28" s="116">
        <f>+'CAPGDS1000000166 Support'!D236+D27</f>
        <v>978095.55999999994</v>
      </c>
      <c r="E28" s="38"/>
      <c r="H28" s="42"/>
      <c r="J28" s="43"/>
    </row>
    <row r="29" spans="1:10" x14ac:dyDescent="0.2">
      <c r="A29" s="36">
        <v>14</v>
      </c>
      <c r="D29" s="44"/>
      <c r="E29" s="38"/>
      <c r="J29" s="43"/>
    </row>
    <row r="30" spans="1:10" x14ac:dyDescent="0.2">
      <c r="A30" s="36">
        <v>15</v>
      </c>
      <c r="B30" s="34" t="s">
        <v>70</v>
      </c>
      <c r="D30" s="97">
        <v>45659</v>
      </c>
    </row>
    <row r="31" spans="1:10" x14ac:dyDescent="0.2">
      <c r="A31" s="36">
        <v>16</v>
      </c>
      <c r="B31" s="34" t="s">
        <v>71</v>
      </c>
      <c r="D31" s="98">
        <v>978096</v>
      </c>
    </row>
    <row r="33" spans="2:2" x14ac:dyDescent="0.2">
      <c r="B33" s="45" t="s">
        <v>72</v>
      </c>
    </row>
    <row r="34" spans="2:2" x14ac:dyDescent="0.2">
      <c r="B34" s="45" t="s">
        <v>73</v>
      </c>
    </row>
    <row r="35" spans="2:2" x14ac:dyDescent="0.2">
      <c r="B35" s="45" t="s">
        <v>167</v>
      </c>
    </row>
    <row r="36" spans="2:2" x14ac:dyDescent="0.2">
      <c r="B36" s="45" t="s">
        <v>168</v>
      </c>
    </row>
    <row r="37" spans="2:2" x14ac:dyDescent="0.2">
      <c r="B37" s="45" t="s">
        <v>172</v>
      </c>
    </row>
    <row r="38" spans="2:2" x14ac:dyDescent="0.2">
      <c r="B38" s="45" t="s">
        <v>169</v>
      </c>
    </row>
    <row r="39" spans="2:2" x14ac:dyDescent="0.2">
      <c r="B39" s="45" t="s">
        <v>170</v>
      </c>
    </row>
    <row r="40" spans="2:2" x14ac:dyDescent="0.2">
      <c r="B40" s="45" t="s">
        <v>171</v>
      </c>
    </row>
    <row r="41" spans="2:2" x14ac:dyDescent="0.2">
      <c r="B41" s="33" t="s">
        <v>74</v>
      </c>
    </row>
    <row r="42" spans="2:2" x14ac:dyDescent="0.2">
      <c r="B42" s="82" t="s">
        <v>160</v>
      </c>
    </row>
    <row r="43" spans="2:2" x14ac:dyDescent="0.2">
      <c r="B43" s="33" t="s">
        <v>75</v>
      </c>
    </row>
  </sheetData>
  <mergeCells count="6">
    <mergeCell ref="F9:J9"/>
    <mergeCell ref="A1:J1"/>
    <mergeCell ref="A2:J2"/>
    <mergeCell ref="A7:J7"/>
    <mergeCell ref="B8:D8"/>
    <mergeCell ref="F8:H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DE0F-11E3-44E2-A4FB-C886A93F67D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9" customWidth="1"/>
    <col min="2" max="2" width="1" style="49" customWidth="1"/>
    <col min="3" max="3" width="14.7109375" style="49" customWidth="1"/>
    <col min="4" max="4" width="1" style="49" customWidth="1"/>
    <col min="5" max="5" width="17.85546875" style="49" customWidth="1"/>
    <col min="6" max="6" width="1" style="49" customWidth="1"/>
    <col min="7" max="7" width="17.85546875" style="49" customWidth="1"/>
    <col min="8" max="8" width="1" style="49" customWidth="1"/>
    <col min="9" max="9" width="15.85546875" style="49" customWidth="1"/>
    <col min="10" max="10" width="6.42578125" style="49" customWidth="1"/>
    <col min="11" max="11" width="4.85546875" style="49" customWidth="1"/>
    <col min="12" max="12" width="1" style="49" customWidth="1"/>
    <col min="13" max="13" width="25.140625" style="49" customWidth="1"/>
    <col min="14" max="14" width="1" style="49" customWidth="1"/>
    <col min="15" max="15" width="14.85546875" style="49" customWidth="1"/>
    <col min="16" max="16" width="1" style="49" customWidth="1"/>
    <col min="17" max="17" width="14.85546875" style="49" customWidth="1"/>
    <col min="18" max="18" width="1" style="49" customWidth="1"/>
    <col min="19" max="19" width="13.85546875" style="49" customWidth="1"/>
    <col min="20" max="20" width="6.42578125" style="49" customWidth="1"/>
    <col min="21" max="21" width="4.85546875" style="49" customWidth="1"/>
    <col min="22" max="22" width="1" style="49" customWidth="1"/>
    <col min="23" max="23" width="25.140625" style="49" customWidth="1"/>
    <col min="24" max="24" width="1" style="49" customWidth="1"/>
    <col min="25" max="25" width="14.85546875" style="49" customWidth="1"/>
    <col min="26" max="26" width="1" style="49" customWidth="1"/>
    <col min="27" max="27" width="14.85546875" style="49" customWidth="1"/>
    <col min="28" max="28" width="1" style="49" customWidth="1"/>
    <col min="29" max="29" width="13.85546875" style="49" customWidth="1"/>
    <col min="30" max="30" width="6.42578125" style="49" customWidth="1"/>
    <col min="31" max="31" width="4.85546875" style="49" customWidth="1"/>
    <col min="32" max="32" width="1" style="49" customWidth="1"/>
    <col min="33" max="33" width="25.140625" style="49" customWidth="1"/>
    <col min="34" max="34" width="1" style="49" customWidth="1"/>
    <col min="35" max="35" width="14.85546875" style="49" customWidth="1"/>
    <col min="36" max="36" width="1" style="49" customWidth="1"/>
    <col min="37" max="37" width="14.85546875" style="49" customWidth="1"/>
    <col min="38" max="38" width="1" style="49" customWidth="1"/>
    <col min="39" max="39" width="13.85546875" style="49" customWidth="1"/>
    <col min="40" max="40" width="6.42578125" style="49" customWidth="1"/>
    <col min="41" max="41" width="4.85546875" style="49" customWidth="1"/>
    <col min="42" max="42" width="1" style="49" customWidth="1"/>
    <col min="43" max="43" width="17.85546875" style="49" customWidth="1"/>
    <col min="44" max="44" width="1" style="49" customWidth="1"/>
    <col min="45" max="45" width="14.85546875" style="49" customWidth="1"/>
    <col min="46" max="46" width="1" style="49" customWidth="1"/>
    <col min="47" max="47" width="14.85546875" style="49" customWidth="1"/>
    <col min="48" max="48" width="1" style="49" customWidth="1"/>
    <col min="49" max="49" width="13.85546875" style="49" customWidth="1"/>
    <col min="50" max="16384" width="11" style="49"/>
  </cols>
  <sheetData>
    <row r="1" spans="1:10" x14ac:dyDescent="0.2">
      <c r="A1" s="46"/>
      <c r="B1" s="46"/>
      <c r="C1" s="47"/>
      <c r="D1" s="47"/>
      <c r="E1" s="47"/>
      <c r="F1" s="47"/>
      <c r="G1" s="47"/>
      <c r="H1" s="47"/>
      <c r="I1" s="47"/>
      <c r="J1" s="48" t="s">
        <v>9</v>
      </c>
    </row>
    <row r="2" spans="1:10" x14ac:dyDescent="0.2">
      <c r="A2" s="46"/>
      <c r="B2" s="46"/>
      <c r="C2" s="47"/>
      <c r="D2" s="47"/>
      <c r="E2" s="47"/>
      <c r="F2" s="47"/>
      <c r="G2" s="47"/>
      <c r="H2" s="47"/>
      <c r="I2" s="47"/>
      <c r="J2" s="48" t="s">
        <v>9</v>
      </c>
    </row>
    <row r="3" spans="1:10" x14ac:dyDescent="0.2">
      <c r="J3" s="48" t="s">
        <v>9</v>
      </c>
    </row>
    <row r="4" spans="1:10" x14ac:dyDescent="0.2">
      <c r="J4" s="48"/>
    </row>
    <row r="5" spans="1:10" x14ac:dyDescent="0.2">
      <c r="J5" s="48"/>
    </row>
    <row r="6" spans="1:10" x14ac:dyDescent="0.2">
      <c r="A6" s="149"/>
      <c r="B6" s="149"/>
      <c r="C6" s="149"/>
      <c r="D6" s="149"/>
      <c r="E6" s="149"/>
      <c r="F6" s="149"/>
      <c r="G6" s="149"/>
      <c r="H6" s="149"/>
      <c r="I6" s="149"/>
      <c r="J6" s="48"/>
    </row>
    <row r="7" spans="1:10" x14ac:dyDescent="0.2">
      <c r="A7" s="46" t="str">
        <f>'CAPGDS1000000166 Input'!A7:J7</f>
        <v>Pro Forma Adjustment - Project In Service During Test Year</v>
      </c>
      <c r="B7" s="46"/>
      <c r="C7" s="47"/>
      <c r="D7" s="47"/>
      <c r="E7" s="47"/>
      <c r="F7" s="47"/>
      <c r="G7" s="47"/>
      <c r="H7" s="47"/>
      <c r="I7" s="47"/>
      <c r="J7" s="48"/>
    </row>
    <row r="8" spans="1:10" x14ac:dyDescent="0.2">
      <c r="A8" s="150" t="str">
        <f>'CAPGDS1000000166 Input'!F9</f>
        <v>SFS - 6 Mile Serve Load</v>
      </c>
      <c r="B8" s="150"/>
      <c r="C8" s="150"/>
      <c r="D8" s="150"/>
      <c r="E8" s="150"/>
      <c r="F8" s="150"/>
      <c r="G8" s="150"/>
      <c r="H8" s="150"/>
      <c r="I8" s="150"/>
      <c r="J8" s="48"/>
    </row>
    <row r="9" spans="1:10" x14ac:dyDescent="0.2">
      <c r="A9" s="50"/>
      <c r="B9" s="50"/>
      <c r="C9" s="48"/>
      <c r="D9" s="48"/>
      <c r="E9" s="48"/>
      <c r="F9" s="48"/>
      <c r="G9" s="48"/>
      <c r="H9" s="48"/>
      <c r="I9" s="48"/>
      <c r="J9" s="48"/>
    </row>
    <row r="10" spans="1:10" x14ac:dyDescent="0.2">
      <c r="A10" s="50" t="s">
        <v>76</v>
      </c>
      <c r="B10" s="50"/>
      <c r="C10" s="48"/>
      <c r="D10" s="48"/>
      <c r="E10" s="48"/>
      <c r="F10" s="48"/>
      <c r="G10" s="48"/>
      <c r="H10" s="48"/>
      <c r="I10" s="48"/>
      <c r="J10" s="48" t="s">
        <v>9</v>
      </c>
    </row>
    <row r="11" spans="1:10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  <c r="J11" s="48" t="s">
        <v>9</v>
      </c>
    </row>
    <row r="13" spans="1:10" ht="12" thickBot="1" x14ac:dyDescent="0.25">
      <c r="A13" s="65" t="s">
        <v>77</v>
      </c>
      <c r="E13" s="51" t="s">
        <v>78</v>
      </c>
      <c r="F13" s="52"/>
      <c r="G13" s="52"/>
      <c r="H13" s="52"/>
      <c r="I13" s="52"/>
    </row>
    <row r="14" spans="1:10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0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0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0" x14ac:dyDescent="0.2">
      <c r="A17" s="49">
        <v>1</v>
      </c>
      <c r="C17" s="56">
        <f>'CAPGDS1000000166 Input'!B16</f>
        <v>45641</v>
      </c>
      <c r="D17" s="56"/>
      <c r="E17" s="117">
        <f>'CAPGDS1000000166 Input'!D16*'CAPGDS1000000166 Input'!$D$10*'CAPGDS1000000166 Input'!$H$10</f>
        <v>0</v>
      </c>
      <c r="F17" s="118"/>
      <c r="G17" s="117">
        <f>'CAPGDS1000000166 Input'!D31*'CAPGDS1000000166 Input'!D10*'CAPGDS1000000166 Input'!H10</f>
        <v>978096</v>
      </c>
      <c r="H17" s="118"/>
      <c r="I17" s="117">
        <f>G17-E18</f>
        <v>978096</v>
      </c>
    </row>
    <row r="18" spans="1:10" x14ac:dyDescent="0.2">
      <c r="A18" s="49">
        <f t="shared" ref="A18:A40" si="0">1+A17</f>
        <v>2</v>
      </c>
      <c r="C18" s="56">
        <f>'CAPGDS1000000166 Input'!B17</f>
        <v>45672</v>
      </c>
      <c r="D18" s="56"/>
      <c r="E18" s="78">
        <f>'CAPGDS1000000166 Input'!D17*'CAPGDS1000000166 Input'!$D$10*'CAPGDS1000000166 Input'!$H$10</f>
        <v>0</v>
      </c>
      <c r="F18" s="8"/>
      <c r="G18" s="8">
        <f t="shared" ref="G18:G29" si="1">$G$17</f>
        <v>978096</v>
      </c>
      <c r="H18" s="8"/>
      <c r="I18" s="8">
        <f t="shared" ref="I18:I29" si="2">G18-E18</f>
        <v>978096</v>
      </c>
    </row>
    <row r="19" spans="1:10" x14ac:dyDescent="0.2">
      <c r="A19" s="49">
        <f t="shared" si="0"/>
        <v>3</v>
      </c>
      <c r="C19" s="56">
        <f>'CAPGDS1000000166 Input'!B18</f>
        <v>45702</v>
      </c>
      <c r="D19" s="56"/>
      <c r="E19" s="78">
        <f>'CAPGDS1000000166 Input'!D18*'CAPGDS1000000166 Input'!$D$10*'CAPGDS1000000166 Input'!$H$10</f>
        <v>0</v>
      </c>
      <c r="F19" s="8"/>
      <c r="G19" s="8">
        <f t="shared" si="1"/>
        <v>978096</v>
      </c>
      <c r="H19" s="8"/>
      <c r="I19" s="8">
        <f t="shared" si="2"/>
        <v>978096</v>
      </c>
      <c r="J19" s="57"/>
    </row>
    <row r="20" spans="1:10" x14ac:dyDescent="0.2">
      <c r="A20" s="49">
        <f t="shared" si="0"/>
        <v>4</v>
      </c>
      <c r="C20" s="56">
        <f>'CAPGDS1000000166 Input'!B19</f>
        <v>45732</v>
      </c>
      <c r="D20" s="56"/>
      <c r="E20" s="78">
        <f>'CAPGDS1000000166 Input'!D19*'CAPGDS1000000166 Input'!$D$10*'CAPGDS1000000166 Input'!$H$10</f>
        <v>0</v>
      </c>
      <c r="F20" s="8"/>
      <c r="G20" s="8">
        <f t="shared" si="1"/>
        <v>978096</v>
      </c>
      <c r="H20" s="8"/>
      <c r="I20" s="8">
        <f t="shared" si="2"/>
        <v>978096</v>
      </c>
      <c r="J20" s="57"/>
    </row>
    <row r="21" spans="1:10" x14ac:dyDescent="0.2">
      <c r="A21" s="49">
        <f t="shared" si="0"/>
        <v>5</v>
      </c>
      <c r="C21" s="56">
        <f>'CAPGDS1000000166 Input'!B20</f>
        <v>45762</v>
      </c>
      <c r="D21" s="56"/>
      <c r="E21" s="78">
        <f>'CAPGDS1000000166 Input'!D20*'CAPGDS1000000166 Input'!$D$10*'CAPGDS1000000166 Input'!$H$10</f>
        <v>0</v>
      </c>
      <c r="F21" s="8"/>
      <c r="G21" s="8">
        <f t="shared" si="1"/>
        <v>978096</v>
      </c>
      <c r="H21" s="8"/>
      <c r="I21" s="8">
        <f t="shared" si="2"/>
        <v>978096</v>
      </c>
      <c r="J21" s="57"/>
    </row>
    <row r="22" spans="1:10" x14ac:dyDescent="0.2">
      <c r="A22" s="49">
        <f t="shared" si="0"/>
        <v>6</v>
      </c>
      <c r="C22" s="56">
        <f>'CAPGDS1000000166 Input'!B21</f>
        <v>45792</v>
      </c>
      <c r="D22" s="56"/>
      <c r="E22" s="78">
        <f>'CAPGDS1000000166 Input'!D21*'CAPGDS1000000166 Input'!$D$10*'CAPGDS1000000166 Input'!$H$10</f>
        <v>0</v>
      </c>
      <c r="F22" s="8"/>
      <c r="G22" s="8">
        <f t="shared" si="1"/>
        <v>978096</v>
      </c>
      <c r="H22" s="8"/>
      <c r="I22" s="8">
        <f t="shared" si="2"/>
        <v>978096</v>
      </c>
      <c r="J22" s="57"/>
    </row>
    <row r="23" spans="1:10" x14ac:dyDescent="0.2">
      <c r="A23" s="49">
        <f t="shared" si="0"/>
        <v>7</v>
      </c>
      <c r="C23" s="56">
        <f>'CAPGDS1000000166 Input'!B22</f>
        <v>45822</v>
      </c>
      <c r="D23" s="56"/>
      <c r="E23" s="78">
        <f>'CAPGDS1000000166 Input'!D22*'CAPGDS1000000166 Input'!$D$10*'CAPGDS1000000166 Input'!$H$10</f>
        <v>0</v>
      </c>
      <c r="F23" s="8"/>
      <c r="G23" s="8">
        <f t="shared" si="1"/>
        <v>978096</v>
      </c>
      <c r="H23" s="8"/>
      <c r="I23" s="8">
        <f t="shared" si="2"/>
        <v>978096</v>
      </c>
      <c r="J23" s="57"/>
    </row>
    <row r="24" spans="1:10" x14ac:dyDescent="0.2">
      <c r="A24" s="49">
        <f t="shared" si="0"/>
        <v>8</v>
      </c>
      <c r="C24" s="56">
        <f>'CAPGDS1000000166 Input'!B23</f>
        <v>45852</v>
      </c>
      <c r="D24" s="56"/>
      <c r="E24" s="78">
        <f>'CAPGDS1000000166 Input'!D23*'CAPGDS1000000166 Input'!$D$10*'CAPGDS1000000166 Input'!$H$10</f>
        <v>0</v>
      </c>
      <c r="F24" s="8"/>
      <c r="G24" s="8">
        <f t="shared" si="1"/>
        <v>978096</v>
      </c>
      <c r="H24" s="8"/>
      <c r="I24" s="8">
        <f t="shared" si="2"/>
        <v>978096</v>
      </c>
      <c r="J24" s="57"/>
    </row>
    <row r="25" spans="1:10" x14ac:dyDescent="0.2">
      <c r="A25" s="49">
        <f t="shared" si="0"/>
        <v>9</v>
      </c>
      <c r="C25" s="56">
        <f>'CAPGDS1000000166 Input'!B24</f>
        <v>45882</v>
      </c>
      <c r="D25" s="56"/>
      <c r="E25" s="78">
        <f>'CAPGDS1000000166 Input'!D24*'CAPGDS1000000166 Input'!$D$10*'CAPGDS1000000166 Input'!$H$10</f>
        <v>0</v>
      </c>
      <c r="F25" s="8"/>
      <c r="G25" s="8">
        <f t="shared" si="1"/>
        <v>978096</v>
      </c>
      <c r="H25" s="8"/>
      <c r="I25" s="8">
        <f t="shared" si="2"/>
        <v>978096</v>
      </c>
      <c r="J25" s="57"/>
    </row>
    <row r="26" spans="1:10" x14ac:dyDescent="0.2">
      <c r="A26" s="49">
        <f t="shared" si="0"/>
        <v>10</v>
      </c>
      <c r="C26" s="56">
        <f>'CAPGDS1000000166 Input'!B25</f>
        <v>45912</v>
      </c>
      <c r="D26" s="56"/>
      <c r="E26" s="78">
        <f>'CAPGDS1000000166 Input'!D25*'CAPGDS1000000166 Input'!$D$10*'CAPGDS1000000166 Input'!$H$10</f>
        <v>0</v>
      </c>
      <c r="F26" s="8"/>
      <c r="G26" s="8">
        <f t="shared" si="1"/>
        <v>978096</v>
      </c>
      <c r="H26" s="8"/>
      <c r="I26" s="8">
        <f t="shared" si="2"/>
        <v>978096</v>
      </c>
      <c r="J26" s="57"/>
    </row>
    <row r="27" spans="1:10" x14ac:dyDescent="0.2">
      <c r="A27" s="49">
        <f t="shared" si="0"/>
        <v>11</v>
      </c>
      <c r="C27" s="56">
        <f>'CAPGDS1000000166 Input'!B26</f>
        <v>45942</v>
      </c>
      <c r="D27" s="56"/>
      <c r="E27" s="78">
        <f>'CAPGDS1000000166 Input'!D26*'CAPGDS1000000166 Input'!$D$10*'CAPGDS1000000166 Input'!$H$10</f>
        <v>978422.96</v>
      </c>
      <c r="F27" s="8"/>
      <c r="G27" s="8">
        <f t="shared" si="1"/>
        <v>978096</v>
      </c>
      <c r="H27" s="8"/>
      <c r="I27" s="8">
        <f t="shared" si="2"/>
        <v>-326.95999999996275</v>
      </c>
      <c r="J27" s="57"/>
    </row>
    <row r="28" spans="1:10" x14ac:dyDescent="0.2">
      <c r="A28" s="49">
        <f t="shared" si="0"/>
        <v>12</v>
      </c>
      <c r="C28" s="56">
        <f>'CAPGDS1000000166 Input'!B27</f>
        <v>45972</v>
      </c>
      <c r="D28" s="56"/>
      <c r="E28" s="78">
        <f>'CAPGDS1000000166 Input'!D27*'CAPGDS1000000166 Input'!$D$10*'CAPGDS1000000166 Input'!$H$10</f>
        <v>978422.96</v>
      </c>
      <c r="F28" s="8"/>
      <c r="G28" s="8">
        <f t="shared" si="1"/>
        <v>978096</v>
      </c>
      <c r="H28" s="8"/>
      <c r="I28" s="8">
        <f t="shared" si="2"/>
        <v>-326.95999999996275</v>
      </c>
      <c r="J28" s="57"/>
    </row>
    <row r="29" spans="1:10" x14ac:dyDescent="0.2">
      <c r="A29" s="49">
        <f t="shared" si="0"/>
        <v>13</v>
      </c>
      <c r="C29" s="56">
        <f>'CAPGDS1000000166 Input'!B28</f>
        <v>46002</v>
      </c>
      <c r="D29" s="56"/>
      <c r="E29" s="130">
        <f>'CAPGDS1000000166 Input'!D28*'CAPGDS1000000166 Input'!$D$10*'CAPGDS1000000166 Input'!$H$10</f>
        <v>978095.55999999994</v>
      </c>
      <c r="F29" s="8"/>
      <c r="G29" s="131">
        <f t="shared" si="1"/>
        <v>978096</v>
      </c>
      <c r="H29" s="8"/>
      <c r="I29" s="131">
        <f t="shared" si="2"/>
        <v>0.44000000006053597</v>
      </c>
      <c r="J29" s="57"/>
    </row>
    <row r="30" spans="1:10" x14ac:dyDescent="0.2">
      <c r="A30" s="49">
        <f t="shared" si="0"/>
        <v>14</v>
      </c>
      <c r="C30" s="58" t="s">
        <v>46</v>
      </c>
      <c r="D30" s="58"/>
      <c r="E30" s="118">
        <f>SUM(E17:E29)</f>
        <v>2934941.48</v>
      </c>
      <c r="F30" s="118"/>
      <c r="G30" s="118">
        <f>SUM(G17:G29)</f>
        <v>12715248</v>
      </c>
      <c r="H30" s="118"/>
      <c r="I30" s="118">
        <f>SUM(I17:I29)</f>
        <v>9780306.5199999977</v>
      </c>
      <c r="J30" s="57"/>
    </row>
    <row r="31" spans="1:10" x14ac:dyDescent="0.2">
      <c r="A31" s="49">
        <f t="shared" si="0"/>
        <v>15</v>
      </c>
      <c r="E31" s="118"/>
      <c r="F31" s="118"/>
      <c r="G31" s="118"/>
      <c r="H31" s="118"/>
      <c r="I31" s="118"/>
      <c r="J31" s="57"/>
    </row>
    <row r="32" spans="1:10" ht="12" thickBot="1" x14ac:dyDescent="0.25">
      <c r="A32" s="49">
        <f t="shared" si="0"/>
        <v>16</v>
      </c>
      <c r="C32" s="60" t="s">
        <v>116</v>
      </c>
      <c r="D32" s="60"/>
      <c r="E32" s="121">
        <f>ROUND(+E30/13,2)</f>
        <v>225764.73</v>
      </c>
      <c r="F32" s="118"/>
      <c r="G32" s="121">
        <f>ROUND(+G30/13,2)</f>
        <v>978096</v>
      </c>
      <c r="H32" s="118"/>
      <c r="I32" s="121">
        <f>ROUND(+I30/13,2)</f>
        <v>752331.27</v>
      </c>
      <c r="J32" s="59"/>
    </row>
    <row r="33" spans="1:10" ht="12" thickTop="1" x14ac:dyDescent="0.2">
      <c r="A33" s="49">
        <f t="shared" si="0"/>
        <v>17</v>
      </c>
      <c r="E33" s="118"/>
      <c r="F33" s="118"/>
      <c r="G33" s="118"/>
      <c r="H33" s="118"/>
      <c r="I33" s="118"/>
      <c r="J33" s="57"/>
    </row>
    <row r="34" spans="1:10" x14ac:dyDescent="0.2">
      <c r="A34" s="49">
        <f t="shared" si="0"/>
        <v>18</v>
      </c>
      <c r="E34" s="122" t="s">
        <v>9</v>
      </c>
      <c r="F34" s="122"/>
      <c r="G34" s="122" t="s">
        <v>9</v>
      </c>
      <c r="H34" s="122"/>
      <c r="I34" s="122" t="s">
        <v>9</v>
      </c>
      <c r="J34" s="57"/>
    </row>
    <row r="35" spans="1:10" ht="12" thickBot="1" x14ac:dyDescent="0.25">
      <c r="A35" s="49">
        <f t="shared" si="0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752331.27</v>
      </c>
      <c r="J35" s="57"/>
    </row>
    <row r="36" spans="1:10" ht="12" thickTop="1" x14ac:dyDescent="0.2">
      <c r="A36" s="49">
        <f t="shared" si="0"/>
        <v>20</v>
      </c>
      <c r="J36" s="57"/>
    </row>
    <row r="37" spans="1:10" x14ac:dyDescent="0.2">
      <c r="A37" s="49">
        <f t="shared" si="0"/>
        <v>21</v>
      </c>
      <c r="J37" s="57"/>
    </row>
    <row r="38" spans="1:10" x14ac:dyDescent="0.2">
      <c r="A38" s="49">
        <f t="shared" si="0"/>
        <v>22</v>
      </c>
      <c r="J38" s="57"/>
    </row>
    <row r="39" spans="1:10" x14ac:dyDescent="0.2">
      <c r="A39" s="49">
        <f t="shared" si="0"/>
        <v>23</v>
      </c>
      <c r="J39" s="57"/>
    </row>
    <row r="40" spans="1:10" x14ac:dyDescent="0.2">
      <c r="A40" s="49">
        <f t="shared" si="0"/>
        <v>24</v>
      </c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53" spans="10:10" x14ac:dyDescent="0.2">
      <c r="J53" s="57"/>
    </row>
    <row r="54" spans="10:10" x14ac:dyDescent="0.2">
      <c r="J54" s="57"/>
    </row>
    <row r="70" spans="10:10" x14ac:dyDescent="0.2">
      <c r="J70" s="48"/>
    </row>
    <row r="71" spans="10:10" x14ac:dyDescent="0.2">
      <c r="J71" s="48"/>
    </row>
    <row r="72" spans="10:10" x14ac:dyDescent="0.2">
      <c r="J72" s="48"/>
    </row>
    <row r="73" spans="10:10" x14ac:dyDescent="0.2">
      <c r="J73" s="48"/>
    </row>
    <row r="74" spans="10:10" x14ac:dyDescent="0.2">
      <c r="J74" s="48"/>
    </row>
    <row r="82" spans="10:10" x14ac:dyDescent="0.2">
      <c r="J82" s="59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57"/>
    </row>
    <row r="94" spans="10:10" x14ac:dyDescent="0.2">
      <c r="J94" s="57"/>
    </row>
    <row r="95" spans="10:10" x14ac:dyDescent="0.2">
      <c r="J95" s="59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6" spans="10:10" x14ac:dyDescent="0.2">
      <c r="J106" s="57"/>
    </row>
    <row r="107" spans="10:10" x14ac:dyDescent="0.2">
      <c r="J107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18" spans="10:10" x14ac:dyDescent="0.2">
      <c r="J118" s="57"/>
    </row>
    <row r="119" spans="10:10" x14ac:dyDescent="0.2">
      <c r="J119" s="57"/>
    </row>
    <row r="135" spans="10:10" x14ac:dyDescent="0.2">
      <c r="J135" s="48"/>
    </row>
    <row r="136" spans="10:10" x14ac:dyDescent="0.2">
      <c r="J136" s="48"/>
    </row>
    <row r="137" spans="10:10" x14ac:dyDescent="0.2">
      <c r="J137" s="48"/>
    </row>
    <row r="138" spans="10:10" x14ac:dyDescent="0.2">
      <c r="J138" s="48"/>
    </row>
    <row r="139" spans="10:10" x14ac:dyDescent="0.2">
      <c r="J139" s="48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57"/>
    </row>
    <row r="160" spans="10:10" x14ac:dyDescent="0.2">
      <c r="J160" s="57"/>
    </row>
    <row r="161" spans="10:10" x14ac:dyDescent="0.2">
      <c r="J161" s="59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7" spans="10:10" x14ac:dyDescent="0.2">
      <c r="J167" s="57"/>
    </row>
    <row r="168" spans="10:10" x14ac:dyDescent="0.2">
      <c r="J168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3" spans="10:10" x14ac:dyDescent="0.2">
      <c r="J173" s="57"/>
    </row>
    <row r="174" spans="10:10" x14ac:dyDescent="0.2">
      <c r="J174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183" spans="10:10" x14ac:dyDescent="0.2">
      <c r="J183" s="57"/>
    </row>
    <row r="184" spans="10:10" x14ac:dyDescent="0.2">
      <c r="J184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57"/>
    </row>
    <row r="225" spans="10:10" x14ac:dyDescent="0.2">
      <c r="J225" s="57"/>
    </row>
    <row r="226" spans="10:10" x14ac:dyDescent="0.2">
      <c r="J226" s="59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52" spans="10:10" x14ac:dyDescent="0.2">
      <c r="J252" s="57"/>
    </row>
    <row r="253" spans="10:10" x14ac:dyDescent="0.2">
      <c r="J253" s="57"/>
    </row>
    <row r="277" spans="3:10" x14ac:dyDescent="0.2">
      <c r="C277" s="56"/>
      <c r="D277" s="56"/>
      <c r="E277" s="59"/>
      <c r="F277" s="59"/>
      <c r="G277" s="59"/>
      <c r="H277" s="59"/>
      <c r="I277" s="59"/>
    </row>
    <row r="278" spans="3:10" x14ac:dyDescent="0.2">
      <c r="C278" s="56"/>
      <c r="D278" s="56"/>
      <c r="E278" s="57"/>
      <c r="F278" s="57"/>
      <c r="G278" s="57"/>
      <c r="H278" s="57"/>
      <c r="I278" s="57"/>
      <c r="J278" s="57"/>
    </row>
    <row r="279" spans="3:10" x14ac:dyDescent="0.2">
      <c r="C279" s="56"/>
      <c r="D279" s="56"/>
      <c r="E279" s="57"/>
      <c r="F279" s="57"/>
      <c r="G279" s="57"/>
      <c r="H279" s="57"/>
      <c r="I279" s="57"/>
      <c r="J279" s="57"/>
    </row>
    <row r="280" spans="3:10" x14ac:dyDescent="0.2">
      <c r="C280" s="56"/>
      <c r="D280" s="56"/>
      <c r="E280" s="57"/>
      <c r="F280" s="57"/>
      <c r="G280" s="57"/>
      <c r="H280" s="57"/>
      <c r="I280" s="57"/>
      <c r="J280" s="57"/>
    </row>
    <row r="281" spans="3:10" x14ac:dyDescent="0.2">
      <c r="C281" s="56"/>
      <c r="D281" s="56"/>
      <c r="E281" s="57"/>
      <c r="F281" s="57"/>
      <c r="G281" s="57"/>
      <c r="H281" s="57"/>
      <c r="I281" s="57"/>
      <c r="J281" s="57"/>
    </row>
    <row r="282" spans="3:10" x14ac:dyDescent="0.2">
      <c r="C282" s="56"/>
      <c r="D282" s="56"/>
      <c r="E282" s="57"/>
      <c r="F282" s="57"/>
      <c r="G282" s="57"/>
      <c r="H282" s="57"/>
      <c r="I282" s="57"/>
      <c r="J282" s="57"/>
    </row>
    <row r="283" spans="3:10" x14ac:dyDescent="0.2">
      <c r="C283" s="56"/>
      <c r="D283" s="56"/>
      <c r="E283" s="57"/>
      <c r="F283" s="57"/>
      <c r="G283" s="57"/>
      <c r="H283" s="57"/>
      <c r="I283" s="57"/>
      <c r="J283" s="57"/>
    </row>
    <row r="284" spans="3:10" x14ac:dyDescent="0.2">
      <c r="C284" s="56"/>
      <c r="D284" s="56"/>
      <c r="E284" s="57"/>
      <c r="F284" s="57"/>
      <c r="G284" s="57"/>
      <c r="H284" s="57"/>
      <c r="I284" s="57"/>
      <c r="J284" s="57"/>
    </row>
    <row r="285" spans="3:10" x14ac:dyDescent="0.2">
      <c r="C285" s="56"/>
      <c r="D285" s="56"/>
      <c r="E285" s="57"/>
      <c r="F285" s="57"/>
      <c r="G285" s="57"/>
      <c r="H285" s="57"/>
      <c r="I285" s="57"/>
      <c r="J285" s="57"/>
    </row>
    <row r="286" spans="3:10" x14ac:dyDescent="0.2">
      <c r="C286" s="56"/>
      <c r="D286" s="56"/>
      <c r="E286" s="57"/>
      <c r="F286" s="57"/>
      <c r="G286" s="57"/>
      <c r="H286" s="57"/>
      <c r="I286" s="57"/>
      <c r="J286" s="57"/>
    </row>
    <row r="287" spans="3:10" x14ac:dyDescent="0.2">
      <c r="C287" s="56"/>
      <c r="D287" s="56"/>
      <c r="E287" s="57"/>
      <c r="F287" s="57"/>
      <c r="G287" s="57"/>
      <c r="H287" s="57"/>
      <c r="I287" s="57"/>
      <c r="J287" s="57"/>
    </row>
    <row r="288" spans="3:10" x14ac:dyDescent="0.2">
      <c r="C288" s="56"/>
      <c r="D288" s="56"/>
      <c r="E288" s="57"/>
      <c r="F288" s="57"/>
      <c r="G288" s="57"/>
      <c r="H288" s="57"/>
      <c r="I288" s="57"/>
      <c r="J288" s="57"/>
    </row>
    <row r="289" spans="3:10" x14ac:dyDescent="0.2">
      <c r="C289" s="56"/>
      <c r="D289" s="56"/>
      <c r="E289" s="57"/>
      <c r="F289" s="57"/>
      <c r="G289" s="57"/>
      <c r="H289" s="57"/>
      <c r="I289" s="57"/>
      <c r="J289" s="57"/>
    </row>
    <row r="290" spans="3:10" x14ac:dyDescent="0.2">
      <c r="C290" s="56"/>
      <c r="D290" s="56"/>
      <c r="E290" s="57"/>
      <c r="F290" s="57"/>
      <c r="G290" s="57"/>
      <c r="H290" s="57"/>
      <c r="I290" s="57"/>
      <c r="J290" s="57"/>
    </row>
    <row r="291" spans="3:10" x14ac:dyDescent="0.2">
      <c r="E291" s="59"/>
      <c r="F291" s="59"/>
      <c r="G291" s="59"/>
      <c r="H291" s="59"/>
      <c r="I291" s="59"/>
      <c r="J291" s="59"/>
    </row>
    <row r="292" spans="3:10" x14ac:dyDescent="0.2">
      <c r="E292" s="57"/>
      <c r="F292" s="57"/>
      <c r="G292" s="57"/>
      <c r="H292" s="57"/>
      <c r="I292" s="57"/>
      <c r="J292" s="57"/>
    </row>
    <row r="293" spans="3:10" x14ac:dyDescent="0.2">
      <c r="E293" s="57"/>
      <c r="F293" s="57"/>
      <c r="G293" s="57"/>
      <c r="H293" s="57"/>
      <c r="I293" s="57"/>
      <c r="J293" s="57"/>
    </row>
    <row r="294" spans="3:10" x14ac:dyDescent="0.2">
      <c r="E294" s="59"/>
      <c r="F294" s="59"/>
      <c r="G294" s="59"/>
      <c r="H294" s="59"/>
      <c r="I294" s="59"/>
      <c r="J294" s="57"/>
    </row>
    <row r="295" spans="3:10" x14ac:dyDescent="0.2">
      <c r="E295" s="57"/>
      <c r="F295" s="57"/>
      <c r="G295" s="57"/>
      <c r="H295" s="57"/>
      <c r="I295" s="57"/>
      <c r="J295" s="57"/>
    </row>
    <row r="296" spans="3:10" x14ac:dyDescent="0.2">
      <c r="E296" s="57"/>
      <c r="F296" s="57"/>
      <c r="G296" s="57"/>
      <c r="H296" s="57"/>
      <c r="I296" s="57"/>
      <c r="J296" s="57"/>
    </row>
    <row r="297" spans="3:10" x14ac:dyDescent="0.2">
      <c r="E297" s="57"/>
      <c r="F297" s="57"/>
      <c r="G297" s="57"/>
      <c r="H297" s="57"/>
      <c r="I297" s="57"/>
      <c r="J297" s="57"/>
    </row>
    <row r="298" spans="3:10" x14ac:dyDescent="0.2">
      <c r="E298" s="57"/>
      <c r="F298" s="57"/>
      <c r="G298" s="57"/>
      <c r="H298" s="57"/>
      <c r="I298" s="57"/>
      <c r="J298" s="57"/>
    </row>
    <row r="299" spans="3:10" x14ac:dyDescent="0.2">
      <c r="E299" s="57"/>
      <c r="F299" s="57"/>
      <c r="G299" s="57"/>
      <c r="H299" s="57"/>
      <c r="I299" s="57"/>
      <c r="J299" s="57"/>
    </row>
    <row r="300" spans="3:10" x14ac:dyDescent="0.2">
      <c r="E300" s="57"/>
      <c r="F300" s="57"/>
      <c r="G300" s="57"/>
      <c r="H300" s="57"/>
      <c r="I300" s="57"/>
      <c r="J300" s="57"/>
    </row>
    <row r="301" spans="3:10" x14ac:dyDescent="0.2">
      <c r="E301" s="57"/>
      <c r="F301" s="57"/>
      <c r="G301" s="57"/>
      <c r="H301" s="57"/>
      <c r="I301" s="57"/>
      <c r="J301" s="57"/>
    </row>
    <row r="302" spans="3:10" x14ac:dyDescent="0.2">
      <c r="E302" s="57"/>
      <c r="F302" s="57"/>
      <c r="G302" s="57"/>
      <c r="H302" s="57"/>
      <c r="I302" s="57"/>
      <c r="J302" s="57"/>
    </row>
    <row r="303" spans="3:10" x14ac:dyDescent="0.2">
      <c r="E303" s="57"/>
      <c r="F303" s="57"/>
      <c r="G303" s="57"/>
      <c r="H303" s="57"/>
      <c r="I303" s="57"/>
      <c r="J303" s="57"/>
    </row>
    <row r="304" spans="3:10" x14ac:dyDescent="0.2">
      <c r="E304" s="57"/>
      <c r="F304" s="57"/>
      <c r="G304" s="57"/>
      <c r="H304" s="57"/>
      <c r="I304" s="57"/>
      <c r="J304" s="57"/>
    </row>
    <row r="305" spans="5:10" x14ac:dyDescent="0.2">
      <c r="E305" s="57"/>
      <c r="F305" s="57"/>
      <c r="G305" s="57"/>
      <c r="H305" s="57"/>
      <c r="I305" s="57"/>
      <c r="J305" s="57"/>
    </row>
    <row r="342" spans="3:10" x14ac:dyDescent="0.2">
      <c r="C342" s="56"/>
      <c r="D342" s="56"/>
      <c r="E342" s="59"/>
      <c r="F342" s="59"/>
      <c r="G342" s="59"/>
      <c r="H342" s="59"/>
      <c r="I342" s="59"/>
    </row>
    <row r="343" spans="3:10" x14ac:dyDescent="0.2">
      <c r="C343" s="56"/>
      <c r="D343" s="56"/>
      <c r="E343" s="57"/>
      <c r="F343" s="57"/>
      <c r="G343" s="57"/>
      <c r="H343" s="57"/>
      <c r="I343" s="57"/>
      <c r="J343" s="57"/>
    </row>
    <row r="344" spans="3:10" x14ac:dyDescent="0.2">
      <c r="C344" s="56"/>
      <c r="D344" s="56"/>
      <c r="E344" s="57"/>
      <c r="F344" s="57"/>
      <c r="G344" s="57"/>
      <c r="H344" s="57"/>
      <c r="I344" s="57"/>
      <c r="J344" s="57"/>
    </row>
    <row r="345" spans="3:10" x14ac:dyDescent="0.2">
      <c r="C345" s="56"/>
      <c r="D345" s="56"/>
      <c r="E345" s="57"/>
      <c r="F345" s="57"/>
      <c r="G345" s="57"/>
      <c r="H345" s="57"/>
      <c r="I345" s="57"/>
      <c r="J345" s="57"/>
    </row>
    <row r="346" spans="3:10" x14ac:dyDescent="0.2">
      <c r="C346" s="56"/>
      <c r="D346" s="56"/>
      <c r="E346" s="57"/>
      <c r="F346" s="57"/>
      <c r="G346" s="57"/>
      <c r="H346" s="57"/>
      <c r="I346" s="57"/>
      <c r="J346" s="57"/>
    </row>
    <row r="347" spans="3:10" x14ac:dyDescent="0.2">
      <c r="C347" s="56"/>
      <c r="D347" s="56"/>
      <c r="E347" s="57"/>
      <c r="F347" s="57"/>
      <c r="G347" s="57"/>
      <c r="H347" s="57"/>
      <c r="I347" s="57"/>
      <c r="J347" s="57"/>
    </row>
    <row r="348" spans="3:10" x14ac:dyDescent="0.2">
      <c r="C348" s="56"/>
      <c r="D348" s="56"/>
      <c r="E348" s="57"/>
      <c r="F348" s="57"/>
      <c r="G348" s="57"/>
      <c r="H348" s="57"/>
      <c r="I348" s="57"/>
      <c r="J348" s="57"/>
    </row>
    <row r="349" spans="3:10" x14ac:dyDescent="0.2">
      <c r="C349" s="56"/>
      <c r="D349" s="56"/>
      <c r="E349" s="57"/>
      <c r="F349" s="57"/>
      <c r="G349" s="57"/>
      <c r="H349" s="57"/>
      <c r="I349" s="57"/>
      <c r="J349" s="57"/>
    </row>
    <row r="350" spans="3:10" x14ac:dyDescent="0.2">
      <c r="C350" s="56"/>
      <c r="D350" s="56"/>
      <c r="E350" s="57"/>
      <c r="F350" s="57"/>
      <c r="G350" s="57"/>
      <c r="H350" s="57"/>
      <c r="I350" s="57"/>
      <c r="J350" s="57"/>
    </row>
    <row r="351" spans="3:10" x14ac:dyDescent="0.2">
      <c r="C351" s="56"/>
      <c r="D351" s="56"/>
      <c r="E351" s="57"/>
      <c r="F351" s="57"/>
      <c r="G351" s="57"/>
      <c r="H351" s="57"/>
      <c r="I351" s="57"/>
      <c r="J351" s="57"/>
    </row>
    <row r="352" spans="3:10" x14ac:dyDescent="0.2">
      <c r="C352" s="56"/>
      <c r="D352" s="56"/>
      <c r="E352" s="57"/>
      <c r="F352" s="57"/>
      <c r="G352" s="57"/>
      <c r="H352" s="57"/>
      <c r="I352" s="57"/>
      <c r="J352" s="57"/>
    </row>
    <row r="353" spans="3:10" x14ac:dyDescent="0.2">
      <c r="C353" s="56"/>
      <c r="D353" s="56"/>
      <c r="E353" s="57"/>
      <c r="F353" s="57"/>
      <c r="G353" s="57"/>
      <c r="H353" s="57"/>
      <c r="I353" s="57"/>
      <c r="J353" s="57"/>
    </row>
    <row r="354" spans="3:10" x14ac:dyDescent="0.2">
      <c r="C354" s="56"/>
      <c r="D354" s="56"/>
      <c r="E354" s="57"/>
      <c r="F354" s="57"/>
      <c r="G354" s="57"/>
      <c r="H354" s="57"/>
      <c r="I354" s="57"/>
      <c r="J354" s="57"/>
    </row>
    <row r="355" spans="3:10" x14ac:dyDescent="0.2">
      <c r="C355" s="56"/>
      <c r="D355" s="56"/>
      <c r="E355" s="57"/>
      <c r="F355" s="57"/>
      <c r="G355" s="57"/>
      <c r="H355" s="57"/>
      <c r="I355" s="57"/>
      <c r="J355" s="57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57"/>
      <c r="F357" s="57"/>
      <c r="G357" s="57"/>
      <c r="H357" s="57"/>
      <c r="I357" s="57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9"/>
      <c r="F359" s="59"/>
      <c r="G359" s="59"/>
      <c r="H359" s="59"/>
      <c r="I359" s="59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369" spans="5:10" x14ac:dyDescent="0.2">
      <c r="E369" s="57"/>
      <c r="F369" s="57"/>
      <c r="G369" s="57"/>
      <c r="H369" s="57"/>
      <c r="I369" s="57"/>
      <c r="J369" s="57"/>
    </row>
    <row r="370" spans="5:10" x14ac:dyDescent="0.2">
      <c r="E370" s="57"/>
      <c r="F370" s="57"/>
      <c r="G370" s="57"/>
      <c r="H370" s="57"/>
      <c r="I370" s="57"/>
      <c r="J370" s="57"/>
    </row>
    <row r="407" spans="3:10" x14ac:dyDescent="0.2">
      <c r="C407" s="56"/>
      <c r="D407" s="56"/>
      <c r="E407" s="59"/>
      <c r="F407" s="59"/>
      <c r="G407" s="59"/>
      <c r="H407" s="59"/>
      <c r="I407" s="59"/>
    </row>
    <row r="408" spans="3:10" x14ac:dyDescent="0.2">
      <c r="C408" s="56"/>
      <c r="D408" s="56"/>
      <c r="E408" s="57"/>
      <c r="F408" s="57"/>
      <c r="G408" s="57"/>
      <c r="H408" s="57"/>
      <c r="I408" s="57"/>
      <c r="J408" s="57"/>
    </row>
    <row r="409" spans="3:10" x14ac:dyDescent="0.2">
      <c r="C409" s="56"/>
      <c r="D409" s="56"/>
      <c r="E409" s="57"/>
      <c r="F409" s="57"/>
      <c r="G409" s="57"/>
      <c r="H409" s="57"/>
      <c r="I409" s="57"/>
      <c r="J409" s="57"/>
    </row>
    <row r="410" spans="3:10" x14ac:dyDescent="0.2">
      <c r="C410" s="56"/>
      <c r="D410" s="56"/>
      <c r="E410" s="57"/>
      <c r="F410" s="57"/>
      <c r="G410" s="57"/>
      <c r="H410" s="57"/>
      <c r="I410" s="57"/>
      <c r="J410" s="57"/>
    </row>
    <row r="411" spans="3:10" x14ac:dyDescent="0.2">
      <c r="C411" s="56"/>
      <c r="D411" s="56"/>
      <c r="E411" s="57"/>
      <c r="F411" s="57"/>
      <c r="G411" s="57"/>
      <c r="H411" s="57"/>
      <c r="I411" s="57"/>
      <c r="J411" s="57"/>
    </row>
    <row r="412" spans="3:10" x14ac:dyDescent="0.2">
      <c r="C412" s="56"/>
      <c r="D412" s="56"/>
      <c r="E412" s="57"/>
      <c r="F412" s="57"/>
      <c r="G412" s="57"/>
      <c r="H412" s="57"/>
      <c r="I412" s="57"/>
      <c r="J412" s="57"/>
    </row>
    <row r="413" spans="3:10" x14ac:dyDescent="0.2">
      <c r="C413" s="56"/>
      <c r="D413" s="56"/>
      <c r="E413" s="57"/>
      <c r="F413" s="57"/>
      <c r="G413" s="57"/>
      <c r="H413" s="57"/>
      <c r="I413" s="57"/>
      <c r="J413" s="57"/>
    </row>
    <row r="414" spans="3:10" x14ac:dyDescent="0.2">
      <c r="C414" s="56"/>
      <c r="D414" s="56"/>
      <c r="E414" s="57"/>
      <c r="F414" s="57"/>
      <c r="G414" s="57"/>
      <c r="H414" s="57"/>
      <c r="I414" s="57"/>
      <c r="J414" s="57"/>
    </row>
    <row r="415" spans="3:10" x14ac:dyDescent="0.2">
      <c r="C415" s="56"/>
      <c r="D415" s="56"/>
      <c r="E415" s="57"/>
      <c r="F415" s="57"/>
      <c r="G415" s="57"/>
      <c r="H415" s="57"/>
      <c r="I415" s="57"/>
      <c r="J415" s="57"/>
    </row>
    <row r="416" spans="3:10" x14ac:dyDescent="0.2">
      <c r="C416" s="56"/>
      <c r="D416" s="56"/>
      <c r="E416" s="57"/>
      <c r="F416" s="57"/>
      <c r="G416" s="57"/>
      <c r="H416" s="57"/>
      <c r="I416" s="57"/>
      <c r="J416" s="57"/>
    </row>
    <row r="417" spans="3:10" x14ac:dyDescent="0.2">
      <c r="C417" s="56"/>
      <c r="D417" s="56"/>
      <c r="E417" s="57"/>
      <c r="F417" s="57"/>
      <c r="G417" s="57"/>
      <c r="H417" s="57"/>
      <c r="I417" s="57"/>
      <c r="J417" s="57"/>
    </row>
    <row r="418" spans="3:10" x14ac:dyDescent="0.2">
      <c r="C418" s="56"/>
      <c r="D418" s="56"/>
      <c r="E418" s="57"/>
      <c r="F418" s="57"/>
      <c r="G418" s="57"/>
      <c r="H418" s="57"/>
      <c r="I418" s="57"/>
      <c r="J418" s="57"/>
    </row>
    <row r="419" spans="3:10" x14ac:dyDescent="0.2">
      <c r="C419" s="56"/>
      <c r="D419" s="56"/>
      <c r="E419" s="57"/>
      <c r="F419" s="57"/>
      <c r="G419" s="57"/>
      <c r="H419" s="57"/>
      <c r="I419" s="57"/>
      <c r="J419" s="57"/>
    </row>
    <row r="420" spans="3:10" x14ac:dyDescent="0.2">
      <c r="C420" s="56"/>
      <c r="D420" s="56"/>
      <c r="E420" s="57"/>
      <c r="F420" s="57"/>
      <c r="G420" s="57"/>
      <c r="H420" s="57"/>
      <c r="I420" s="57"/>
      <c r="J420" s="57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57"/>
      <c r="F422" s="57"/>
      <c r="G422" s="57"/>
      <c r="H422" s="57"/>
      <c r="I422" s="57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9"/>
      <c r="F424" s="59"/>
      <c r="G424" s="59"/>
      <c r="H424" s="59"/>
      <c r="I424" s="59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  <row r="434" spans="5:10" x14ac:dyDescent="0.2">
      <c r="E434" s="57"/>
      <c r="F434" s="57"/>
      <c r="G434" s="57"/>
      <c r="H434" s="57"/>
      <c r="I434" s="57"/>
      <c r="J434" s="57"/>
    </row>
    <row r="435" spans="5:10" x14ac:dyDescent="0.2">
      <c r="E435" s="57"/>
      <c r="F435" s="57"/>
      <c r="G435" s="57"/>
      <c r="H435" s="57"/>
      <c r="I435" s="57"/>
      <c r="J435" s="57"/>
    </row>
  </sheetData>
  <mergeCells count="2">
    <mergeCell ref="A6:I6"/>
    <mergeCell ref="A8:I8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7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194A-0619-4872-9FAD-203D2CAD9318}">
  <dimension ref="A1:M128"/>
  <sheetViews>
    <sheetView view="pageLayout" zoomScaleNormal="100" workbookViewId="0">
      <selection sqref="A1:I1"/>
    </sheetView>
  </sheetViews>
  <sheetFormatPr defaultColWidth="10.28515625" defaultRowHeight="11.25" x14ac:dyDescent="0.2"/>
  <cols>
    <col min="1" max="1" width="4.85546875" style="49" customWidth="1"/>
    <col min="2" max="2" width="1" style="49" customWidth="1"/>
    <col min="3" max="3" width="11.85546875" style="49" customWidth="1"/>
    <col min="4" max="4" width="1" style="49" customWidth="1"/>
    <col min="5" max="5" width="15" style="49" customWidth="1"/>
    <col min="6" max="6" width="1" style="49" customWidth="1"/>
    <col min="7" max="7" width="15" style="49" customWidth="1"/>
    <col min="8" max="8" width="1" style="49" customWidth="1"/>
    <col min="9" max="9" width="12.42578125" style="49" customWidth="1"/>
    <col min="10" max="10" width="1.85546875" style="49" customWidth="1"/>
    <col min="11" max="11" width="11" style="49" customWidth="1"/>
    <col min="12" max="12" width="1.140625" style="49" customWidth="1"/>
    <col min="13" max="13" width="13.140625" style="49" customWidth="1"/>
    <col min="14" max="16384" width="10.28515625" style="49"/>
  </cols>
  <sheetData>
    <row r="1" spans="1:13" x14ac:dyDescent="0.2">
      <c r="A1" s="149"/>
      <c r="B1" s="149"/>
      <c r="C1" s="149"/>
      <c r="D1" s="149"/>
      <c r="E1" s="149"/>
      <c r="F1" s="149"/>
      <c r="G1" s="149"/>
      <c r="H1" s="149"/>
      <c r="I1" s="149"/>
      <c r="J1" s="83"/>
      <c r="K1" s="83"/>
      <c r="L1" s="83"/>
      <c r="M1" s="83"/>
    </row>
    <row r="2" spans="1:13" x14ac:dyDescent="0.2">
      <c r="A2" s="149"/>
      <c r="B2" s="149"/>
      <c r="C2" s="149"/>
      <c r="D2" s="149"/>
      <c r="E2" s="149"/>
      <c r="F2" s="149"/>
      <c r="G2" s="149"/>
      <c r="H2" s="149"/>
      <c r="I2" s="149"/>
    </row>
    <row r="3" spans="1:13" x14ac:dyDescent="0.2">
      <c r="A3" s="137"/>
      <c r="B3" s="137"/>
      <c r="C3" s="137"/>
      <c r="D3" s="137"/>
      <c r="E3" s="137"/>
      <c r="F3" s="137"/>
      <c r="G3" s="137"/>
      <c r="H3" s="137"/>
      <c r="I3" s="137"/>
    </row>
    <row r="4" spans="1:13" x14ac:dyDescent="0.2">
      <c r="A4" s="137"/>
      <c r="B4" s="137"/>
      <c r="C4" s="137"/>
      <c r="D4" s="137"/>
      <c r="E4" s="137"/>
      <c r="F4" s="137"/>
      <c r="G4" s="137"/>
      <c r="H4" s="137"/>
      <c r="I4" s="137"/>
    </row>
    <row r="6" spans="1:13" x14ac:dyDescent="0.2">
      <c r="A6" s="46"/>
      <c r="B6" s="46"/>
      <c r="C6" s="47"/>
      <c r="D6" s="47"/>
      <c r="E6" s="47"/>
      <c r="F6" s="47"/>
      <c r="G6" s="47"/>
      <c r="H6" s="47"/>
      <c r="I6" s="47"/>
    </row>
    <row r="7" spans="1:13" x14ac:dyDescent="0.2">
      <c r="A7" s="149" t="str">
        <f>'CAPGDS1000000166 Input'!A7:J7</f>
        <v>Pro Forma Adjustment - Project In Service During Test Year</v>
      </c>
      <c r="B7" s="149"/>
      <c r="C7" s="149"/>
      <c r="D7" s="149"/>
      <c r="E7" s="149"/>
      <c r="F7" s="149"/>
      <c r="G7" s="149"/>
      <c r="H7" s="149"/>
      <c r="I7" s="149"/>
    </row>
    <row r="8" spans="1:13" x14ac:dyDescent="0.2">
      <c r="A8" s="151" t="str">
        <f>'CAPGDS1000000166 Input'!F9</f>
        <v>SFS - 6 Mile Serve Load</v>
      </c>
      <c r="B8" s="151"/>
      <c r="C8" s="151"/>
      <c r="D8" s="151"/>
      <c r="E8" s="151"/>
      <c r="F8" s="151"/>
      <c r="G8" s="151"/>
      <c r="H8" s="151"/>
      <c r="I8" s="151"/>
    </row>
    <row r="9" spans="1:13" x14ac:dyDescent="0.2">
      <c r="A9" s="62"/>
      <c r="B9" s="62"/>
      <c r="C9" s="62"/>
      <c r="D9" s="62"/>
      <c r="E9" s="62"/>
      <c r="F9" s="62"/>
      <c r="G9" s="62"/>
      <c r="H9" s="62"/>
      <c r="I9" s="62"/>
    </row>
    <row r="10" spans="1:13" x14ac:dyDescent="0.2">
      <c r="A10" s="50" t="str">
        <f>'CAPGDS1000000166 TotalWO'!A10</f>
        <v>PLANT IN SERVICE</v>
      </c>
      <c r="B10" s="50"/>
      <c r="C10" s="48"/>
      <c r="D10" s="48"/>
      <c r="E10" s="48"/>
      <c r="F10" s="48"/>
      <c r="G10" s="48"/>
      <c r="H10" s="48"/>
      <c r="I10" s="48"/>
    </row>
    <row r="11" spans="1:13" x14ac:dyDescent="0.2">
      <c r="A11" s="50" t="s">
        <v>9</v>
      </c>
      <c r="B11" s="50"/>
      <c r="C11" s="48"/>
      <c r="D11" s="48"/>
      <c r="E11" s="48" t="s">
        <v>9</v>
      </c>
      <c r="F11" s="48"/>
      <c r="G11" s="48"/>
      <c r="H11" s="48"/>
      <c r="I11" s="48"/>
    </row>
    <row r="13" spans="1:13" ht="12" thickBot="1" x14ac:dyDescent="0.25">
      <c r="A13" s="65" t="s">
        <v>77</v>
      </c>
      <c r="E13" s="52" t="str">
        <f>"Acct "&amp;'CAPGDS1000000166 Input'!F16</f>
        <v>Acct 2.376.00</v>
      </c>
      <c r="F13" s="52"/>
      <c r="G13" s="52"/>
      <c r="H13" s="52"/>
      <c r="I13" s="52"/>
    </row>
    <row r="14" spans="1:13" ht="12" thickBot="1" x14ac:dyDescent="0.25">
      <c r="A14" s="88" t="s">
        <v>79</v>
      </c>
      <c r="B14" s="54"/>
      <c r="C14" s="53" t="s">
        <v>80</v>
      </c>
      <c r="D14" s="54"/>
      <c r="E14" s="53" t="s">
        <v>81</v>
      </c>
      <c r="F14" s="54"/>
      <c r="G14" s="53" t="s">
        <v>82</v>
      </c>
      <c r="H14" s="54"/>
      <c r="I14" s="53" t="s">
        <v>83</v>
      </c>
    </row>
    <row r="15" spans="1:13" x14ac:dyDescent="0.2">
      <c r="A15" s="55"/>
      <c r="B15" s="54"/>
      <c r="C15" s="39" t="s">
        <v>5</v>
      </c>
      <c r="D15" s="55"/>
      <c r="E15" s="36" t="s">
        <v>6</v>
      </c>
      <c r="F15" s="55"/>
      <c r="G15" s="36" t="s">
        <v>7</v>
      </c>
      <c r="H15" s="33"/>
      <c r="I15" s="36" t="s">
        <v>41</v>
      </c>
    </row>
    <row r="16" spans="1:13" x14ac:dyDescent="0.2">
      <c r="A16" s="55"/>
      <c r="B16" s="54"/>
      <c r="C16" s="55"/>
      <c r="D16" s="54"/>
      <c r="E16" s="55"/>
      <c r="F16" s="54"/>
      <c r="G16" s="55"/>
      <c r="H16" s="54"/>
      <c r="I16" s="55"/>
    </row>
    <row r="17" spans="1:12" x14ac:dyDescent="0.2">
      <c r="A17" s="49">
        <v>1</v>
      </c>
      <c r="C17" s="56">
        <f>'CAPGDS1000000166 TotalWO'!C17</f>
        <v>45641</v>
      </c>
      <c r="D17" s="56"/>
      <c r="E17" s="117">
        <f>'CAPGDS1000000166 TotalWO'!E17*'CAPGDS1000000166 Input'!$H$16</f>
        <v>0</v>
      </c>
      <c r="F17" s="123"/>
      <c r="G17" s="117">
        <f>'CAPGDS1000000166 TotalWO'!G22*'CAPGDS1000000166 Input'!$H$16</f>
        <v>782476.80000000005</v>
      </c>
      <c r="H17" s="118"/>
      <c r="I17" s="117">
        <f t="shared" ref="I17:I29" si="0">G17-E17</f>
        <v>782476.80000000005</v>
      </c>
    </row>
    <row r="18" spans="1:12" x14ac:dyDescent="0.2">
      <c r="A18" s="49">
        <f t="shared" ref="A18:A40" si="1">1+A17</f>
        <v>2</v>
      </c>
      <c r="C18" s="56">
        <f>'CAPGDS1000000166 TotalWO'!C18</f>
        <v>45672</v>
      </c>
      <c r="D18" s="56"/>
      <c r="E18" s="119">
        <f>'CAPGDS1000000166 TotalWO'!E18*'CAPGDS1000000166 Input'!$H$16</f>
        <v>0</v>
      </c>
      <c r="F18" s="123"/>
      <c r="G18" s="119">
        <f>'CAPGDS1000000166 TotalWO'!G17*'CAPGDS1000000166 Input'!$H$16</f>
        <v>782476.80000000005</v>
      </c>
      <c r="H18" s="118"/>
      <c r="I18" s="119">
        <f t="shared" si="0"/>
        <v>782476.80000000005</v>
      </c>
      <c r="K18" s="78"/>
      <c r="L18" s="78"/>
    </row>
    <row r="19" spans="1:12" x14ac:dyDescent="0.2">
      <c r="A19" s="49">
        <f t="shared" si="1"/>
        <v>3</v>
      </c>
      <c r="C19" s="56">
        <f t="shared" ref="C19:C29" si="2">C18+31</f>
        <v>45703</v>
      </c>
      <c r="D19" s="56"/>
      <c r="E19" s="124">
        <f>'CAPGDS1000000166 TotalWO'!E19*'CAPGDS1000000166 Input'!$H$16</f>
        <v>0</v>
      </c>
      <c r="F19" s="123"/>
      <c r="G19" s="123">
        <f>'CAPGDS1000000166 TotalWO'!G19*'CAPGDS1000000166 Input'!$H$16</f>
        <v>782476.80000000005</v>
      </c>
      <c r="H19" s="118"/>
      <c r="I19" s="118">
        <f t="shared" si="0"/>
        <v>782476.80000000005</v>
      </c>
    </row>
    <row r="20" spans="1:12" x14ac:dyDescent="0.2">
      <c r="A20" s="49">
        <f t="shared" si="1"/>
        <v>4</v>
      </c>
      <c r="C20" s="56">
        <f t="shared" si="2"/>
        <v>45734</v>
      </c>
      <c r="D20" s="56"/>
      <c r="E20" s="124">
        <f>'CAPGDS1000000166 TotalWO'!E20*'CAPGDS1000000166 Input'!$H$16</f>
        <v>0</v>
      </c>
      <c r="F20" s="123"/>
      <c r="G20" s="123">
        <f>'CAPGDS1000000166 TotalWO'!G20*'CAPGDS1000000166 Input'!$H$16</f>
        <v>782476.80000000005</v>
      </c>
      <c r="H20" s="118"/>
      <c r="I20" s="118">
        <f t="shared" si="0"/>
        <v>782476.80000000005</v>
      </c>
    </row>
    <row r="21" spans="1:12" x14ac:dyDescent="0.2">
      <c r="A21" s="49">
        <f t="shared" si="1"/>
        <v>5</v>
      </c>
      <c r="C21" s="56">
        <f t="shared" si="2"/>
        <v>45765</v>
      </c>
      <c r="D21" s="56"/>
      <c r="E21" s="124">
        <f>'CAPGDS1000000166 TotalWO'!E21*'CAPGDS1000000166 Input'!$H$16</f>
        <v>0</v>
      </c>
      <c r="F21" s="123"/>
      <c r="G21" s="123">
        <f>'CAPGDS1000000166 TotalWO'!G21*'CAPGDS1000000166 Input'!$H$16</f>
        <v>782476.80000000005</v>
      </c>
      <c r="H21" s="118"/>
      <c r="I21" s="118">
        <f t="shared" si="0"/>
        <v>782476.80000000005</v>
      </c>
    </row>
    <row r="22" spans="1:12" x14ac:dyDescent="0.2">
      <c r="A22" s="49">
        <f t="shared" si="1"/>
        <v>6</v>
      </c>
      <c r="C22" s="56">
        <f t="shared" si="2"/>
        <v>45796</v>
      </c>
      <c r="D22" s="56"/>
      <c r="E22" s="124">
        <f>'CAPGDS1000000166 TotalWO'!E22*'CAPGDS1000000166 Input'!$H$16</f>
        <v>0</v>
      </c>
      <c r="F22" s="123"/>
      <c r="G22" s="123">
        <f>'CAPGDS1000000166 TotalWO'!G22*'CAPGDS1000000166 Input'!$H$16</f>
        <v>782476.80000000005</v>
      </c>
      <c r="H22" s="118"/>
      <c r="I22" s="118">
        <f t="shared" si="0"/>
        <v>782476.80000000005</v>
      </c>
    </row>
    <row r="23" spans="1:12" x14ac:dyDescent="0.2">
      <c r="A23" s="49">
        <f t="shared" si="1"/>
        <v>7</v>
      </c>
      <c r="C23" s="56">
        <f t="shared" si="2"/>
        <v>45827</v>
      </c>
      <c r="D23" s="56"/>
      <c r="E23" s="124">
        <f>'CAPGDS1000000166 TotalWO'!E23*'CAPGDS1000000166 Input'!$H$16</f>
        <v>0</v>
      </c>
      <c r="F23" s="123"/>
      <c r="G23" s="123">
        <f>'CAPGDS1000000166 TotalWO'!G23*'CAPGDS1000000166 Input'!$H$16</f>
        <v>782476.80000000005</v>
      </c>
      <c r="H23" s="118"/>
      <c r="I23" s="118">
        <f t="shared" si="0"/>
        <v>782476.80000000005</v>
      </c>
    </row>
    <row r="24" spans="1:12" x14ac:dyDescent="0.2">
      <c r="A24" s="49">
        <f t="shared" si="1"/>
        <v>8</v>
      </c>
      <c r="C24" s="56">
        <f t="shared" si="2"/>
        <v>45858</v>
      </c>
      <c r="D24" s="56"/>
      <c r="E24" s="124">
        <f>'CAPGDS1000000166 TotalWO'!E24*'CAPGDS1000000166 Input'!$H$16</f>
        <v>0</v>
      </c>
      <c r="F24" s="123"/>
      <c r="G24" s="123">
        <f>'CAPGDS1000000166 TotalWO'!G24*'CAPGDS1000000166 Input'!$H$16</f>
        <v>782476.80000000005</v>
      </c>
      <c r="H24" s="118"/>
      <c r="I24" s="118">
        <f t="shared" si="0"/>
        <v>782476.80000000005</v>
      </c>
    </row>
    <row r="25" spans="1:12" x14ac:dyDescent="0.2">
      <c r="A25" s="49">
        <f t="shared" si="1"/>
        <v>9</v>
      </c>
      <c r="C25" s="56">
        <f t="shared" si="2"/>
        <v>45889</v>
      </c>
      <c r="D25" s="56"/>
      <c r="E25" s="124">
        <f>'CAPGDS1000000166 TotalWO'!E25*'CAPGDS1000000166 Input'!$H$16</f>
        <v>0</v>
      </c>
      <c r="F25" s="123"/>
      <c r="G25" s="123">
        <f>'CAPGDS1000000166 TotalWO'!G25*'CAPGDS1000000166 Input'!$H$16</f>
        <v>782476.80000000005</v>
      </c>
      <c r="H25" s="118"/>
      <c r="I25" s="118">
        <f t="shared" si="0"/>
        <v>782476.80000000005</v>
      </c>
    </row>
    <row r="26" spans="1:12" x14ac:dyDescent="0.2">
      <c r="A26" s="49">
        <f t="shared" si="1"/>
        <v>10</v>
      </c>
      <c r="C26" s="56">
        <f t="shared" si="2"/>
        <v>45920</v>
      </c>
      <c r="D26" s="56"/>
      <c r="E26" s="124">
        <f>'CAPGDS1000000166 TotalWO'!E26*'CAPGDS1000000166 Input'!$H$16</f>
        <v>0</v>
      </c>
      <c r="F26" s="123"/>
      <c r="G26" s="123">
        <f>'CAPGDS1000000166 TotalWO'!G26*'CAPGDS1000000166 Input'!$H$16</f>
        <v>782476.80000000005</v>
      </c>
      <c r="H26" s="118"/>
      <c r="I26" s="118">
        <f t="shared" si="0"/>
        <v>782476.80000000005</v>
      </c>
    </row>
    <row r="27" spans="1:12" x14ac:dyDescent="0.2">
      <c r="A27" s="49">
        <f t="shared" si="1"/>
        <v>11</v>
      </c>
      <c r="C27" s="56">
        <f t="shared" si="2"/>
        <v>45951</v>
      </c>
      <c r="D27" s="56"/>
      <c r="E27" s="124">
        <f>'CAPGDS1000000166 TotalWO'!E27*'CAPGDS1000000166 Input'!$H$16</f>
        <v>782738.36800000002</v>
      </c>
      <c r="F27" s="123"/>
      <c r="G27" s="123">
        <f>'CAPGDS1000000166 TotalWO'!G27*'CAPGDS1000000166 Input'!$H$16</f>
        <v>782476.80000000005</v>
      </c>
      <c r="H27" s="118"/>
      <c r="I27" s="118">
        <f t="shared" si="0"/>
        <v>-261.5679999999702</v>
      </c>
    </row>
    <row r="28" spans="1:12" x14ac:dyDescent="0.2">
      <c r="A28" s="49">
        <f t="shared" si="1"/>
        <v>12</v>
      </c>
      <c r="C28" s="56">
        <f t="shared" si="2"/>
        <v>45982</v>
      </c>
      <c r="D28" s="56"/>
      <c r="E28" s="124">
        <f>'CAPGDS1000000166 TotalWO'!E28*'CAPGDS1000000166 Input'!$H$16</f>
        <v>782738.36800000002</v>
      </c>
      <c r="F28" s="123"/>
      <c r="G28" s="123">
        <f>'CAPGDS1000000166 TotalWO'!G28*'CAPGDS1000000166 Input'!$H$16</f>
        <v>782476.80000000005</v>
      </c>
      <c r="H28" s="118"/>
      <c r="I28" s="118">
        <f t="shared" si="0"/>
        <v>-261.5679999999702</v>
      </c>
    </row>
    <row r="29" spans="1:12" x14ac:dyDescent="0.2">
      <c r="A29" s="49">
        <f t="shared" si="1"/>
        <v>13</v>
      </c>
      <c r="C29" s="56">
        <f t="shared" si="2"/>
        <v>46013</v>
      </c>
      <c r="D29" s="56"/>
      <c r="E29" s="125">
        <f>'CAPGDS1000000166 TotalWO'!E29*'CAPGDS1000000166 Input'!$H$16</f>
        <v>782476.44799999997</v>
      </c>
      <c r="F29" s="123"/>
      <c r="G29" s="126">
        <f>'CAPGDS1000000166 TotalWO'!G29*'CAPGDS1000000166 Input'!$H$16</f>
        <v>782476.80000000005</v>
      </c>
      <c r="H29" s="118"/>
      <c r="I29" s="120">
        <f t="shared" si="0"/>
        <v>0.35200000007171184</v>
      </c>
    </row>
    <row r="30" spans="1:12" x14ac:dyDescent="0.2">
      <c r="A30" s="49">
        <f t="shared" si="1"/>
        <v>14</v>
      </c>
      <c r="C30" s="58" t="s">
        <v>46</v>
      </c>
      <c r="D30" s="58"/>
      <c r="E30" s="118">
        <f>SUM(E17:E29)</f>
        <v>2347953.1839999999</v>
      </c>
      <c r="F30" s="118"/>
      <c r="G30" s="118">
        <f>SUM(G17:G29)</f>
        <v>10172198.4</v>
      </c>
      <c r="H30" s="118"/>
      <c r="I30" s="118">
        <f>SUM(I17:I29)</f>
        <v>7824245.2159999991</v>
      </c>
    </row>
    <row r="31" spans="1:12" x14ac:dyDescent="0.2">
      <c r="A31" s="49">
        <f t="shared" si="1"/>
        <v>15</v>
      </c>
      <c r="E31" s="118"/>
      <c r="F31" s="118"/>
      <c r="G31" s="118"/>
      <c r="H31" s="118"/>
      <c r="I31" s="118"/>
    </row>
    <row r="32" spans="1:12" ht="12" thickBot="1" x14ac:dyDescent="0.25">
      <c r="A32" s="49">
        <f t="shared" si="1"/>
        <v>16</v>
      </c>
      <c r="C32" s="60" t="s">
        <v>116</v>
      </c>
      <c r="D32" s="60"/>
      <c r="E32" s="121">
        <f>ROUND(+E30/13,2)</f>
        <v>180611.78</v>
      </c>
      <c r="F32" s="118"/>
      <c r="G32" s="121">
        <f>ROUND(+G30/13,2)</f>
        <v>782476.80000000005</v>
      </c>
      <c r="H32" s="118"/>
      <c r="I32" s="121">
        <f>ROUND(+I30/13,2)</f>
        <v>601865.02</v>
      </c>
    </row>
    <row r="33" spans="1:13" ht="12" thickTop="1" x14ac:dyDescent="0.2">
      <c r="A33" s="49">
        <f t="shared" si="1"/>
        <v>17</v>
      </c>
      <c r="E33" s="118"/>
      <c r="F33" s="118"/>
      <c r="G33" s="118"/>
      <c r="H33" s="118"/>
      <c r="I33" s="118"/>
    </row>
    <row r="34" spans="1:13" x14ac:dyDescent="0.2">
      <c r="A34" s="49">
        <f t="shared" si="1"/>
        <v>18</v>
      </c>
      <c r="E34" s="122" t="s">
        <v>9</v>
      </c>
      <c r="F34" s="122"/>
      <c r="G34" s="122" t="s">
        <v>9</v>
      </c>
      <c r="H34" s="122"/>
      <c r="I34" s="122" t="s">
        <v>9</v>
      </c>
    </row>
    <row r="35" spans="1:13" ht="12" thickBot="1" x14ac:dyDescent="0.25">
      <c r="A35" s="49">
        <f t="shared" si="1"/>
        <v>19</v>
      </c>
      <c r="C35" s="58" t="s">
        <v>84</v>
      </c>
      <c r="D35" s="58"/>
      <c r="E35" s="118"/>
      <c r="F35" s="118"/>
      <c r="G35" s="118"/>
      <c r="H35" s="118"/>
      <c r="I35" s="121">
        <f>I32</f>
        <v>601865.02</v>
      </c>
    </row>
    <row r="36" spans="1:13" ht="12" thickTop="1" x14ac:dyDescent="0.2">
      <c r="A36" s="49">
        <f t="shared" si="1"/>
        <v>20</v>
      </c>
    </row>
    <row r="37" spans="1:13" x14ac:dyDescent="0.2">
      <c r="A37" s="49">
        <f t="shared" si="1"/>
        <v>21</v>
      </c>
      <c r="I37" s="58" t="s">
        <v>85</v>
      </c>
    </row>
    <row r="38" spans="1:13" x14ac:dyDescent="0.2">
      <c r="A38" s="49">
        <f t="shared" si="1"/>
        <v>22</v>
      </c>
      <c r="I38" s="58" t="s">
        <v>125</v>
      </c>
    </row>
    <row r="39" spans="1:13" x14ac:dyDescent="0.2">
      <c r="A39" s="49">
        <f t="shared" si="1"/>
        <v>23</v>
      </c>
    </row>
    <row r="40" spans="1:13" x14ac:dyDescent="0.2">
      <c r="A40" s="49">
        <f t="shared" si="1"/>
        <v>24</v>
      </c>
    </row>
    <row r="41" spans="1:13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</row>
    <row r="42" spans="1:13" x14ac:dyDescent="0.2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</row>
    <row r="43" spans="1:13" x14ac:dyDescent="0.2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1:13" x14ac:dyDescent="0.2">
      <c r="A44" s="13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</row>
    <row r="46" spans="1:13" x14ac:dyDescent="0.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</row>
    <row r="47" spans="1:13" x14ac:dyDescent="0.2">
      <c r="A47" s="149" t="str">
        <f>A7</f>
        <v>Pro Forma Adjustment - Project In Service During Test Year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</row>
    <row r="48" spans="1:13" x14ac:dyDescent="0.2">
      <c r="A48" s="150" t="str">
        <f>A8</f>
        <v>SFS - 6 Mile Serve Load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</row>
    <row r="49" spans="1:13" x14ac:dyDescent="0.2">
      <c r="A49" s="50"/>
      <c r="B49" s="50"/>
      <c r="C49" s="48"/>
      <c r="D49" s="48"/>
      <c r="E49" s="48"/>
      <c r="F49" s="48"/>
      <c r="G49" s="48"/>
      <c r="H49" s="48"/>
      <c r="I49" s="48"/>
    </row>
    <row r="50" spans="1:13" x14ac:dyDescent="0.2">
      <c r="A50" s="50" t="s">
        <v>87</v>
      </c>
      <c r="B50" s="50"/>
      <c r="C50" s="48"/>
      <c r="D50" s="48"/>
      <c r="E50" s="48"/>
      <c r="F50" s="48"/>
      <c r="G50" s="48"/>
      <c r="H50" s="48"/>
      <c r="I50" s="48"/>
    </row>
    <row r="51" spans="1:13" x14ac:dyDescent="0.2">
      <c r="A51" s="50" t="s">
        <v>9</v>
      </c>
      <c r="B51" s="50"/>
      <c r="C51" s="48"/>
      <c r="D51" s="48"/>
      <c r="E51" s="48"/>
      <c r="F51" s="48"/>
      <c r="G51" s="48"/>
      <c r="H51" s="48"/>
      <c r="I51" s="48"/>
    </row>
    <row r="52" spans="1:13" x14ac:dyDescent="0.2">
      <c r="K52" s="55" t="s">
        <v>88</v>
      </c>
      <c r="M52" s="55" t="s">
        <v>88</v>
      </c>
    </row>
    <row r="53" spans="1:13" ht="12" thickBot="1" x14ac:dyDescent="0.25">
      <c r="A53" s="65" t="s">
        <v>77</v>
      </c>
      <c r="E53" s="52" t="str">
        <f>E13</f>
        <v>Acct 2.376.00</v>
      </c>
      <c r="F53" s="52"/>
      <c r="G53" s="52"/>
      <c r="H53" s="52"/>
      <c r="I53" s="52"/>
      <c r="K53" s="55" t="s">
        <v>89</v>
      </c>
      <c r="M53" s="55" t="s">
        <v>90</v>
      </c>
    </row>
    <row r="54" spans="1:13" ht="12" thickBot="1" x14ac:dyDescent="0.25">
      <c r="A54" s="88" t="s">
        <v>79</v>
      </c>
      <c r="B54" s="55"/>
      <c r="C54" s="53" t="s">
        <v>80</v>
      </c>
      <c r="D54" s="55"/>
      <c r="E54" s="53" t="s">
        <v>81</v>
      </c>
      <c r="F54" s="55"/>
      <c r="G54" s="53" t="s">
        <v>82</v>
      </c>
      <c r="H54" s="55"/>
      <c r="I54" s="53" t="s">
        <v>83</v>
      </c>
      <c r="K54" s="53" t="s">
        <v>91</v>
      </c>
      <c r="M54" s="53" t="s">
        <v>92</v>
      </c>
    </row>
    <row r="55" spans="1:13" x14ac:dyDescent="0.2">
      <c r="A55" s="55"/>
      <c r="B55" s="55"/>
      <c r="C55" s="39" t="s">
        <v>5</v>
      </c>
      <c r="D55" s="55"/>
      <c r="E55" s="36" t="s">
        <v>6</v>
      </c>
      <c r="F55" s="55"/>
      <c r="G55" s="36" t="s">
        <v>7</v>
      </c>
      <c r="H55" s="33"/>
      <c r="I55" s="36" t="s">
        <v>41</v>
      </c>
      <c r="K55" s="17" t="s">
        <v>42</v>
      </c>
      <c r="M55" s="55" t="s">
        <v>43</v>
      </c>
    </row>
    <row r="56" spans="1:13" x14ac:dyDescent="0.2">
      <c r="A56" s="55"/>
      <c r="B56" s="55"/>
      <c r="C56" s="55"/>
      <c r="D56" s="55"/>
      <c r="E56" s="55"/>
      <c r="F56" s="55"/>
      <c r="G56" s="55"/>
      <c r="H56" s="55"/>
      <c r="I56" s="55"/>
    </row>
    <row r="57" spans="1:13" x14ac:dyDescent="0.2">
      <c r="A57" s="49">
        <v>1</v>
      </c>
      <c r="B57" s="55"/>
      <c r="C57" s="56">
        <f>C17</f>
        <v>45641</v>
      </c>
      <c r="D57" s="56"/>
      <c r="E57" s="117">
        <f t="shared" ref="E57:E69" si="3">ROUND(E17*$G$78,2)</f>
        <v>0</v>
      </c>
      <c r="F57" s="118"/>
      <c r="G57" s="117">
        <f t="shared" ref="G57:G69" si="4">ROUND(+G17*$G$78,2)</f>
        <v>1327.73</v>
      </c>
      <c r="H57" s="118"/>
      <c r="I57" s="118">
        <f>G57-E57</f>
        <v>1327.73</v>
      </c>
      <c r="J57" s="118"/>
      <c r="K57" s="119"/>
      <c r="L57" s="118"/>
      <c r="M57" s="7">
        <f>+ROUND(M72/13,2)</f>
        <v>-214.46</v>
      </c>
    </row>
    <row r="58" spans="1:13" x14ac:dyDescent="0.2">
      <c r="A58" s="49">
        <f t="shared" ref="A58:A82" si="5">1+A57</f>
        <v>2</v>
      </c>
      <c r="C58" s="56">
        <v>45672</v>
      </c>
      <c r="E58" s="78">
        <f t="shared" si="3"/>
        <v>0</v>
      </c>
      <c r="F58" s="78"/>
      <c r="G58" s="78">
        <f t="shared" si="4"/>
        <v>1327.73</v>
      </c>
      <c r="H58" s="8"/>
      <c r="I58" s="8">
        <f>G58-E58</f>
        <v>1327.73</v>
      </c>
      <c r="J58" s="8"/>
      <c r="K58" s="8"/>
      <c r="L58" s="8"/>
      <c r="M58" s="8">
        <f>+M57</f>
        <v>-214.46</v>
      </c>
    </row>
    <row r="59" spans="1:13" x14ac:dyDescent="0.2">
      <c r="A59" s="49">
        <f t="shared" si="5"/>
        <v>3</v>
      </c>
      <c r="C59" s="56">
        <f>C58+31</f>
        <v>45703</v>
      </c>
      <c r="D59" s="56"/>
      <c r="E59" s="78">
        <f t="shared" si="3"/>
        <v>0</v>
      </c>
      <c r="F59" s="8"/>
      <c r="G59" s="78">
        <f t="shared" si="4"/>
        <v>1327.73</v>
      </c>
      <c r="H59" s="8"/>
      <c r="I59" s="8">
        <f t="shared" ref="I59:I69" si="6">G59-E59</f>
        <v>1327.73</v>
      </c>
      <c r="J59" s="8"/>
      <c r="K59" s="8"/>
      <c r="L59" s="8"/>
      <c r="M59" s="8">
        <f t="shared" ref="M59:M69" si="7">+M58</f>
        <v>-214.46</v>
      </c>
    </row>
    <row r="60" spans="1:13" x14ac:dyDescent="0.2">
      <c r="A60" s="49">
        <f t="shared" si="5"/>
        <v>4</v>
      </c>
      <c r="C60" s="56">
        <f t="shared" ref="C60:C69" si="8">C59+31</f>
        <v>45734</v>
      </c>
      <c r="D60" s="56"/>
      <c r="E60" s="78">
        <f t="shared" si="3"/>
        <v>0</v>
      </c>
      <c r="F60" s="78"/>
      <c r="G60" s="78">
        <f t="shared" si="4"/>
        <v>1327.73</v>
      </c>
      <c r="H60" s="8"/>
      <c r="I60" s="8">
        <f t="shared" si="6"/>
        <v>1327.73</v>
      </c>
      <c r="J60" s="8"/>
      <c r="K60" s="8"/>
      <c r="L60" s="8"/>
      <c r="M60" s="8">
        <f t="shared" si="7"/>
        <v>-214.46</v>
      </c>
    </row>
    <row r="61" spans="1:13" x14ac:dyDescent="0.2">
      <c r="A61" s="49">
        <f t="shared" si="5"/>
        <v>5</v>
      </c>
      <c r="C61" s="56">
        <f t="shared" si="8"/>
        <v>45765</v>
      </c>
      <c r="D61" s="56"/>
      <c r="E61" s="78">
        <f t="shared" si="3"/>
        <v>0</v>
      </c>
      <c r="F61" s="78"/>
      <c r="G61" s="78">
        <f t="shared" si="4"/>
        <v>1327.73</v>
      </c>
      <c r="H61" s="8"/>
      <c r="I61" s="8">
        <f t="shared" si="6"/>
        <v>1327.73</v>
      </c>
      <c r="J61" s="8"/>
      <c r="K61" s="8"/>
      <c r="L61" s="8"/>
      <c r="M61" s="8">
        <f t="shared" si="7"/>
        <v>-214.46</v>
      </c>
    </row>
    <row r="62" spans="1:13" x14ac:dyDescent="0.2">
      <c r="A62" s="49">
        <f t="shared" si="5"/>
        <v>6</v>
      </c>
      <c r="C62" s="56">
        <f t="shared" si="8"/>
        <v>45796</v>
      </c>
      <c r="D62" s="56"/>
      <c r="E62" s="78">
        <f t="shared" si="3"/>
        <v>0</v>
      </c>
      <c r="F62" s="78"/>
      <c r="G62" s="78">
        <f t="shared" si="4"/>
        <v>1327.73</v>
      </c>
      <c r="H62" s="8"/>
      <c r="I62" s="8">
        <f t="shared" si="6"/>
        <v>1327.73</v>
      </c>
      <c r="J62" s="8"/>
      <c r="K62" s="8"/>
      <c r="L62" s="8"/>
      <c r="M62" s="8">
        <f t="shared" si="7"/>
        <v>-214.46</v>
      </c>
    </row>
    <row r="63" spans="1:13" x14ac:dyDescent="0.2">
      <c r="A63" s="49">
        <f t="shared" si="5"/>
        <v>7</v>
      </c>
      <c r="C63" s="56">
        <f t="shared" si="8"/>
        <v>45827</v>
      </c>
      <c r="D63" s="56"/>
      <c r="E63" s="78">
        <f t="shared" si="3"/>
        <v>0</v>
      </c>
      <c r="F63" s="78"/>
      <c r="G63" s="78">
        <f t="shared" si="4"/>
        <v>1327.73</v>
      </c>
      <c r="H63" s="8"/>
      <c r="I63" s="8">
        <f t="shared" si="6"/>
        <v>1327.73</v>
      </c>
      <c r="J63" s="8"/>
      <c r="K63" s="8"/>
      <c r="L63" s="8"/>
      <c r="M63" s="8">
        <f t="shared" si="7"/>
        <v>-214.46</v>
      </c>
    </row>
    <row r="64" spans="1:13" x14ac:dyDescent="0.2">
      <c r="A64" s="49">
        <f t="shared" si="5"/>
        <v>8</v>
      </c>
      <c r="C64" s="56">
        <f t="shared" si="8"/>
        <v>45858</v>
      </c>
      <c r="D64" s="56"/>
      <c r="E64" s="78">
        <f t="shared" si="3"/>
        <v>0</v>
      </c>
      <c r="F64" s="78"/>
      <c r="G64" s="78">
        <f t="shared" si="4"/>
        <v>1327.73</v>
      </c>
      <c r="H64" s="8"/>
      <c r="I64" s="8">
        <f t="shared" si="6"/>
        <v>1327.73</v>
      </c>
      <c r="J64" s="8"/>
      <c r="K64" s="8"/>
      <c r="L64" s="8"/>
      <c r="M64" s="8">
        <f t="shared" si="7"/>
        <v>-214.46</v>
      </c>
    </row>
    <row r="65" spans="1:13" x14ac:dyDescent="0.2">
      <c r="A65" s="49">
        <f t="shared" si="5"/>
        <v>9</v>
      </c>
      <c r="C65" s="56">
        <f t="shared" si="8"/>
        <v>45889</v>
      </c>
      <c r="D65" s="56"/>
      <c r="E65" s="78">
        <f t="shared" si="3"/>
        <v>0</v>
      </c>
      <c r="F65" s="78"/>
      <c r="G65" s="78">
        <f t="shared" si="4"/>
        <v>1327.73</v>
      </c>
      <c r="H65" s="8"/>
      <c r="I65" s="8">
        <f t="shared" si="6"/>
        <v>1327.73</v>
      </c>
      <c r="J65" s="8"/>
      <c r="K65" s="8"/>
      <c r="L65" s="8"/>
      <c r="M65" s="8">
        <f t="shared" si="7"/>
        <v>-214.46</v>
      </c>
    </row>
    <row r="66" spans="1:13" x14ac:dyDescent="0.2">
      <c r="A66" s="49">
        <f t="shared" si="5"/>
        <v>10</v>
      </c>
      <c r="C66" s="56">
        <f t="shared" si="8"/>
        <v>45920</v>
      </c>
      <c r="D66" s="56"/>
      <c r="E66" s="78">
        <f t="shared" si="3"/>
        <v>0</v>
      </c>
      <c r="F66" s="78"/>
      <c r="G66" s="78">
        <f t="shared" si="4"/>
        <v>1327.73</v>
      </c>
      <c r="H66" s="8"/>
      <c r="I66" s="8">
        <f t="shared" si="6"/>
        <v>1327.73</v>
      </c>
      <c r="J66" s="8"/>
      <c r="K66" s="8"/>
      <c r="L66" s="8"/>
      <c r="M66" s="8">
        <f t="shared" si="7"/>
        <v>-214.46</v>
      </c>
    </row>
    <row r="67" spans="1:13" x14ac:dyDescent="0.2">
      <c r="A67" s="49">
        <f t="shared" si="5"/>
        <v>11</v>
      </c>
      <c r="C67" s="56">
        <f t="shared" si="8"/>
        <v>45951</v>
      </c>
      <c r="D67" s="56"/>
      <c r="E67" s="78">
        <f t="shared" si="3"/>
        <v>1328.18</v>
      </c>
      <c r="F67" s="78"/>
      <c r="G67" s="78">
        <f t="shared" si="4"/>
        <v>1327.73</v>
      </c>
      <c r="H67" s="8"/>
      <c r="I67" s="8">
        <f t="shared" si="6"/>
        <v>-0.45000000000004547</v>
      </c>
      <c r="J67" s="8"/>
      <c r="K67" s="8"/>
      <c r="L67" s="8"/>
      <c r="M67" s="8">
        <f t="shared" si="7"/>
        <v>-214.46</v>
      </c>
    </row>
    <row r="68" spans="1:13" x14ac:dyDescent="0.2">
      <c r="A68" s="49">
        <f t="shared" si="5"/>
        <v>12</v>
      </c>
      <c r="C68" s="56">
        <f t="shared" si="8"/>
        <v>45982</v>
      </c>
      <c r="D68" s="56"/>
      <c r="E68" s="78">
        <f t="shared" si="3"/>
        <v>1328.18</v>
      </c>
      <c r="F68" s="78"/>
      <c r="G68" s="78">
        <f t="shared" si="4"/>
        <v>1327.73</v>
      </c>
      <c r="H68" s="8"/>
      <c r="I68" s="8">
        <f t="shared" si="6"/>
        <v>-0.45000000000004547</v>
      </c>
      <c r="J68" s="8"/>
      <c r="K68" s="8"/>
      <c r="L68" s="8"/>
      <c r="M68" s="8">
        <f t="shared" si="7"/>
        <v>-214.46</v>
      </c>
    </row>
    <row r="69" spans="1:13" x14ac:dyDescent="0.2">
      <c r="A69" s="49">
        <f t="shared" si="5"/>
        <v>13</v>
      </c>
      <c r="C69" s="56">
        <f t="shared" si="8"/>
        <v>46013</v>
      </c>
      <c r="D69" s="56"/>
      <c r="E69" s="130">
        <f t="shared" si="3"/>
        <v>1327.73</v>
      </c>
      <c r="F69" s="78"/>
      <c r="G69" s="130">
        <f t="shared" si="4"/>
        <v>1327.73</v>
      </c>
      <c r="H69" s="8"/>
      <c r="I69" s="130">
        <f t="shared" si="6"/>
        <v>0</v>
      </c>
      <c r="J69" s="8"/>
      <c r="K69" s="8"/>
      <c r="L69" s="8"/>
      <c r="M69" s="130">
        <f t="shared" si="7"/>
        <v>-214.46</v>
      </c>
    </row>
    <row r="70" spans="1:13" x14ac:dyDescent="0.2">
      <c r="A70" s="49">
        <f t="shared" si="5"/>
        <v>14</v>
      </c>
      <c r="C70" s="58" t="s">
        <v>46</v>
      </c>
      <c r="D70" s="58"/>
      <c r="E70" s="118">
        <f>SUM(E57:E69)</f>
        <v>3984.09</v>
      </c>
      <c r="F70" s="118"/>
      <c r="G70" s="118">
        <f>SUM(G57:G69)</f>
        <v>17260.489999999998</v>
      </c>
      <c r="H70" s="118"/>
      <c r="I70" s="118">
        <f>SUM(I57:I69)</f>
        <v>13276.399999999996</v>
      </c>
      <c r="J70" s="118"/>
      <c r="K70" s="118"/>
      <c r="L70" s="118"/>
      <c r="M70" s="118">
        <f>SUM(M57:M69)</f>
        <v>-2787.98</v>
      </c>
    </row>
    <row r="71" spans="1:13" x14ac:dyDescent="0.2">
      <c r="A71" s="49">
        <f t="shared" si="5"/>
        <v>15</v>
      </c>
      <c r="E71" s="122" t="s">
        <v>9</v>
      </c>
      <c r="F71" s="122"/>
      <c r="G71" s="122" t="s">
        <v>9</v>
      </c>
      <c r="H71" s="122"/>
      <c r="I71" s="122" t="s">
        <v>9</v>
      </c>
      <c r="J71" s="118"/>
      <c r="K71" s="118"/>
      <c r="L71" s="118"/>
      <c r="M71" s="118"/>
    </row>
    <row r="72" spans="1:13" ht="12" thickBot="1" x14ac:dyDescent="0.25">
      <c r="A72" s="49">
        <f t="shared" si="5"/>
        <v>16</v>
      </c>
      <c r="C72" s="58" t="s">
        <v>84</v>
      </c>
      <c r="D72" s="58"/>
      <c r="E72" s="118"/>
      <c r="F72" s="118"/>
      <c r="G72" s="118"/>
      <c r="H72" s="118"/>
      <c r="I72" s="121">
        <f>I70</f>
        <v>13276.399999999996</v>
      </c>
      <c r="J72" s="118"/>
      <c r="K72" s="121">
        <v>0</v>
      </c>
      <c r="L72" s="118"/>
      <c r="M72" s="121">
        <f>ROUND(+(K72-I72)*M78,2)</f>
        <v>-2788.04</v>
      </c>
    </row>
    <row r="73" spans="1:13" ht="12" thickTop="1" x14ac:dyDescent="0.2">
      <c r="A73" s="49">
        <f t="shared" si="5"/>
        <v>17</v>
      </c>
      <c r="E73" s="57"/>
      <c r="F73" s="57"/>
      <c r="G73" s="57"/>
      <c r="H73" s="57"/>
      <c r="I73" s="58" t="s">
        <v>85</v>
      </c>
    </row>
    <row r="74" spans="1:13" x14ac:dyDescent="0.2">
      <c r="A74" s="49">
        <f t="shared" si="5"/>
        <v>18</v>
      </c>
      <c r="I74" s="58" t="s">
        <v>126</v>
      </c>
      <c r="M74" s="55" t="s">
        <v>88</v>
      </c>
    </row>
    <row r="75" spans="1:13" x14ac:dyDescent="0.2">
      <c r="A75" s="49">
        <f t="shared" si="5"/>
        <v>19</v>
      </c>
      <c r="K75" s="55" t="s">
        <v>93</v>
      </c>
      <c r="M75" s="55" t="s">
        <v>94</v>
      </c>
    </row>
    <row r="76" spans="1:13" x14ac:dyDescent="0.2">
      <c r="A76" s="49">
        <f t="shared" si="5"/>
        <v>20</v>
      </c>
      <c r="E76" s="63" t="s">
        <v>95</v>
      </c>
      <c r="F76" s="63"/>
      <c r="G76" s="63" t="s">
        <v>96</v>
      </c>
      <c r="K76" s="55" t="s">
        <v>97</v>
      </c>
      <c r="M76" s="55" t="s">
        <v>98</v>
      </c>
    </row>
    <row r="77" spans="1:13" ht="12" thickBot="1" x14ac:dyDescent="0.25">
      <c r="A77" s="49">
        <f t="shared" si="5"/>
        <v>21</v>
      </c>
      <c r="E77" s="64" t="s">
        <v>99</v>
      </c>
      <c r="F77" s="63"/>
      <c r="G77" s="64" t="s">
        <v>99</v>
      </c>
      <c r="K77" s="64" t="s">
        <v>100</v>
      </c>
      <c r="M77" s="64" t="s">
        <v>101</v>
      </c>
    </row>
    <row r="78" spans="1:13" x14ac:dyDescent="0.2">
      <c r="A78" s="49">
        <f t="shared" si="5"/>
        <v>22</v>
      </c>
      <c r="C78" s="65" t="str">
        <f>E53</f>
        <v>Acct 2.376.00</v>
      </c>
      <c r="D78" s="65"/>
      <c r="E78" s="66">
        <f>'CAPGDS1000000166 Input'!J16</f>
        <v>2.2058823529411766E-2</v>
      </c>
      <c r="F78" s="66"/>
      <c r="G78" s="66">
        <f>E78/13</f>
        <v>1.6968325791855204E-3</v>
      </c>
      <c r="K78" s="80">
        <f>+'CAPGDS1000000166 Input'!L16</f>
        <v>3.7499999999999999E-2</v>
      </c>
      <c r="M78" s="81">
        <f>+'CAPGDS1000000166 Input'!N16</f>
        <v>0.21</v>
      </c>
    </row>
    <row r="79" spans="1:13" x14ac:dyDescent="0.2">
      <c r="A79" s="49">
        <f t="shared" si="5"/>
        <v>23</v>
      </c>
      <c r="H79" s="61"/>
      <c r="I79" s="57"/>
      <c r="K79" s="55" t="s">
        <v>102</v>
      </c>
    </row>
    <row r="80" spans="1:13" x14ac:dyDescent="0.2">
      <c r="A80" s="49">
        <f t="shared" si="5"/>
        <v>24</v>
      </c>
      <c r="H80" s="66"/>
      <c r="I80" s="57"/>
    </row>
    <row r="81" spans="1:13" x14ac:dyDescent="0.2">
      <c r="A81" s="49">
        <f t="shared" si="5"/>
        <v>25</v>
      </c>
    </row>
    <row r="82" spans="1:13" x14ac:dyDescent="0.2">
      <c r="A82" s="49">
        <f t="shared" si="5"/>
        <v>26</v>
      </c>
      <c r="H82" s="66"/>
      <c r="I82" s="57"/>
    </row>
    <row r="83" spans="1:13" x14ac:dyDescent="0.2">
      <c r="A83" s="149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</row>
    <row r="84" spans="1:13" x14ac:dyDescent="0.2">
      <c r="A84" s="149"/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</row>
    <row r="88" spans="1:13" x14ac:dyDescent="0.2">
      <c r="A88" s="149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</row>
    <row r="89" spans="1:13" x14ac:dyDescent="0.2">
      <c r="A89" s="149" t="str">
        <f>A7</f>
        <v>Pro Forma Adjustment - Project In Service During Test Year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</row>
    <row r="90" spans="1:13" x14ac:dyDescent="0.2">
      <c r="A90" s="150" t="str">
        <f>A8</f>
        <v>SFS - 6 Mile Serve Load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</row>
    <row r="91" spans="1:13" x14ac:dyDescent="0.2">
      <c r="A91" s="50"/>
      <c r="B91" s="50"/>
      <c r="C91" s="48"/>
      <c r="D91" s="48"/>
      <c r="E91" s="48"/>
      <c r="F91" s="48"/>
      <c r="G91" s="48"/>
      <c r="H91" s="48"/>
      <c r="I91" s="48"/>
    </row>
    <row r="92" spans="1:13" x14ac:dyDescent="0.2">
      <c r="A92" s="50" t="s">
        <v>103</v>
      </c>
      <c r="B92" s="50"/>
      <c r="C92" s="48"/>
      <c r="D92" s="48"/>
      <c r="E92" s="48"/>
      <c r="F92" s="48"/>
      <c r="G92" s="48"/>
      <c r="H92" s="48"/>
      <c r="I92" s="48"/>
    </row>
    <row r="93" spans="1:13" x14ac:dyDescent="0.2">
      <c r="A93" s="50" t="s">
        <v>9</v>
      </c>
      <c r="B93" s="50"/>
      <c r="C93" s="48"/>
      <c r="D93" s="48"/>
      <c r="E93" s="48"/>
      <c r="F93" s="48"/>
      <c r="G93" s="48"/>
      <c r="H93" s="48"/>
      <c r="I93" s="48"/>
    </row>
    <row r="95" spans="1:13" ht="12" thickBot="1" x14ac:dyDescent="0.25">
      <c r="A95" s="65" t="s">
        <v>77</v>
      </c>
      <c r="E95" s="52" t="str">
        <f>E13</f>
        <v>Acct 2.376.00</v>
      </c>
      <c r="F95" s="52"/>
      <c r="G95" s="52"/>
      <c r="H95" s="52"/>
      <c r="I95" s="52"/>
      <c r="M95" s="55" t="s">
        <v>104</v>
      </c>
    </row>
    <row r="96" spans="1:13" ht="12" thickBot="1" x14ac:dyDescent="0.25">
      <c r="A96" s="88" t="s">
        <v>79</v>
      </c>
      <c r="B96" s="55"/>
      <c r="C96" s="53" t="s">
        <v>80</v>
      </c>
      <c r="D96" s="55"/>
      <c r="E96" s="53" t="s">
        <v>81</v>
      </c>
      <c r="F96" s="55"/>
      <c r="G96" s="53" t="s">
        <v>82</v>
      </c>
      <c r="H96" s="55"/>
      <c r="I96" s="53" t="s">
        <v>83</v>
      </c>
      <c r="M96" s="53" t="s">
        <v>105</v>
      </c>
    </row>
    <row r="97" spans="1:13" x14ac:dyDescent="0.2">
      <c r="A97" s="55"/>
      <c r="B97" s="55"/>
      <c r="C97" s="39" t="s">
        <v>5</v>
      </c>
      <c r="D97" s="55"/>
      <c r="E97" s="36" t="s">
        <v>6</v>
      </c>
      <c r="F97" s="55"/>
      <c r="G97" s="36" t="s">
        <v>7</v>
      </c>
      <c r="H97" s="33"/>
      <c r="I97" s="36" t="s">
        <v>41</v>
      </c>
      <c r="K97" s="17" t="s">
        <v>42</v>
      </c>
      <c r="M97" s="55" t="s">
        <v>43</v>
      </c>
    </row>
    <row r="98" spans="1:13" x14ac:dyDescent="0.2">
      <c r="A98" s="55"/>
      <c r="B98" s="55"/>
      <c r="C98" s="55"/>
      <c r="D98" s="55"/>
      <c r="E98" s="55"/>
      <c r="F98" s="55"/>
      <c r="G98" s="55"/>
      <c r="H98" s="55"/>
      <c r="I98" s="55"/>
    </row>
    <row r="99" spans="1:13" x14ac:dyDescent="0.2">
      <c r="A99" s="49">
        <v>1</v>
      </c>
      <c r="C99" s="56">
        <f>C17</f>
        <v>45641</v>
      </c>
      <c r="D99" s="56"/>
      <c r="E99" s="117">
        <f>E57</f>
        <v>0</v>
      </c>
      <c r="F99" s="118"/>
      <c r="G99" s="117">
        <f>G57</f>
        <v>1327.73</v>
      </c>
      <c r="H99" s="118"/>
      <c r="I99" s="118">
        <f>G99-E99</f>
        <v>1327.73</v>
      </c>
      <c r="J99" s="118"/>
      <c r="K99" s="119"/>
      <c r="L99" s="118"/>
      <c r="M99" s="7">
        <f>+M57</f>
        <v>-214.46</v>
      </c>
    </row>
    <row r="100" spans="1:13" x14ac:dyDescent="0.2">
      <c r="A100" s="49">
        <f t="shared" ref="A100:A128" si="9">1+A99</f>
        <v>2</v>
      </c>
      <c r="C100" s="56">
        <f>C18</f>
        <v>45672</v>
      </c>
      <c r="D100" s="56"/>
      <c r="E100" s="8">
        <f>E98+E57</f>
        <v>0</v>
      </c>
      <c r="F100" s="8"/>
      <c r="G100" s="8">
        <f t="shared" ref="G100:G111" si="10">G99+G58</f>
        <v>2655.46</v>
      </c>
      <c r="H100" s="8"/>
      <c r="I100" s="8">
        <f t="shared" ref="I100:I111" si="11">G100-E100</f>
        <v>2655.46</v>
      </c>
      <c r="J100" s="8"/>
      <c r="K100" s="8"/>
      <c r="L100" s="8"/>
      <c r="M100" s="8">
        <f t="shared" ref="M100:M111" si="12">+M99+M58</f>
        <v>-428.92</v>
      </c>
    </row>
    <row r="101" spans="1:13" x14ac:dyDescent="0.2">
      <c r="A101" s="49">
        <f t="shared" si="9"/>
        <v>3</v>
      </c>
      <c r="C101" s="56">
        <f t="shared" ref="C101:C111" si="13">C100+31</f>
        <v>45703</v>
      </c>
      <c r="D101" s="56"/>
      <c r="E101" s="8">
        <f>E99+E58</f>
        <v>0</v>
      </c>
      <c r="F101" s="8"/>
      <c r="G101" s="8">
        <f t="shared" si="10"/>
        <v>3983.19</v>
      </c>
      <c r="H101" s="8"/>
      <c r="I101" s="8">
        <f t="shared" si="11"/>
        <v>3983.19</v>
      </c>
      <c r="J101" s="8"/>
      <c r="K101" s="8"/>
      <c r="L101" s="8"/>
      <c r="M101" s="8">
        <f t="shared" si="12"/>
        <v>-643.38</v>
      </c>
    </row>
    <row r="102" spans="1:13" x14ac:dyDescent="0.2">
      <c r="A102" s="49">
        <f t="shared" si="9"/>
        <v>4</v>
      </c>
      <c r="C102" s="56">
        <f t="shared" si="13"/>
        <v>45734</v>
      </c>
      <c r="D102" s="56"/>
      <c r="E102" s="8">
        <f t="shared" ref="E102:E111" si="14">E101+E60</f>
        <v>0</v>
      </c>
      <c r="F102" s="8"/>
      <c r="G102" s="8">
        <f t="shared" si="10"/>
        <v>5310.92</v>
      </c>
      <c r="H102" s="8"/>
      <c r="I102" s="8">
        <f t="shared" si="11"/>
        <v>5310.92</v>
      </c>
      <c r="J102" s="8"/>
      <c r="K102" s="8"/>
      <c r="L102" s="8"/>
      <c r="M102" s="8">
        <f t="shared" si="12"/>
        <v>-857.84</v>
      </c>
    </row>
    <row r="103" spans="1:13" x14ac:dyDescent="0.2">
      <c r="A103" s="49">
        <f t="shared" si="9"/>
        <v>5</v>
      </c>
      <c r="C103" s="56">
        <f t="shared" si="13"/>
        <v>45765</v>
      </c>
      <c r="D103" s="56"/>
      <c r="E103" s="8">
        <f t="shared" si="14"/>
        <v>0</v>
      </c>
      <c r="F103" s="8"/>
      <c r="G103" s="8">
        <f t="shared" si="10"/>
        <v>6638.65</v>
      </c>
      <c r="H103" s="8"/>
      <c r="I103" s="8">
        <f t="shared" si="11"/>
        <v>6638.65</v>
      </c>
      <c r="J103" s="8"/>
      <c r="K103" s="8"/>
      <c r="L103" s="8"/>
      <c r="M103" s="8">
        <f t="shared" si="12"/>
        <v>-1072.3</v>
      </c>
    </row>
    <row r="104" spans="1:13" x14ac:dyDescent="0.2">
      <c r="A104" s="49">
        <f t="shared" si="9"/>
        <v>6</v>
      </c>
      <c r="C104" s="56">
        <f t="shared" si="13"/>
        <v>45796</v>
      </c>
      <c r="D104" s="56"/>
      <c r="E104" s="8">
        <f t="shared" si="14"/>
        <v>0</v>
      </c>
      <c r="F104" s="8"/>
      <c r="G104" s="8">
        <f t="shared" si="10"/>
        <v>7966.3799999999992</v>
      </c>
      <c r="H104" s="8"/>
      <c r="I104" s="8">
        <f t="shared" si="11"/>
        <v>7966.3799999999992</v>
      </c>
      <c r="J104" s="8"/>
      <c r="K104" s="8"/>
      <c r="L104" s="8"/>
      <c r="M104" s="8">
        <f t="shared" si="12"/>
        <v>-1286.76</v>
      </c>
    </row>
    <row r="105" spans="1:13" x14ac:dyDescent="0.2">
      <c r="A105" s="49">
        <f t="shared" si="9"/>
        <v>7</v>
      </c>
      <c r="C105" s="56">
        <f t="shared" si="13"/>
        <v>45827</v>
      </c>
      <c r="D105" s="56"/>
      <c r="E105" s="8">
        <f t="shared" si="14"/>
        <v>0</v>
      </c>
      <c r="F105" s="8"/>
      <c r="G105" s="8">
        <f t="shared" si="10"/>
        <v>9294.1099999999988</v>
      </c>
      <c r="H105" s="8"/>
      <c r="I105" s="8">
        <f t="shared" si="11"/>
        <v>9294.1099999999988</v>
      </c>
      <c r="J105" s="8"/>
      <c r="K105" s="8"/>
      <c r="L105" s="8"/>
      <c r="M105" s="8">
        <f t="shared" si="12"/>
        <v>-1501.22</v>
      </c>
    </row>
    <row r="106" spans="1:13" x14ac:dyDescent="0.2">
      <c r="A106" s="49">
        <f t="shared" si="9"/>
        <v>8</v>
      </c>
      <c r="C106" s="56">
        <f t="shared" si="13"/>
        <v>45858</v>
      </c>
      <c r="D106" s="56"/>
      <c r="E106" s="8">
        <f t="shared" si="14"/>
        <v>0</v>
      </c>
      <c r="F106" s="8"/>
      <c r="G106" s="8">
        <f t="shared" si="10"/>
        <v>10621.839999999998</v>
      </c>
      <c r="H106" s="8"/>
      <c r="I106" s="8">
        <f t="shared" si="11"/>
        <v>10621.839999999998</v>
      </c>
      <c r="J106" s="8"/>
      <c r="K106" s="8"/>
      <c r="L106" s="8"/>
      <c r="M106" s="8">
        <f t="shared" si="12"/>
        <v>-1715.68</v>
      </c>
    </row>
    <row r="107" spans="1:13" x14ac:dyDescent="0.2">
      <c r="A107" s="49">
        <f t="shared" si="9"/>
        <v>9</v>
      </c>
      <c r="C107" s="56">
        <f t="shared" si="13"/>
        <v>45889</v>
      </c>
      <c r="D107" s="56"/>
      <c r="E107" s="8">
        <f t="shared" si="14"/>
        <v>0</v>
      </c>
      <c r="F107" s="8"/>
      <c r="G107" s="8">
        <f t="shared" si="10"/>
        <v>11949.569999999998</v>
      </c>
      <c r="H107" s="8"/>
      <c r="I107" s="8">
        <f t="shared" si="11"/>
        <v>11949.569999999998</v>
      </c>
      <c r="J107" s="8"/>
      <c r="K107" s="8"/>
      <c r="L107" s="8"/>
      <c r="M107" s="8">
        <f t="shared" si="12"/>
        <v>-1930.14</v>
      </c>
    </row>
    <row r="108" spans="1:13" x14ac:dyDescent="0.2">
      <c r="A108" s="49">
        <f t="shared" si="9"/>
        <v>10</v>
      </c>
      <c r="C108" s="56">
        <f t="shared" si="13"/>
        <v>45920</v>
      </c>
      <c r="D108" s="56"/>
      <c r="E108" s="8">
        <f t="shared" si="14"/>
        <v>0</v>
      </c>
      <c r="F108" s="8"/>
      <c r="G108" s="8">
        <f t="shared" si="10"/>
        <v>13277.299999999997</v>
      </c>
      <c r="H108" s="8"/>
      <c r="I108" s="8">
        <f t="shared" si="11"/>
        <v>13277.299999999997</v>
      </c>
      <c r="J108" s="8"/>
      <c r="K108" s="8"/>
      <c r="L108" s="8"/>
      <c r="M108" s="8">
        <f t="shared" si="12"/>
        <v>-2144.6</v>
      </c>
    </row>
    <row r="109" spans="1:13" x14ac:dyDescent="0.2">
      <c r="A109" s="49">
        <f t="shared" si="9"/>
        <v>11</v>
      </c>
      <c r="C109" s="56">
        <f t="shared" si="13"/>
        <v>45951</v>
      </c>
      <c r="D109" s="56"/>
      <c r="E109" s="8">
        <f t="shared" si="14"/>
        <v>1328.18</v>
      </c>
      <c r="F109" s="8"/>
      <c r="G109" s="8">
        <f t="shared" si="10"/>
        <v>14605.029999999997</v>
      </c>
      <c r="H109" s="8"/>
      <c r="I109" s="8">
        <f t="shared" si="11"/>
        <v>13276.849999999997</v>
      </c>
      <c r="J109" s="8"/>
      <c r="K109" s="8"/>
      <c r="L109" s="8"/>
      <c r="M109" s="8">
        <f t="shared" si="12"/>
        <v>-2359.06</v>
      </c>
    </row>
    <row r="110" spans="1:13" x14ac:dyDescent="0.2">
      <c r="A110" s="49">
        <f t="shared" si="9"/>
        <v>12</v>
      </c>
      <c r="C110" s="56">
        <f t="shared" si="13"/>
        <v>45982</v>
      </c>
      <c r="D110" s="56"/>
      <c r="E110" s="8">
        <f t="shared" si="14"/>
        <v>2656.36</v>
      </c>
      <c r="F110" s="8"/>
      <c r="G110" s="8">
        <f t="shared" si="10"/>
        <v>15932.759999999997</v>
      </c>
      <c r="H110" s="8"/>
      <c r="I110" s="8">
        <f t="shared" si="11"/>
        <v>13276.399999999996</v>
      </c>
      <c r="J110" s="8"/>
      <c r="K110" s="8"/>
      <c r="L110" s="8"/>
      <c r="M110" s="8">
        <f t="shared" si="12"/>
        <v>-2573.52</v>
      </c>
    </row>
    <row r="111" spans="1:13" x14ac:dyDescent="0.2">
      <c r="A111" s="49">
        <f t="shared" si="9"/>
        <v>13</v>
      </c>
      <c r="C111" s="56">
        <f t="shared" si="13"/>
        <v>46013</v>
      </c>
      <c r="D111" s="56"/>
      <c r="E111" s="131">
        <f t="shared" si="14"/>
        <v>3984.09</v>
      </c>
      <c r="F111" s="8"/>
      <c r="G111" s="131">
        <f t="shared" si="10"/>
        <v>17260.489999999998</v>
      </c>
      <c r="H111" s="8"/>
      <c r="I111" s="131">
        <f t="shared" si="11"/>
        <v>13276.399999999998</v>
      </c>
      <c r="J111" s="8"/>
      <c r="K111" s="8"/>
      <c r="L111" s="8"/>
      <c r="M111" s="131">
        <f t="shared" si="12"/>
        <v>-2787.98</v>
      </c>
    </row>
    <row r="112" spans="1:13" x14ac:dyDescent="0.2">
      <c r="A112" s="49">
        <f t="shared" si="9"/>
        <v>14</v>
      </c>
      <c r="C112" s="58" t="s">
        <v>46</v>
      </c>
      <c r="D112" s="58"/>
      <c r="E112" s="118">
        <f>SUM(E99:E111)</f>
        <v>7968.63</v>
      </c>
      <c r="F112" s="118"/>
      <c r="G112" s="118">
        <f>SUM(G99:G111)</f>
        <v>120823.43</v>
      </c>
      <c r="H112" s="118"/>
      <c r="I112" s="118">
        <f>SUM(I99:I111)</f>
        <v>112854.79999999997</v>
      </c>
      <c r="J112" s="118"/>
      <c r="K112" s="118"/>
      <c r="L112" s="118"/>
      <c r="M112" s="118">
        <f>SUM(M99:M111)</f>
        <v>-19515.86</v>
      </c>
    </row>
    <row r="113" spans="1:13" x14ac:dyDescent="0.2">
      <c r="A113" s="49">
        <f t="shared" si="9"/>
        <v>15</v>
      </c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1:13" ht="12" thickBot="1" x14ac:dyDescent="0.25">
      <c r="A114" s="49">
        <f t="shared" si="9"/>
        <v>16</v>
      </c>
      <c r="C114" s="67" t="s">
        <v>117</v>
      </c>
      <c r="D114" s="67"/>
      <c r="E114" s="121">
        <f>ROUND(+E112/13,2)</f>
        <v>612.97</v>
      </c>
      <c r="F114" s="118"/>
      <c r="G114" s="121">
        <f>ROUND(+G112/13,2)</f>
        <v>9294.11</v>
      </c>
      <c r="H114" s="118"/>
      <c r="I114" s="121">
        <f>ROUND(+I112/13,2)</f>
        <v>8681.14</v>
      </c>
      <c r="J114" s="118"/>
      <c r="K114" s="118"/>
      <c r="L114" s="118"/>
      <c r="M114" s="121">
        <f>ROUND(+M112/13,2)</f>
        <v>-1501.22</v>
      </c>
    </row>
    <row r="115" spans="1:13" ht="12" thickTop="1" x14ac:dyDescent="0.2">
      <c r="A115" s="49">
        <f t="shared" si="9"/>
        <v>17</v>
      </c>
      <c r="E115" s="122" t="s">
        <v>9</v>
      </c>
      <c r="F115" s="122"/>
      <c r="G115" s="122" t="s">
        <v>9</v>
      </c>
      <c r="H115" s="122"/>
      <c r="I115" s="122" t="s">
        <v>9</v>
      </c>
      <c r="J115" s="118"/>
      <c r="K115" s="118"/>
      <c r="L115" s="118"/>
      <c r="M115" s="118"/>
    </row>
    <row r="116" spans="1:13" x14ac:dyDescent="0.2">
      <c r="A116" s="49">
        <f t="shared" si="9"/>
        <v>18</v>
      </c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1:13" ht="12" thickBot="1" x14ac:dyDescent="0.25">
      <c r="A117" s="49">
        <f t="shared" si="9"/>
        <v>19</v>
      </c>
      <c r="C117" s="58" t="s">
        <v>84</v>
      </c>
      <c r="D117" s="58"/>
      <c r="E117" s="118"/>
      <c r="F117" s="118"/>
      <c r="G117" s="118"/>
      <c r="H117" s="118"/>
      <c r="I117" s="128">
        <f>I114</f>
        <v>8681.14</v>
      </c>
      <c r="J117" s="118"/>
      <c r="K117" s="118"/>
      <c r="L117" s="118"/>
      <c r="M117" s="128">
        <f>+M114</f>
        <v>-1501.22</v>
      </c>
    </row>
    <row r="118" spans="1:13" ht="12" thickTop="1" x14ac:dyDescent="0.2">
      <c r="A118" s="49">
        <f t="shared" si="9"/>
        <v>20</v>
      </c>
      <c r="E118" s="57"/>
      <c r="F118" s="57"/>
      <c r="G118" s="57"/>
      <c r="H118" s="57"/>
      <c r="I118" s="58" t="s">
        <v>85</v>
      </c>
      <c r="M118" s="58" t="s">
        <v>85</v>
      </c>
    </row>
    <row r="119" spans="1:13" x14ac:dyDescent="0.2">
      <c r="A119" s="49">
        <f t="shared" si="9"/>
        <v>21</v>
      </c>
      <c r="I119" s="58" t="s">
        <v>127</v>
      </c>
      <c r="M119" s="58" t="s">
        <v>128</v>
      </c>
    </row>
    <row r="120" spans="1:13" x14ac:dyDescent="0.2">
      <c r="A120" s="49">
        <f t="shared" si="9"/>
        <v>22</v>
      </c>
    </row>
    <row r="121" spans="1:13" x14ac:dyDescent="0.2">
      <c r="A121" s="49">
        <f t="shared" si="9"/>
        <v>23</v>
      </c>
      <c r="E121" s="63" t="s">
        <v>95</v>
      </c>
      <c r="F121" s="63"/>
      <c r="G121" s="63" t="s">
        <v>96</v>
      </c>
    </row>
    <row r="122" spans="1:13" ht="12" thickBot="1" x14ac:dyDescent="0.25">
      <c r="A122" s="49">
        <f t="shared" si="9"/>
        <v>24</v>
      </c>
      <c r="E122" s="64" t="s">
        <v>99</v>
      </c>
      <c r="F122" s="63"/>
      <c r="G122" s="64" t="s">
        <v>99</v>
      </c>
    </row>
    <row r="123" spans="1:13" x14ac:dyDescent="0.2">
      <c r="A123" s="49">
        <f t="shared" si="9"/>
        <v>25</v>
      </c>
      <c r="C123" s="65" t="str">
        <f>C78</f>
        <v>Acct 2.376.00</v>
      </c>
      <c r="D123" s="65"/>
      <c r="E123" s="68">
        <f>E78</f>
        <v>2.2058823529411766E-2</v>
      </c>
      <c r="F123" s="68"/>
      <c r="G123" s="68">
        <f>G78</f>
        <v>1.6968325791855204E-3</v>
      </c>
    </row>
    <row r="124" spans="1:13" x14ac:dyDescent="0.2">
      <c r="A124" s="49">
        <f t="shared" si="9"/>
        <v>26</v>
      </c>
      <c r="E124" s="57"/>
      <c r="F124" s="57"/>
      <c r="G124" s="57"/>
      <c r="H124" s="57"/>
      <c r="I124" s="57"/>
    </row>
    <row r="125" spans="1:13" x14ac:dyDescent="0.2">
      <c r="A125" s="49">
        <f t="shared" si="9"/>
        <v>27</v>
      </c>
      <c r="H125" s="57"/>
      <c r="I125" s="57"/>
    </row>
    <row r="126" spans="1:13" x14ac:dyDescent="0.2">
      <c r="A126" s="49">
        <f t="shared" si="9"/>
        <v>28</v>
      </c>
    </row>
    <row r="127" spans="1:13" x14ac:dyDescent="0.2">
      <c r="A127" s="49">
        <f t="shared" si="9"/>
        <v>29</v>
      </c>
    </row>
    <row r="128" spans="1:13" x14ac:dyDescent="0.2">
      <c r="A128" s="49">
        <f t="shared" si="9"/>
        <v>30</v>
      </c>
    </row>
  </sheetData>
  <mergeCells count="14">
    <mergeCell ref="A89:M89"/>
    <mergeCell ref="A90:M90"/>
    <mergeCell ref="A46:M46"/>
    <mergeCell ref="A47:M47"/>
    <mergeCell ref="A48:M48"/>
    <mergeCell ref="A83:M83"/>
    <mergeCell ref="A84:M84"/>
    <mergeCell ref="A88:M88"/>
    <mergeCell ref="A42:M42"/>
    <mergeCell ref="A1:I1"/>
    <mergeCell ref="A2:I2"/>
    <mergeCell ref="A7:I7"/>
    <mergeCell ref="A8:I8"/>
    <mergeCell ref="A41:M41"/>
  </mergeCells>
  <pageMargins left="0.75" right="0.75" top="1" bottom="1" header="0.5" footer="0.5"/>
  <pageSetup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1.1, WP B
Page &amp;P of &amp;N</oddHeader>
  </headerFooter>
  <rowBreaks count="2" manualBreakCount="2">
    <brk id="4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WP B, pg 1</vt:lpstr>
      <vt:lpstr>WP B, pg 2 &amp; 3</vt:lpstr>
      <vt:lpstr>CAPGDS1000000935 Input</vt:lpstr>
      <vt:lpstr>CAPGDS1000000935 TotalWO</vt:lpstr>
      <vt:lpstr>CAPGDS1000000935 Acct1</vt:lpstr>
      <vt:lpstr>CAPGDS1000000935 Support</vt:lpstr>
      <vt:lpstr>CAPGDS1000000166 Input</vt:lpstr>
      <vt:lpstr>CAPGDS1000000166 TotalWO</vt:lpstr>
      <vt:lpstr>CAPGDS1000000166 Acct1</vt:lpstr>
      <vt:lpstr>CAPGDS1000000166 Acct2</vt:lpstr>
      <vt:lpstr>CAPGDS1000000166 Support</vt:lpstr>
      <vt:lpstr>CAPGDS1000000782 Input</vt:lpstr>
      <vt:lpstr>CAPGDS1000000782 TotalWO</vt:lpstr>
      <vt:lpstr>CAPGDS1000000782 Acct1</vt:lpstr>
      <vt:lpstr>CAPGDS1000000782 Acct2</vt:lpstr>
      <vt:lpstr>CAPGDS1000000782 Acct3</vt:lpstr>
      <vt:lpstr>CAPGDS1000000782 Support</vt:lpstr>
      <vt:lpstr>CAPCIT1000000678 Input</vt:lpstr>
      <vt:lpstr>CAPCIT1000000678 TotalWO</vt:lpstr>
      <vt:lpstr>CAPCIT1000000678 Acct1</vt:lpstr>
      <vt:lpstr>CAPCIT1000000678 Support</vt:lpstr>
      <vt:lpstr>'CAPCIT1000000678 Acct1'!Print_Area</vt:lpstr>
      <vt:lpstr>'CAPCIT1000000678 Input'!Print_Area</vt:lpstr>
      <vt:lpstr>'CAPCIT1000000678 Support'!Print_Area</vt:lpstr>
      <vt:lpstr>'CAPCIT1000000678 TotalWO'!Print_Area</vt:lpstr>
      <vt:lpstr>'CAPGDS1000000166 Acct1'!Print_Area</vt:lpstr>
      <vt:lpstr>'CAPGDS1000000166 Acct2'!Print_Area</vt:lpstr>
      <vt:lpstr>'CAPGDS1000000166 Input'!Print_Area</vt:lpstr>
      <vt:lpstr>'CAPGDS1000000166 Support'!Print_Area</vt:lpstr>
      <vt:lpstr>'CAPGDS1000000166 TotalWO'!Print_Area</vt:lpstr>
      <vt:lpstr>'CAPGDS1000000782 Acct1'!Print_Area</vt:lpstr>
      <vt:lpstr>'CAPGDS1000000782 Acct2'!Print_Area</vt:lpstr>
      <vt:lpstr>'CAPGDS1000000782 Acct3'!Print_Area</vt:lpstr>
      <vt:lpstr>'CAPGDS1000000782 Input'!Print_Area</vt:lpstr>
      <vt:lpstr>'CAPGDS1000000782 Support'!Print_Area</vt:lpstr>
      <vt:lpstr>'CAPGDS1000000782 TotalWO'!Print_Area</vt:lpstr>
      <vt:lpstr>'CAPGDS1000000935 Acct1'!Print_Area</vt:lpstr>
      <vt:lpstr>'CAPGDS1000000935 Input'!Print_Area</vt:lpstr>
      <vt:lpstr>'CAPGDS1000000935 Support'!Print_Area</vt:lpstr>
      <vt:lpstr>'CAPGDS1000000935 TotalWO'!Print_Area</vt:lpstr>
      <vt:lpstr>'WP B, pg 1'!Print_Area</vt:lpstr>
      <vt:lpstr>'WP B, pg 2 &amp;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2026-08-18T15:36:01Z</dcterms:created>
  <dcterms:modified xsi:type="dcterms:W3CDTF">2026-08-18T15:36:14Z</dcterms:modified>
  <cp:category/>
  <cp:contentStatus/>
</cp:coreProperties>
</file>