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codeName="ThisWorkbook"/>
  <xr:revisionPtr revIDLastSave="0" documentId="13_ncr:1_{4126AF5A-EA22-4FF1-9DBB-39E7703AA1AA}" xr6:coauthVersionLast="47" xr6:coauthVersionMax="47" xr10:uidLastSave="{00000000-0000-0000-0000-000000000000}"/>
  <bookViews>
    <workbookView xWindow="28680" yWindow="-120" windowWidth="29040" windowHeight="16440" tabRatio="898" firstSheet="1" activeTab="1" xr2:uid="{00000000-000D-0000-FFFF-FFFF00000000}"/>
  </bookViews>
  <sheets>
    <sheet name="__snloffice" sheetId="39" state="veryHidden" r:id="rId1"/>
    <sheet name="AEB-2 Summary" sheetId="8" r:id="rId2"/>
    <sheet name="AEB-3 Proxy" sheetId="34" r:id="rId3"/>
    <sheet name="AEB-4 CGDCF" sheetId="3" r:id="rId4"/>
    <sheet name="AEB-5 CAPM" sheetId="4" r:id="rId5"/>
    <sheet name="AEB-6 LT Beta" sheetId="9" r:id="rId6"/>
    <sheet name="AEB-7 MktRet" sheetId="28" r:id="rId7"/>
    <sheet name="AEB-8 RiskPrem" sheetId="17" r:id="rId8"/>
    <sheet name="AEB-9 CapEx1" sheetId="37" r:id="rId9"/>
    <sheet name="AEB-9 CapEx2" sheetId="38" r:id="rId10"/>
    <sheet name="AEB-10 RegRisk" sheetId="24" r:id="rId11"/>
    <sheet name="AEB-11 RRA Reg Env" sheetId="35" r:id="rId12"/>
    <sheet name="AEB-12 S&amp;P Cred Sup" sheetId="36" r:id="rId13"/>
    <sheet name="AEB-13 SizePrem" sheetId="40" r:id="rId14"/>
    <sheet name="AEB-14 CapStruct" sheetId="31" r:id="rId15"/>
  </sheets>
  <definedNames>
    <definedName name="CIQWBGuid" hidden="1">"f880685a-a8c2-470d-80d3-7ffbb29462ea"</definedName>
    <definedName name="CIQWBInfo" hidden="1">"{ ""CIQVersion"":""9.52.4409.4666"" }"</definedName>
    <definedName name="IQ_CH">110000</definedName>
    <definedName name="IQ_CQ">5000</definedName>
    <definedName name="IQ_CY">10000</definedName>
    <definedName name="IQ_DAILY">500000</definedName>
    <definedName name="IQ_DNTM" hidden="1">700000</definedName>
    <definedName name="IQ_EXPENSE_CODE_" hidden="1">"024385"</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localSheetId="10" hidden="1">44626.8089467593</definedName>
    <definedName name="IQ_NAMES_REVISION_DATE_" localSheetId="13" hidden="1">45945.601724537</definedName>
    <definedName name="IQ_NAMES_REVISION_DATE_" localSheetId="14" hidden="1">44775.8369791667</definedName>
    <definedName name="IQ_NAMES_REVISION_DATE_" localSheetId="2" hidden="1">45945.601724537</definedName>
    <definedName name="IQ_NAMES_REVISION_DATE_" localSheetId="6" hidden="1">44775.8369791667</definedName>
    <definedName name="IQ_NAMES_REVISION_DATE_" hidden="1">44626.8089467593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Area" localSheetId="11">'AEB-11 RRA Reg Env'!$B$2:$E$40</definedName>
    <definedName name="_xlnm.Print_Area" localSheetId="12">'AEB-12 S&amp;P Cred Sup'!$B$1:$E$40</definedName>
    <definedName name="_xlnm.Print_Area" localSheetId="13">'AEB-13 SizePrem'!$B$2:$G$60</definedName>
    <definedName name="_xlnm.Print_Area" localSheetId="14">'AEB-14 CapStruct'!$B$3:$G$38,'AEB-14 CapStruct'!$J$3:$O$38,'AEB-14 CapStruct'!$R$3:$W$38</definedName>
    <definedName name="_xlnm.Print_Area" localSheetId="1">'AEB-2 Summary'!$B$2:$E$28</definedName>
    <definedName name="_xlnm.Print_Area" localSheetId="2">'AEB-3 Proxy'!$B$2:$I$18</definedName>
    <definedName name="_xlnm.Print_Area" localSheetId="3">'AEB-4 CGDCF'!$B$2:$O$35,'AEB-4 CGDCF'!$B$39:$O$72,'AEB-4 CGDCF'!$B$76:$O$109</definedName>
    <definedName name="_xlnm.Print_Area" localSheetId="4">'AEB-5 CAPM'!$B$2:$I$23,'AEB-5 CAPM'!$B$26:$I$47,'AEB-5 CAPM'!$B$50:$I$71,'AEB-5 CAPM'!$B$76:$I$97,'AEB-5 CAPM'!$B$100:$I$121,'AEB-5 CAPM'!$B$124:$I$145</definedName>
    <definedName name="_xlnm.Print_Area" localSheetId="5">'AEB-6 LT Beta'!$A$2:$P$29</definedName>
    <definedName name="_xlnm.Print_Area" localSheetId="7">'AEB-8 RiskPrem'!$G$2:$O$63,'AEB-8 RiskPrem'!$B$2:$E$191</definedName>
    <definedName name="_xlnm.Print_Area" localSheetId="8">'AEB-9 CapEx1'!$A$1:$K$57</definedName>
    <definedName name="_xlnm.Print_Area" localSheetId="9">'AEB-9 CapEx2'!$B$2:$E$38</definedName>
    <definedName name="_xlnm.Print_Titles" localSheetId="11">'AEB-11 RRA Reg Env'!$1:$8</definedName>
    <definedName name="_xlnm.Print_Titles" localSheetId="12">'AEB-12 S&amp;P Cred Sup'!$1:$8</definedName>
    <definedName name="_xlnm.Print_Titles" localSheetId="6">'AEB-7 MktRet'!$10:$14</definedName>
    <definedName name="_xlnm.Print_Titles" localSheetId="7">'AEB-8 RiskPrem'!$2:$5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4" i="37" l="1"/>
  <c r="I44" i="37"/>
  <c r="H44" i="37"/>
  <c r="G44" i="37"/>
  <c r="F44" i="37"/>
  <c r="G48" i="40"/>
  <c r="R38" i="31"/>
  <c r="J38" i="31"/>
  <c r="J37" i="31"/>
  <c r="R37" i="31" s="1"/>
  <c r="M11" i="24" l="1"/>
  <c r="D34" i="4" l="1"/>
  <c r="B25" i="3" l="1"/>
  <c r="B18" i="4"/>
  <c r="G47" i="40"/>
  <c r="B47" i="40" l="1"/>
  <c r="G50" i="40" l="1"/>
  <c r="G22" i="40"/>
  <c r="F47" i="40" s="1"/>
  <c r="G17" i="40"/>
  <c r="G25" i="40" s="1"/>
  <c r="F48" i="40" s="1"/>
  <c r="D17" i="31" l="1"/>
  <c r="D16" i="31"/>
  <c r="D15" i="31"/>
  <c r="E33" i="36"/>
  <c r="E34" i="38"/>
  <c r="K49" i="37"/>
  <c r="K48" i="37"/>
  <c r="K47" i="37"/>
  <c r="D190" i="17" l="1"/>
  <c r="E190" i="17"/>
  <c r="D191" i="17"/>
  <c r="E191" i="17"/>
  <c r="C191" i="17"/>
  <c r="C190" i="17"/>
  <c r="E189" i="17"/>
  <c r="D105" i="4" l="1"/>
  <c r="E87" i="4"/>
  <c r="E88" i="4"/>
  <c r="O13" i="9"/>
  <c r="F16" i="28" l="1"/>
  <c r="F17" i="28"/>
  <c r="F18" i="28"/>
  <c r="F19" i="28"/>
  <c r="F20" i="28"/>
  <c r="F21" i="28"/>
  <c r="F22" i="28"/>
  <c r="F23" i="28"/>
  <c r="F24" i="28"/>
  <c r="F25" i="28"/>
  <c r="F26" i="28"/>
  <c r="F27" i="28"/>
  <c r="F28" i="28"/>
  <c r="F29" i="28"/>
  <c r="F30" i="28"/>
  <c r="F31" i="28"/>
  <c r="F32" i="28"/>
  <c r="F33" i="28"/>
  <c r="F34" i="28"/>
  <c r="F35" i="28"/>
  <c r="F36" i="28"/>
  <c r="F37" i="28"/>
  <c r="F38" i="28"/>
  <c r="F39" i="28"/>
  <c r="F40" i="28"/>
  <c r="F41" i="28"/>
  <c r="F42" i="28"/>
  <c r="F43" i="28"/>
  <c r="F44" i="28"/>
  <c r="F45" i="28"/>
  <c r="F46" i="28"/>
  <c r="F47" i="28"/>
  <c r="F48" i="28"/>
  <c r="F49" i="28"/>
  <c r="F50" i="28"/>
  <c r="F51" i="28"/>
  <c r="F52" i="28"/>
  <c r="F53" i="28"/>
  <c r="F54" i="28"/>
  <c r="F55" i="28"/>
  <c r="F56" i="28"/>
  <c r="F57" i="28"/>
  <c r="F58" i="28"/>
  <c r="F59" i="28"/>
  <c r="F60" i="28"/>
  <c r="F61" i="28"/>
  <c r="F62" i="28"/>
  <c r="F63" i="28"/>
  <c r="F64" i="28"/>
  <c r="F65" i="28"/>
  <c r="F66" i="28"/>
  <c r="F67" i="28"/>
  <c r="F68" i="28"/>
  <c r="F69" i="28"/>
  <c r="F70" i="28"/>
  <c r="F71" i="28"/>
  <c r="F72" i="28"/>
  <c r="F73" i="28"/>
  <c r="F74" i="28"/>
  <c r="F75" i="28"/>
  <c r="F76" i="28"/>
  <c r="F77" i="28"/>
  <c r="F78" i="28"/>
  <c r="F79" i="28"/>
  <c r="F80" i="28"/>
  <c r="F81" i="28"/>
  <c r="F82" i="28"/>
  <c r="F83" i="28"/>
  <c r="F84" i="28"/>
  <c r="F85" i="28"/>
  <c r="F86" i="28"/>
  <c r="F87" i="28"/>
  <c r="F88" i="28"/>
  <c r="F89" i="28"/>
  <c r="F90" i="28"/>
  <c r="F91" i="28"/>
  <c r="F92" i="28"/>
  <c r="F93" i="28"/>
  <c r="F94" i="28"/>
  <c r="F95" i="28"/>
  <c r="F96" i="28"/>
  <c r="F97" i="28"/>
  <c r="F98" i="28"/>
  <c r="F99" i="28"/>
  <c r="F100" i="28"/>
  <c r="F101" i="28"/>
  <c r="F102" i="28"/>
  <c r="F103" i="28"/>
  <c r="F104" i="28"/>
  <c r="F105" i="28"/>
  <c r="F106" i="28"/>
  <c r="F107" i="28"/>
  <c r="F108" i="28"/>
  <c r="F109" i="28"/>
  <c r="F110" i="28"/>
  <c r="F111" i="28"/>
  <c r="F112" i="28"/>
  <c r="F113" i="28"/>
  <c r="F114" i="28"/>
  <c r="F115" i="28"/>
  <c r="F116" i="28"/>
  <c r="F117" i="28"/>
  <c r="F118" i="28"/>
  <c r="F119" i="28"/>
  <c r="F120" i="28"/>
  <c r="F121" i="28"/>
  <c r="F122" i="28"/>
  <c r="F123" i="28"/>
  <c r="F124" i="28"/>
  <c r="F125" i="28"/>
  <c r="F126" i="28"/>
  <c r="F127" i="28"/>
  <c r="F128" i="28"/>
  <c r="F129" i="28"/>
  <c r="F130" i="28"/>
  <c r="F131" i="28"/>
  <c r="F132" i="28"/>
  <c r="F133" i="28"/>
  <c r="F134" i="28"/>
  <c r="F135" i="28"/>
  <c r="F136" i="28"/>
  <c r="F137" i="28"/>
  <c r="F138" i="28"/>
  <c r="F139" i="28"/>
  <c r="F140" i="28"/>
  <c r="F141" i="28"/>
  <c r="F142" i="28"/>
  <c r="F143" i="28"/>
  <c r="F144" i="28"/>
  <c r="F145" i="28"/>
  <c r="F146" i="28"/>
  <c r="F147" i="28"/>
  <c r="F148" i="28"/>
  <c r="F149" i="28"/>
  <c r="F150" i="28"/>
  <c r="F151" i="28"/>
  <c r="F152" i="28"/>
  <c r="F153" i="28"/>
  <c r="F154" i="28"/>
  <c r="F155" i="28"/>
  <c r="F156" i="28"/>
  <c r="F157" i="28"/>
  <c r="F158" i="28"/>
  <c r="F159" i="28"/>
  <c r="F160" i="28"/>
  <c r="F161" i="28"/>
  <c r="F162" i="28"/>
  <c r="F163" i="28"/>
  <c r="F164" i="28"/>
  <c r="F165" i="28"/>
  <c r="F166" i="28"/>
  <c r="F167" i="28"/>
  <c r="F168" i="28"/>
  <c r="F169" i="28"/>
  <c r="F170" i="28"/>
  <c r="F171" i="28"/>
  <c r="F172" i="28"/>
  <c r="F173" i="28"/>
  <c r="F174" i="28"/>
  <c r="F175" i="28"/>
  <c r="F176" i="28"/>
  <c r="F177" i="28"/>
  <c r="F178" i="28"/>
  <c r="F179" i="28"/>
  <c r="F180" i="28"/>
  <c r="F181" i="28"/>
  <c r="F182" i="28"/>
  <c r="F183" i="28"/>
  <c r="F184" i="28"/>
  <c r="F185" i="28"/>
  <c r="F186" i="28"/>
  <c r="F187" i="28"/>
  <c r="F188" i="28"/>
  <c r="F189" i="28"/>
  <c r="F190" i="28"/>
  <c r="F191" i="28"/>
  <c r="F192" i="28"/>
  <c r="F193" i="28"/>
  <c r="F194" i="28"/>
  <c r="F195" i="28"/>
  <c r="F196" i="28"/>
  <c r="F197" i="28"/>
  <c r="F198" i="28"/>
  <c r="F199" i="28"/>
  <c r="F200" i="28"/>
  <c r="F201" i="28"/>
  <c r="F202" i="28"/>
  <c r="F203" i="28"/>
  <c r="F204" i="28"/>
  <c r="F205" i="28"/>
  <c r="F206" i="28"/>
  <c r="F207" i="28"/>
  <c r="F208" i="28"/>
  <c r="F209" i="28"/>
  <c r="F210" i="28"/>
  <c r="F211" i="28"/>
  <c r="F212" i="28"/>
  <c r="F213" i="28"/>
  <c r="F214" i="28"/>
  <c r="F215" i="28"/>
  <c r="F216" i="28"/>
  <c r="F217" i="28"/>
  <c r="F218" i="28"/>
  <c r="F219" i="28"/>
  <c r="F220" i="28"/>
  <c r="F221" i="28"/>
  <c r="F222" i="28"/>
  <c r="F223" i="28"/>
  <c r="F224" i="28"/>
  <c r="F225" i="28"/>
  <c r="F226" i="28"/>
  <c r="F227" i="28"/>
  <c r="F228" i="28"/>
  <c r="F229" i="28"/>
  <c r="F230" i="28"/>
  <c r="F231" i="28"/>
  <c r="F232" i="28"/>
  <c r="F233" i="28"/>
  <c r="F234" i="28"/>
  <c r="F235" i="28"/>
  <c r="F236" i="28"/>
  <c r="F237" i="28"/>
  <c r="F238" i="28"/>
  <c r="F239" i="28"/>
  <c r="F240" i="28"/>
  <c r="F241" i="28"/>
  <c r="F242" i="28"/>
  <c r="F243" i="28"/>
  <c r="F244" i="28"/>
  <c r="F245" i="28"/>
  <c r="F246" i="28"/>
  <c r="F247" i="28"/>
  <c r="F248" i="28"/>
  <c r="F249" i="28"/>
  <c r="F250" i="28"/>
  <c r="F251" i="28"/>
  <c r="F252" i="28"/>
  <c r="F253" i="28"/>
  <c r="F254" i="28"/>
  <c r="F255" i="28"/>
  <c r="F256" i="28"/>
  <c r="F257" i="28"/>
  <c r="F258" i="28"/>
  <c r="F259" i="28"/>
  <c r="F260" i="28"/>
  <c r="F261" i="28"/>
  <c r="F262" i="28"/>
  <c r="F263" i="28"/>
  <c r="F264" i="28"/>
  <c r="F265" i="28"/>
  <c r="F266" i="28"/>
  <c r="F267" i="28"/>
  <c r="F268" i="28"/>
  <c r="F269" i="28"/>
  <c r="F270" i="28"/>
  <c r="F271" i="28"/>
  <c r="F272" i="28"/>
  <c r="F273" i="28"/>
  <c r="F274" i="28"/>
  <c r="F275" i="28"/>
  <c r="F276" i="28"/>
  <c r="F277" i="28"/>
  <c r="F278" i="28"/>
  <c r="F279" i="28"/>
  <c r="F280" i="28"/>
  <c r="F281" i="28"/>
  <c r="F282" i="28"/>
  <c r="F283" i="28"/>
  <c r="F284" i="28"/>
  <c r="F285" i="28"/>
  <c r="F286" i="28"/>
  <c r="F287" i="28"/>
  <c r="F288" i="28"/>
  <c r="F289" i="28"/>
  <c r="F290" i="28"/>
  <c r="F291" i="28"/>
  <c r="F292" i="28"/>
  <c r="F293" i="28"/>
  <c r="F294" i="28"/>
  <c r="F295" i="28"/>
  <c r="F296" i="28"/>
  <c r="F297" i="28"/>
  <c r="F298" i="28"/>
  <c r="F299" i="28"/>
  <c r="F300" i="28"/>
  <c r="F301" i="28"/>
  <c r="F302" i="28"/>
  <c r="F303" i="28"/>
  <c r="F304" i="28"/>
  <c r="F305" i="28"/>
  <c r="F306" i="28"/>
  <c r="F307" i="28"/>
  <c r="F308" i="28"/>
  <c r="F309" i="28"/>
  <c r="F310" i="28"/>
  <c r="F311" i="28"/>
  <c r="F312" i="28"/>
  <c r="F313" i="28"/>
  <c r="F314" i="28"/>
  <c r="F315" i="28"/>
  <c r="F316" i="28"/>
  <c r="F317" i="28"/>
  <c r="F318" i="28"/>
  <c r="F319" i="28"/>
  <c r="F320" i="28"/>
  <c r="F321" i="28"/>
  <c r="F322" i="28"/>
  <c r="F323" i="28"/>
  <c r="F324" i="28"/>
  <c r="F325" i="28"/>
  <c r="F326" i="28"/>
  <c r="F327" i="28"/>
  <c r="F328" i="28"/>
  <c r="F329" i="28"/>
  <c r="F330" i="28"/>
  <c r="F331" i="28"/>
  <c r="F332" i="28"/>
  <c r="F333" i="28"/>
  <c r="F334" i="28"/>
  <c r="F335" i="28"/>
  <c r="F336" i="28"/>
  <c r="F337" i="28"/>
  <c r="F338" i="28"/>
  <c r="F339" i="28"/>
  <c r="F340" i="28"/>
  <c r="F341" i="28"/>
  <c r="F342" i="28"/>
  <c r="F343" i="28"/>
  <c r="F344" i="28"/>
  <c r="F345" i="28"/>
  <c r="F346" i="28"/>
  <c r="F347" i="28"/>
  <c r="F348" i="28"/>
  <c r="F349" i="28"/>
  <c r="F350" i="28"/>
  <c r="F351" i="28"/>
  <c r="F352" i="28"/>
  <c r="F353" i="28"/>
  <c r="F354" i="28"/>
  <c r="F355" i="28"/>
  <c r="F356" i="28"/>
  <c r="F357" i="28"/>
  <c r="F358" i="28"/>
  <c r="F359" i="28"/>
  <c r="F360" i="28"/>
  <c r="F361" i="28"/>
  <c r="F362" i="28"/>
  <c r="F363" i="28"/>
  <c r="F364" i="28"/>
  <c r="F365" i="28"/>
  <c r="F366" i="28"/>
  <c r="F367" i="28"/>
  <c r="F368" i="28"/>
  <c r="F369" i="28"/>
  <c r="F370" i="28"/>
  <c r="F371" i="28"/>
  <c r="F372" i="28"/>
  <c r="F373" i="28"/>
  <c r="F374" i="28"/>
  <c r="F375" i="28"/>
  <c r="F376" i="28"/>
  <c r="F377" i="28"/>
  <c r="F378" i="28"/>
  <c r="F379" i="28"/>
  <c r="F380" i="28"/>
  <c r="F381" i="28"/>
  <c r="F382" i="28"/>
  <c r="F383" i="28"/>
  <c r="F384" i="28"/>
  <c r="F385" i="28"/>
  <c r="F386" i="28"/>
  <c r="F387" i="28"/>
  <c r="F388" i="28"/>
  <c r="F389" i="28"/>
  <c r="F390" i="28"/>
  <c r="F391" i="28"/>
  <c r="F392" i="28"/>
  <c r="F393" i="28"/>
  <c r="F394" i="28"/>
  <c r="F395" i="28"/>
  <c r="F396" i="28"/>
  <c r="F397" i="28"/>
  <c r="F398" i="28"/>
  <c r="F399" i="28"/>
  <c r="F400" i="28"/>
  <c r="F401" i="28"/>
  <c r="F402" i="28"/>
  <c r="F403" i="28"/>
  <c r="F404" i="28"/>
  <c r="F405" i="28"/>
  <c r="F406" i="28"/>
  <c r="F407" i="28"/>
  <c r="F408" i="28"/>
  <c r="F409" i="28"/>
  <c r="F410" i="28"/>
  <c r="F411" i="28"/>
  <c r="F412" i="28"/>
  <c r="F413" i="28"/>
  <c r="F414" i="28"/>
  <c r="F415" i="28"/>
  <c r="F416" i="28"/>
  <c r="F417" i="28"/>
  <c r="F418" i="28"/>
  <c r="F419" i="28"/>
  <c r="F420" i="28"/>
  <c r="F421" i="28"/>
  <c r="F422" i="28"/>
  <c r="F423" i="28"/>
  <c r="F424" i="28"/>
  <c r="F425" i="28"/>
  <c r="F426" i="28"/>
  <c r="F427" i="28"/>
  <c r="F428" i="28"/>
  <c r="F429" i="28"/>
  <c r="F430" i="28"/>
  <c r="F431" i="28"/>
  <c r="F432" i="28"/>
  <c r="F433" i="28"/>
  <c r="F434" i="28"/>
  <c r="F435" i="28"/>
  <c r="F436" i="28"/>
  <c r="F437" i="28"/>
  <c r="F438" i="28"/>
  <c r="F439" i="28"/>
  <c r="F440" i="28"/>
  <c r="F441" i="28"/>
  <c r="F442" i="28"/>
  <c r="F443" i="28"/>
  <c r="F444" i="28"/>
  <c r="F445" i="28"/>
  <c r="F446" i="28"/>
  <c r="F447" i="28"/>
  <c r="F448" i="28"/>
  <c r="F449" i="28"/>
  <c r="F450" i="28"/>
  <c r="F451" i="28"/>
  <c r="F452" i="28"/>
  <c r="F453" i="28"/>
  <c r="F454" i="28"/>
  <c r="F455" i="28"/>
  <c r="F456" i="28"/>
  <c r="F457" i="28"/>
  <c r="F458" i="28"/>
  <c r="F459" i="28"/>
  <c r="F460" i="28"/>
  <c r="F461" i="28"/>
  <c r="F462" i="28"/>
  <c r="F463" i="28"/>
  <c r="F464" i="28"/>
  <c r="F465" i="28"/>
  <c r="F466" i="28"/>
  <c r="F467" i="28"/>
  <c r="F468" i="28"/>
  <c r="F469" i="28"/>
  <c r="F470" i="28"/>
  <c r="F471" i="28"/>
  <c r="F472" i="28"/>
  <c r="F473" i="28"/>
  <c r="F474" i="28"/>
  <c r="F475" i="28"/>
  <c r="F476" i="28"/>
  <c r="F477" i="28"/>
  <c r="F478" i="28"/>
  <c r="F479" i="28"/>
  <c r="F480" i="28"/>
  <c r="F481" i="28"/>
  <c r="F482" i="28"/>
  <c r="F483" i="28"/>
  <c r="F484" i="28"/>
  <c r="F485" i="28"/>
  <c r="F486" i="28"/>
  <c r="F487" i="28"/>
  <c r="F488" i="28"/>
  <c r="F489" i="28"/>
  <c r="F490" i="28"/>
  <c r="F491" i="28"/>
  <c r="F492" i="28"/>
  <c r="F493" i="28"/>
  <c r="F494" i="28"/>
  <c r="F495" i="28"/>
  <c r="F496" i="28"/>
  <c r="F497" i="28"/>
  <c r="F498" i="28"/>
  <c r="F499" i="28"/>
  <c r="F500" i="28"/>
  <c r="F501" i="28"/>
  <c r="F502" i="28"/>
  <c r="F503" i="28"/>
  <c r="F504" i="28"/>
  <c r="F505" i="28"/>
  <c r="F506" i="28"/>
  <c r="F507" i="28"/>
  <c r="F508" i="28"/>
  <c r="F509" i="28"/>
  <c r="F510" i="28"/>
  <c r="F511" i="28"/>
  <c r="F512" i="28"/>
  <c r="F513" i="28"/>
  <c r="F514" i="28"/>
  <c r="F515" i="28"/>
  <c r="F516" i="28"/>
  <c r="F517" i="28"/>
  <c r="F15" i="28"/>
  <c r="G16" i="28" l="1"/>
  <c r="G17" i="28"/>
  <c r="G18" i="28"/>
  <c r="G19" i="28"/>
  <c r="G20" i="28"/>
  <c r="G21" i="28"/>
  <c r="G22" i="28"/>
  <c r="G23" i="28"/>
  <c r="G24" i="28"/>
  <c r="G25" i="28"/>
  <c r="G26" i="28"/>
  <c r="G27" i="28"/>
  <c r="G28" i="28"/>
  <c r="G29" i="28"/>
  <c r="G30" i="28"/>
  <c r="G31" i="28"/>
  <c r="G32" i="28"/>
  <c r="G33" i="28"/>
  <c r="G34" i="28"/>
  <c r="G35" i="28"/>
  <c r="G36" i="28"/>
  <c r="G37" i="28"/>
  <c r="G38" i="28"/>
  <c r="G39" i="28"/>
  <c r="G40" i="28"/>
  <c r="G41" i="28"/>
  <c r="G42" i="28"/>
  <c r="G43" i="28"/>
  <c r="G44" i="28"/>
  <c r="G45" i="28"/>
  <c r="G46" i="28"/>
  <c r="G47" i="28"/>
  <c r="G48" i="28"/>
  <c r="G49" i="28"/>
  <c r="G50" i="28"/>
  <c r="G51" i="28"/>
  <c r="G52" i="28"/>
  <c r="G53" i="28"/>
  <c r="G54" i="28"/>
  <c r="G55" i="28"/>
  <c r="G56" i="28"/>
  <c r="G57" i="28"/>
  <c r="G58" i="28"/>
  <c r="G59" i="28"/>
  <c r="G60" i="28"/>
  <c r="G61" i="28"/>
  <c r="G62" i="28"/>
  <c r="G63" i="28"/>
  <c r="G64" i="28"/>
  <c r="G65" i="28"/>
  <c r="G66" i="28"/>
  <c r="G67" i="28"/>
  <c r="G68" i="28"/>
  <c r="G69" i="28"/>
  <c r="G70" i="28"/>
  <c r="G71" i="28"/>
  <c r="G72" i="28"/>
  <c r="G73" i="28"/>
  <c r="G74" i="28"/>
  <c r="G75" i="28"/>
  <c r="G76" i="28"/>
  <c r="G77" i="28"/>
  <c r="G78" i="28"/>
  <c r="G79" i="28"/>
  <c r="G80" i="28"/>
  <c r="G81" i="28"/>
  <c r="G82" i="28"/>
  <c r="G83" i="28"/>
  <c r="G84" i="28"/>
  <c r="G85" i="28"/>
  <c r="G86" i="28"/>
  <c r="G87" i="28"/>
  <c r="G88" i="28"/>
  <c r="G89" i="28"/>
  <c r="G90" i="28"/>
  <c r="G91" i="28"/>
  <c r="G92" i="28"/>
  <c r="G93" i="28"/>
  <c r="G94" i="28"/>
  <c r="G95" i="28"/>
  <c r="G96" i="28"/>
  <c r="G97" i="28"/>
  <c r="G98" i="28"/>
  <c r="G99" i="28"/>
  <c r="G100" i="28"/>
  <c r="G101" i="28"/>
  <c r="G102" i="28"/>
  <c r="G103" i="28"/>
  <c r="G104" i="28"/>
  <c r="G105" i="28"/>
  <c r="G106" i="28"/>
  <c r="G107" i="28"/>
  <c r="G108" i="28"/>
  <c r="G109" i="28"/>
  <c r="G110" i="28"/>
  <c r="G111" i="28"/>
  <c r="G112" i="28"/>
  <c r="G113" i="28"/>
  <c r="G114" i="28"/>
  <c r="G115" i="28"/>
  <c r="G116" i="28"/>
  <c r="G117" i="28"/>
  <c r="G118" i="28"/>
  <c r="G119" i="28"/>
  <c r="G120" i="28"/>
  <c r="G121" i="28"/>
  <c r="G122" i="28"/>
  <c r="G123" i="28"/>
  <c r="G124" i="28"/>
  <c r="G125" i="28"/>
  <c r="G126" i="28"/>
  <c r="G127" i="28"/>
  <c r="G128" i="28"/>
  <c r="G129" i="28"/>
  <c r="G130" i="28"/>
  <c r="G131" i="28"/>
  <c r="G132" i="28"/>
  <c r="G133" i="28"/>
  <c r="G134" i="28"/>
  <c r="G135" i="28"/>
  <c r="G136" i="28"/>
  <c r="G137" i="28"/>
  <c r="G138" i="28"/>
  <c r="G139" i="28"/>
  <c r="G140" i="28"/>
  <c r="G141" i="28"/>
  <c r="G142" i="28"/>
  <c r="G143" i="28"/>
  <c r="G144" i="28"/>
  <c r="G145" i="28"/>
  <c r="G146" i="28"/>
  <c r="G147" i="28"/>
  <c r="G148" i="28"/>
  <c r="G149" i="28"/>
  <c r="G150" i="28"/>
  <c r="G151" i="28"/>
  <c r="G152" i="28"/>
  <c r="G153" i="28"/>
  <c r="G154" i="28"/>
  <c r="G155" i="28"/>
  <c r="G156" i="28"/>
  <c r="G157" i="28"/>
  <c r="G158" i="28"/>
  <c r="G159" i="28"/>
  <c r="G160" i="28"/>
  <c r="G161" i="28"/>
  <c r="G162" i="28"/>
  <c r="G163" i="28"/>
  <c r="G164" i="28"/>
  <c r="G165" i="28"/>
  <c r="G166" i="28"/>
  <c r="G167" i="28"/>
  <c r="G168" i="28"/>
  <c r="G169" i="28"/>
  <c r="G170" i="28"/>
  <c r="G171" i="28"/>
  <c r="G172" i="28"/>
  <c r="G173" i="28"/>
  <c r="G174" i="28"/>
  <c r="G175" i="28"/>
  <c r="G176" i="28"/>
  <c r="G177" i="28"/>
  <c r="G178" i="28"/>
  <c r="G179" i="28"/>
  <c r="G180" i="28"/>
  <c r="G181" i="28"/>
  <c r="G182" i="28"/>
  <c r="G183" i="28"/>
  <c r="G184" i="28"/>
  <c r="G185" i="28"/>
  <c r="G186" i="28"/>
  <c r="G187" i="28"/>
  <c r="G188" i="28"/>
  <c r="G189" i="28"/>
  <c r="G190" i="28"/>
  <c r="G191" i="28"/>
  <c r="G192" i="28"/>
  <c r="G193" i="28"/>
  <c r="G194" i="28"/>
  <c r="G195" i="28"/>
  <c r="G196" i="28"/>
  <c r="G197" i="28"/>
  <c r="G198" i="28"/>
  <c r="G199" i="28"/>
  <c r="G200" i="28"/>
  <c r="G201" i="28"/>
  <c r="G202" i="28"/>
  <c r="G203" i="28"/>
  <c r="G204" i="28"/>
  <c r="G205" i="28"/>
  <c r="G206" i="28"/>
  <c r="G207" i="28"/>
  <c r="G208" i="28"/>
  <c r="G209" i="28"/>
  <c r="G210" i="28"/>
  <c r="G211" i="28"/>
  <c r="G212" i="28"/>
  <c r="G213" i="28"/>
  <c r="G214" i="28"/>
  <c r="G215" i="28"/>
  <c r="G216" i="28"/>
  <c r="G217" i="28"/>
  <c r="G218" i="28"/>
  <c r="G219" i="28"/>
  <c r="G220" i="28"/>
  <c r="G221" i="28"/>
  <c r="G222" i="28"/>
  <c r="G223" i="28"/>
  <c r="G224" i="28"/>
  <c r="G225" i="28"/>
  <c r="G226" i="28"/>
  <c r="G227" i="28"/>
  <c r="G228" i="28"/>
  <c r="G229" i="28"/>
  <c r="G230" i="28"/>
  <c r="G231" i="28"/>
  <c r="G232" i="28"/>
  <c r="G233" i="28"/>
  <c r="G234" i="28"/>
  <c r="G235" i="28"/>
  <c r="G236" i="28"/>
  <c r="G237" i="28"/>
  <c r="G238" i="28"/>
  <c r="G239" i="28"/>
  <c r="G240" i="28"/>
  <c r="G241" i="28"/>
  <c r="G242" i="28"/>
  <c r="G243" i="28"/>
  <c r="G244" i="28"/>
  <c r="G245" i="28"/>
  <c r="G246" i="28"/>
  <c r="G247" i="28"/>
  <c r="G248" i="28"/>
  <c r="G249" i="28"/>
  <c r="G250" i="28"/>
  <c r="G251" i="28"/>
  <c r="G252" i="28"/>
  <c r="G253" i="28"/>
  <c r="G254" i="28"/>
  <c r="G255" i="28"/>
  <c r="G256" i="28"/>
  <c r="G257" i="28"/>
  <c r="G258" i="28"/>
  <c r="G259" i="28"/>
  <c r="G260" i="28"/>
  <c r="G261" i="28"/>
  <c r="G262" i="28"/>
  <c r="G263" i="28"/>
  <c r="G264" i="28"/>
  <c r="G265" i="28"/>
  <c r="G266" i="28"/>
  <c r="G267" i="28"/>
  <c r="G268" i="28"/>
  <c r="G269" i="28"/>
  <c r="G270" i="28"/>
  <c r="G271" i="28"/>
  <c r="G272" i="28"/>
  <c r="G273" i="28"/>
  <c r="G274" i="28"/>
  <c r="G275" i="28"/>
  <c r="G276" i="28"/>
  <c r="G277" i="28"/>
  <c r="G278" i="28"/>
  <c r="G279" i="28"/>
  <c r="G280" i="28"/>
  <c r="G281" i="28"/>
  <c r="G282" i="28"/>
  <c r="G283" i="28"/>
  <c r="G284" i="28"/>
  <c r="G285" i="28"/>
  <c r="G286" i="28"/>
  <c r="G287" i="28"/>
  <c r="G288" i="28"/>
  <c r="G289" i="28"/>
  <c r="G290" i="28"/>
  <c r="G291" i="28"/>
  <c r="G292" i="28"/>
  <c r="G293" i="28"/>
  <c r="G294" i="28"/>
  <c r="G295" i="28"/>
  <c r="G296" i="28"/>
  <c r="G297" i="28"/>
  <c r="G298" i="28"/>
  <c r="G299" i="28"/>
  <c r="G300" i="28"/>
  <c r="G301" i="28"/>
  <c r="G302" i="28"/>
  <c r="G303" i="28"/>
  <c r="G304" i="28"/>
  <c r="G305" i="28"/>
  <c r="G306" i="28"/>
  <c r="G307" i="28"/>
  <c r="G308" i="28"/>
  <c r="G309" i="28"/>
  <c r="G310" i="28"/>
  <c r="G311" i="28"/>
  <c r="G312" i="28"/>
  <c r="G313" i="28"/>
  <c r="G314" i="28"/>
  <c r="G315" i="28"/>
  <c r="G316" i="28"/>
  <c r="G317" i="28"/>
  <c r="G318" i="28"/>
  <c r="G319" i="28"/>
  <c r="G320" i="28"/>
  <c r="G321" i="28"/>
  <c r="G322" i="28"/>
  <c r="G323" i="28"/>
  <c r="G324" i="28"/>
  <c r="G325" i="28"/>
  <c r="G326" i="28"/>
  <c r="G327" i="28"/>
  <c r="G328" i="28"/>
  <c r="G329" i="28"/>
  <c r="G330" i="28"/>
  <c r="G331" i="28"/>
  <c r="G332" i="28"/>
  <c r="G333" i="28"/>
  <c r="G334" i="28"/>
  <c r="G335" i="28"/>
  <c r="G336" i="28"/>
  <c r="G337" i="28"/>
  <c r="G338" i="28"/>
  <c r="G339" i="28"/>
  <c r="G340" i="28"/>
  <c r="G341" i="28"/>
  <c r="G342" i="28"/>
  <c r="G343" i="28"/>
  <c r="G344" i="28"/>
  <c r="G345" i="28"/>
  <c r="G346" i="28"/>
  <c r="G347" i="28"/>
  <c r="G348" i="28"/>
  <c r="G349" i="28"/>
  <c r="G350" i="28"/>
  <c r="G351" i="28"/>
  <c r="G352" i="28"/>
  <c r="G353" i="28"/>
  <c r="G354" i="28"/>
  <c r="G355" i="28"/>
  <c r="G356" i="28"/>
  <c r="G357" i="28"/>
  <c r="G358" i="28"/>
  <c r="G359" i="28"/>
  <c r="G360" i="28"/>
  <c r="G361" i="28"/>
  <c r="G362" i="28"/>
  <c r="G363" i="28"/>
  <c r="G364" i="28"/>
  <c r="G365" i="28"/>
  <c r="G366" i="28"/>
  <c r="G367" i="28"/>
  <c r="G368" i="28"/>
  <c r="G369" i="28"/>
  <c r="G370" i="28"/>
  <c r="G371" i="28"/>
  <c r="G372" i="28"/>
  <c r="G373" i="28"/>
  <c r="G374" i="28"/>
  <c r="G375" i="28"/>
  <c r="G376" i="28"/>
  <c r="G377" i="28"/>
  <c r="G378" i="28"/>
  <c r="G379" i="28"/>
  <c r="G380" i="28"/>
  <c r="G381" i="28"/>
  <c r="G382" i="28"/>
  <c r="G383" i="28"/>
  <c r="G384" i="28"/>
  <c r="G385" i="28"/>
  <c r="G386" i="28"/>
  <c r="G387" i="28"/>
  <c r="G388" i="28"/>
  <c r="G389" i="28"/>
  <c r="G390" i="28"/>
  <c r="G391" i="28"/>
  <c r="G392" i="28"/>
  <c r="G393" i="28"/>
  <c r="G394" i="28"/>
  <c r="G395" i="28"/>
  <c r="G396" i="28"/>
  <c r="G397" i="28"/>
  <c r="G398" i="28"/>
  <c r="G399" i="28"/>
  <c r="G400" i="28"/>
  <c r="G401" i="28"/>
  <c r="G402" i="28"/>
  <c r="G403" i="28"/>
  <c r="G404" i="28"/>
  <c r="G405" i="28"/>
  <c r="G406" i="28"/>
  <c r="G407" i="28"/>
  <c r="G408" i="28"/>
  <c r="G409" i="28"/>
  <c r="G410" i="28"/>
  <c r="G411" i="28"/>
  <c r="G412" i="28"/>
  <c r="G413" i="28"/>
  <c r="G414" i="28"/>
  <c r="G415" i="28"/>
  <c r="G416" i="28"/>
  <c r="G417" i="28"/>
  <c r="G418" i="28"/>
  <c r="G419" i="28"/>
  <c r="G420" i="28"/>
  <c r="G421" i="28"/>
  <c r="G422" i="28"/>
  <c r="G423" i="28"/>
  <c r="G424" i="28"/>
  <c r="G425" i="28"/>
  <c r="G426" i="28"/>
  <c r="G427" i="28"/>
  <c r="G428" i="28"/>
  <c r="G429" i="28"/>
  <c r="G430" i="28"/>
  <c r="G431" i="28"/>
  <c r="G432" i="28"/>
  <c r="G433" i="28"/>
  <c r="G434" i="28"/>
  <c r="G435" i="28"/>
  <c r="G436" i="28"/>
  <c r="G437" i="28"/>
  <c r="G438" i="28"/>
  <c r="G439" i="28"/>
  <c r="G440" i="28"/>
  <c r="G441" i="28"/>
  <c r="G442" i="28"/>
  <c r="G443" i="28"/>
  <c r="G444" i="28"/>
  <c r="G445" i="28"/>
  <c r="G446" i="28"/>
  <c r="G447" i="28"/>
  <c r="G448" i="28"/>
  <c r="G449" i="28"/>
  <c r="G450" i="28"/>
  <c r="G451" i="28"/>
  <c r="G452" i="28"/>
  <c r="G453" i="28"/>
  <c r="G454" i="28"/>
  <c r="G455" i="28"/>
  <c r="G456" i="28"/>
  <c r="G457" i="28"/>
  <c r="G458" i="28"/>
  <c r="G459" i="28"/>
  <c r="G460" i="28"/>
  <c r="G461" i="28"/>
  <c r="G462" i="28"/>
  <c r="G463" i="28"/>
  <c r="G464" i="28"/>
  <c r="G465" i="28"/>
  <c r="G466" i="28"/>
  <c r="G467" i="28"/>
  <c r="G468" i="28"/>
  <c r="G469" i="28"/>
  <c r="G470" i="28"/>
  <c r="G471" i="28"/>
  <c r="G472" i="28"/>
  <c r="G473" i="28"/>
  <c r="G474" i="28"/>
  <c r="G475" i="28"/>
  <c r="G476" i="28"/>
  <c r="G477" i="28"/>
  <c r="G478" i="28"/>
  <c r="G479" i="28"/>
  <c r="G480" i="28"/>
  <c r="G481" i="28"/>
  <c r="G482" i="28"/>
  <c r="G483" i="28"/>
  <c r="G484" i="28"/>
  <c r="G485" i="28"/>
  <c r="G486" i="28"/>
  <c r="G487" i="28"/>
  <c r="G488" i="28"/>
  <c r="G489" i="28"/>
  <c r="G490" i="28"/>
  <c r="G491" i="28"/>
  <c r="G492" i="28"/>
  <c r="G493" i="28"/>
  <c r="G494" i="28"/>
  <c r="G495" i="28"/>
  <c r="G496" i="28"/>
  <c r="G497" i="28"/>
  <c r="G498" i="28"/>
  <c r="G499" i="28"/>
  <c r="G500" i="28"/>
  <c r="G501" i="28"/>
  <c r="G502" i="28"/>
  <c r="G503" i="28"/>
  <c r="G504" i="28"/>
  <c r="G505" i="28"/>
  <c r="G506" i="28"/>
  <c r="G507" i="28"/>
  <c r="G508" i="28"/>
  <c r="G509" i="28"/>
  <c r="G510" i="28"/>
  <c r="G511" i="28"/>
  <c r="G512" i="28"/>
  <c r="G513" i="28"/>
  <c r="G514" i="28"/>
  <c r="G515" i="28"/>
  <c r="G516" i="28"/>
  <c r="G517" i="28"/>
  <c r="G15" i="28"/>
  <c r="D31" i="36" l="1"/>
  <c r="E31" i="36" s="1"/>
  <c r="D30" i="36"/>
  <c r="E30" i="36" s="1"/>
  <c r="D29" i="36"/>
  <c r="E29" i="36" s="1"/>
  <c r="D35" i="36"/>
  <c r="E35" i="36" s="1"/>
  <c r="D10" i="36"/>
  <c r="E10" i="36" s="1"/>
  <c r="D11" i="36"/>
  <c r="E11" i="36" s="1"/>
  <c r="D12" i="36"/>
  <c r="E12" i="36" s="1"/>
  <c r="D13" i="36"/>
  <c r="E13" i="36" s="1"/>
  <c r="D14" i="36"/>
  <c r="E14" i="36" s="1"/>
  <c r="D15" i="36"/>
  <c r="E15" i="36" s="1"/>
  <c r="D16" i="36"/>
  <c r="E16" i="36" s="1"/>
  <c r="D17" i="36"/>
  <c r="E17" i="36" s="1"/>
  <c r="D18" i="36"/>
  <c r="E18" i="36" s="1"/>
  <c r="D19" i="36"/>
  <c r="E19" i="36" s="1"/>
  <c r="D20" i="36"/>
  <c r="E20" i="36" s="1"/>
  <c r="D21" i="36"/>
  <c r="E21" i="36" s="1"/>
  <c r="D22" i="36"/>
  <c r="E22" i="36" s="1"/>
  <c r="D23" i="36"/>
  <c r="E23" i="36" s="1"/>
  <c r="D24" i="36"/>
  <c r="E24" i="36" s="1"/>
  <c r="D25" i="36"/>
  <c r="E25" i="36" s="1"/>
  <c r="D26" i="36"/>
  <c r="E26" i="36" s="1"/>
  <c r="D27" i="36"/>
  <c r="E27" i="36" s="1"/>
  <c r="D28" i="36"/>
  <c r="E28" i="36" s="1"/>
  <c r="D9" i="36"/>
  <c r="E9" i="36" s="1"/>
  <c r="D35" i="35"/>
  <c r="E35" i="35" s="1"/>
  <c r="D10" i="35"/>
  <c r="E10" i="35" s="1"/>
  <c r="D11" i="35"/>
  <c r="E11" i="35" s="1"/>
  <c r="D12" i="35"/>
  <c r="E12" i="35" s="1"/>
  <c r="D13" i="35"/>
  <c r="E13" i="35" s="1"/>
  <c r="D14" i="35"/>
  <c r="E14" i="35" s="1"/>
  <c r="D15" i="35"/>
  <c r="E15" i="35" s="1"/>
  <c r="D16" i="35"/>
  <c r="E16" i="35" s="1"/>
  <c r="D17" i="35"/>
  <c r="E17" i="35" s="1"/>
  <c r="D18" i="35"/>
  <c r="E18" i="35" s="1"/>
  <c r="D19" i="35"/>
  <c r="E19" i="35" s="1"/>
  <c r="D20" i="35"/>
  <c r="E20" i="35" s="1"/>
  <c r="D21" i="35"/>
  <c r="E21" i="35" s="1"/>
  <c r="D22" i="35"/>
  <c r="E22" i="35" s="1"/>
  <c r="D23" i="35"/>
  <c r="E23" i="35" s="1"/>
  <c r="D24" i="35"/>
  <c r="E24" i="35" s="1"/>
  <c r="D25" i="35"/>
  <c r="E25" i="35" s="1"/>
  <c r="D26" i="35"/>
  <c r="E26" i="35" s="1"/>
  <c r="D27" i="35"/>
  <c r="E27" i="35" s="1"/>
  <c r="D28" i="35"/>
  <c r="E28" i="35" s="1"/>
  <c r="D29" i="35"/>
  <c r="E29" i="35" s="1"/>
  <c r="D30" i="35"/>
  <c r="E30" i="35" s="1"/>
  <c r="D31" i="35"/>
  <c r="E31" i="35" s="1"/>
  <c r="D9" i="35"/>
  <c r="E9" i="35" s="1"/>
  <c r="M20" i="24"/>
  <c r="H39" i="37"/>
  <c r="H38" i="37"/>
  <c r="H34" i="37"/>
  <c r="H33" i="37"/>
  <c r="H28" i="37"/>
  <c r="H24" i="37"/>
  <c r="H23" i="37"/>
  <c r="H19" i="37"/>
  <c r="H18" i="37"/>
  <c r="H14" i="37"/>
  <c r="H13" i="37"/>
  <c r="N40" i="37"/>
  <c r="F40" i="37"/>
  <c r="I40" i="37"/>
  <c r="G40" i="37"/>
  <c r="E187" i="17"/>
  <c r="E188" i="17"/>
  <c r="E86" i="4"/>
  <c r="E110" i="4" s="1"/>
  <c r="E134" i="4" s="1"/>
  <c r="E111" i="4"/>
  <c r="E135" i="4" s="1"/>
  <c r="E112" i="4"/>
  <c r="E136" i="4" s="1"/>
  <c r="E83" i="4"/>
  <c r="P8" i="9"/>
  <c r="E84" i="4" s="1"/>
  <c r="E108" i="4" s="1"/>
  <c r="E132" i="4" s="1"/>
  <c r="P9" i="9"/>
  <c r="E85" i="4" s="1"/>
  <c r="E109" i="4" s="1"/>
  <c r="E133" i="4" s="1"/>
  <c r="P10" i="9"/>
  <c r="P11" i="9"/>
  <c r="P12" i="9"/>
  <c r="P7" i="9"/>
  <c r="A8" i="9"/>
  <c r="B8" i="9"/>
  <c r="A9" i="9"/>
  <c r="B9" i="9"/>
  <c r="A10" i="9"/>
  <c r="B10" i="9"/>
  <c r="A11" i="9"/>
  <c r="B11" i="9"/>
  <c r="A12" i="9"/>
  <c r="B12" i="9"/>
  <c r="B7" i="9"/>
  <c r="A7" i="9"/>
  <c r="B10" i="4"/>
  <c r="B132" i="4" s="1"/>
  <c r="C10" i="4"/>
  <c r="C132" i="4" s="1"/>
  <c r="B11" i="4"/>
  <c r="B133" i="4" s="1"/>
  <c r="C11" i="4"/>
  <c r="C109" i="4" s="1"/>
  <c r="B12" i="4"/>
  <c r="B110" i="4" s="1"/>
  <c r="C12" i="4"/>
  <c r="C134" i="4" s="1"/>
  <c r="B13" i="4"/>
  <c r="B111" i="4" s="1"/>
  <c r="C13" i="4"/>
  <c r="C135" i="4" s="1"/>
  <c r="B14" i="4"/>
  <c r="B136" i="4" s="1"/>
  <c r="C14" i="4"/>
  <c r="C136" i="4" s="1"/>
  <c r="C9" i="4"/>
  <c r="C131" i="4" s="1"/>
  <c r="B9" i="4"/>
  <c r="B131" i="4" s="1"/>
  <c r="E37" i="4"/>
  <c r="E61" i="4" s="1"/>
  <c r="D52" i="3"/>
  <c r="F52" i="3" s="1"/>
  <c r="H52" i="3"/>
  <c r="H89" i="3" s="1"/>
  <c r="I52" i="3"/>
  <c r="I89" i="3" s="1"/>
  <c r="J52" i="3"/>
  <c r="J89" i="3" s="1"/>
  <c r="F15" i="3"/>
  <c r="M15" i="3" s="1"/>
  <c r="K15" i="3"/>
  <c r="B12" i="3"/>
  <c r="B49" i="3" s="1"/>
  <c r="B86" i="3" s="1"/>
  <c r="C12" i="3"/>
  <c r="C49" i="3" s="1"/>
  <c r="C86" i="3" s="1"/>
  <c r="B13" i="3"/>
  <c r="B50" i="3" s="1"/>
  <c r="B87" i="3" s="1"/>
  <c r="C13" i="3"/>
  <c r="C50" i="3" s="1"/>
  <c r="C87" i="3" s="1"/>
  <c r="B14" i="3"/>
  <c r="B51" i="3" s="1"/>
  <c r="B88" i="3" s="1"/>
  <c r="C14" i="3"/>
  <c r="C51" i="3" s="1"/>
  <c r="C88" i="3" s="1"/>
  <c r="B15" i="3"/>
  <c r="B52" i="3" s="1"/>
  <c r="B89" i="3" s="1"/>
  <c r="C15" i="3"/>
  <c r="C52" i="3" s="1"/>
  <c r="C89" i="3" s="1"/>
  <c r="B16" i="3"/>
  <c r="B53" i="3" s="1"/>
  <c r="B90" i="3" s="1"/>
  <c r="C16" i="3"/>
  <c r="C53" i="3" s="1"/>
  <c r="C90" i="3" s="1"/>
  <c r="C11" i="3"/>
  <c r="C48" i="3" s="1"/>
  <c r="C85" i="3" s="1"/>
  <c r="B11" i="3"/>
  <c r="B48" i="3" s="1"/>
  <c r="B85" i="3" s="1"/>
  <c r="K89" i="3" l="1"/>
  <c r="K52" i="3"/>
  <c r="D89" i="3"/>
  <c r="F89" i="3" s="1"/>
  <c r="O89" i="3" s="1"/>
  <c r="C87" i="4"/>
  <c r="B38" i="4"/>
  <c r="B62" i="4"/>
  <c r="B88" i="4"/>
  <c r="B112" i="4"/>
  <c r="B35" i="4"/>
  <c r="B59" i="4"/>
  <c r="B85" i="4"/>
  <c r="B109" i="4"/>
  <c r="C34" i="4"/>
  <c r="C58" i="4"/>
  <c r="C84" i="4"/>
  <c r="C108" i="4"/>
  <c r="B34" i="4"/>
  <c r="B58" i="4"/>
  <c r="B84" i="4"/>
  <c r="B108" i="4"/>
  <c r="B33" i="4"/>
  <c r="B57" i="4"/>
  <c r="B83" i="4"/>
  <c r="B107" i="4"/>
  <c r="C37" i="4"/>
  <c r="C111" i="4"/>
  <c r="B37" i="4"/>
  <c r="B61" i="4"/>
  <c r="B87" i="4"/>
  <c r="B135" i="4"/>
  <c r="C36" i="4"/>
  <c r="C60" i="4"/>
  <c r="C86" i="4"/>
  <c r="C110" i="4"/>
  <c r="B60" i="4"/>
  <c r="B86" i="4"/>
  <c r="B134" i="4"/>
  <c r="C133" i="4"/>
  <c r="C61" i="4"/>
  <c r="B36" i="4"/>
  <c r="C35" i="4"/>
  <c r="C59" i="4"/>
  <c r="C85" i="4"/>
  <c r="C33" i="4"/>
  <c r="C57" i="4"/>
  <c r="C83" i="4"/>
  <c r="C107" i="4"/>
  <c r="C38" i="4"/>
  <c r="C62" i="4"/>
  <c r="C88" i="4"/>
  <c r="C112" i="4"/>
  <c r="H40" i="37"/>
  <c r="J40" i="37"/>
  <c r="G52" i="3"/>
  <c r="N52" i="3" s="1"/>
  <c r="M52" i="3"/>
  <c r="O52" i="3"/>
  <c r="O15" i="3"/>
  <c r="G15" i="3"/>
  <c r="N15" i="3" s="1"/>
  <c r="M89" i="3" l="1"/>
  <c r="G89" i="3"/>
  <c r="N89" i="3" s="1"/>
  <c r="K40" i="37"/>
  <c r="W17" i="31" l="1"/>
  <c r="V17" i="31"/>
  <c r="U17" i="31"/>
  <c r="T17" i="31"/>
  <c r="W16" i="31"/>
  <c r="V16" i="31"/>
  <c r="U16" i="31"/>
  <c r="T16" i="31"/>
  <c r="W15" i="31"/>
  <c r="V15" i="31"/>
  <c r="U15" i="31"/>
  <c r="T15" i="31"/>
  <c r="O17" i="31"/>
  <c r="N17" i="31"/>
  <c r="M17" i="31"/>
  <c r="L17" i="31"/>
  <c r="O16" i="31"/>
  <c r="N16" i="31"/>
  <c r="M16" i="31"/>
  <c r="L16" i="31"/>
  <c r="O15" i="31"/>
  <c r="N15" i="31"/>
  <c r="M15" i="31"/>
  <c r="L15" i="31"/>
  <c r="E15" i="31"/>
  <c r="F15" i="31"/>
  <c r="G15" i="31"/>
  <c r="E16" i="31"/>
  <c r="F16" i="31"/>
  <c r="G16" i="31"/>
  <c r="E17" i="31"/>
  <c r="F17" i="31"/>
  <c r="G17" i="31"/>
  <c r="M19" i="24" l="1"/>
  <c r="M18" i="24"/>
  <c r="M44" i="24"/>
  <c r="P40" i="24"/>
  <c r="G40" i="24"/>
  <c r="P39" i="24"/>
  <c r="G39" i="24"/>
  <c r="G38" i="24"/>
  <c r="M35" i="24"/>
  <c r="M34" i="24"/>
  <c r="M33" i="24"/>
  <c r="M32" i="24"/>
  <c r="M31" i="24"/>
  <c r="M30" i="24"/>
  <c r="M29" i="24"/>
  <c r="M28" i="24"/>
  <c r="M27" i="24"/>
  <c r="M26" i="24"/>
  <c r="M25" i="24"/>
  <c r="M24" i="24"/>
  <c r="M23" i="24"/>
  <c r="M22" i="24"/>
  <c r="M21" i="24"/>
  <c r="M17" i="24"/>
  <c r="M16" i="24"/>
  <c r="M15" i="24"/>
  <c r="M14" i="24"/>
  <c r="M13" i="24"/>
  <c r="M12" i="24"/>
  <c r="N20" i="37"/>
  <c r="H20" i="37"/>
  <c r="F20" i="37"/>
  <c r="C2" i="38"/>
  <c r="K44" i="37"/>
  <c r="K50" i="37" s="1"/>
  <c r="E35" i="38" s="1"/>
  <c r="N35" i="37"/>
  <c r="H35" i="37"/>
  <c r="F35" i="37"/>
  <c r="G35" i="37"/>
  <c r="N30" i="37"/>
  <c r="F30" i="37"/>
  <c r="N25" i="37"/>
  <c r="H25" i="37"/>
  <c r="F25" i="37"/>
  <c r="G25" i="37"/>
  <c r="N15" i="37"/>
  <c r="H15" i="37"/>
  <c r="F15" i="37"/>
  <c r="J25" i="37" l="1"/>
  <c r="G15" i="37"/>
  <c r="I15" i="37"/>
  <c r="I25" i="37"/>
  <c r="K25" i="37" s="1"/>
  <c r="P42" i="24"/>
  <c r="M39" i="24"/>
  <c r="M40" i="24"/>
  <c r="G42" i="24"/>
  <c r="J20" i="37"/>
  <c r="G20" i="37"/>
  <c r="I20" i="37"/>
  <c r="G30" i="37"/>
  <c r="I35" i="37"/>
  <c r="J35" i="37"/>
  <c r="J15" i="37"/>
  <c r="K15" i="37" l="1"/>
  <c r="M42" i="24"/>
  <c r="K20" i="37"/>
  <c r="K35" i="37"/>
  <c r="H49" i="3" l="1"/>
  <c r="H86" i="3" s="1"/>
  <c r="I49" i="3"/>
  <c r="I86" i="3" s="1"/>
  <c r="J49" i="3"/>
  <c r="J86" i="3" s="1"/>
  <c r="H50" i="3"/>
  <c r="H87" i="3" s="1"/>
  <c r="I50" i="3"/>
  <c r="I87" i="3" s="1"/>
  <c r="J50" i="3"/>
  <c r="J87" i="3" s="1"/>
  <c r="H51" i="3"/>
  <c r="H88" i="3" s="1"/>
  <c r="I51" i="3"/>
  <c r="I88" i="3" s="1"/>
  <c r="J51" i="3"/>
  <c r="J88" i="3" s="1"/>
  <c r="H53" i="3"/>
  <c r="H90" i="3" s="1"/>
  <c r="I53" i="3"/>
  <c r="I90" i="3" s="1"/>
  <c r="J53" i="3"/>
  <c r="J90" i="3" s="1"/>
  <c r="I48" i="3"/>
  <c r="I85" i="3" s="1"/>
  <c r="J48" i="3"/>
  <c r="J85" i="3" s="1"/>
  <c r="H48" i="3"/>
  <c r="H85" i="3" s="1"/>
  <c r="D49" i="3"/>
  <c r="D86" i="3" s="1"/>
  <c r="D50" i="3"/>
  <c r="D87" i="3" s="1"/>
  <c r="D51" i="3"/>
  <c r="D88" i="3" s="1"/>
  <c r="D53" i="3"/>
  <c r="D90" i="3" s="1"/>
  <c r="D48" i="3"/>
  <c r="D85" i="3" s="1"/>
  <c r="B141" i="4" l="1"/>
  <c r="B117" i="4"/>
  <c r="E34" i="4"/>
  <c r="E58" i="4" s="1"/>
  <c r="E35" i="4"/>
  <c r="E59" i="4" s="1"/>
  <c r="E36" i="4"/>
  <c r="E60" i="4" s="1"/>
  <c r="E38" i="4"/>
  <c r="E62" i="4" s="1"/>
  <c r="E33" i="4"/>
  <c r="E57" i="4" s="1"/>
  <c r="K85" i="3" l="1"/>
  <c r="K86" i="3"/>
  <c r="K87" i="3"/>
  <c r="K88" i="3"/>
  <c r="K90" i="3"/>
  <c r="F87" i="3"/>
  <c r="O87" i="3" s="1"/>
  <c r="F88" i="3"/>
  <c r="M88" i="3" s="1"/>
  <c r="F90" i="3"/>
  <c r="M90" i="3" s="1"/>
  <c r="K51" i="3"/>
  <c r="K53" i="3"/>
  <c r="F51" i="3"/>
  <c r="O51" i="3" s="1"/>
  <c r="F53" i="3"/>
  <c r="M53" i="3" s="1"/>
  <c r="K14" i="3"/>
  <c r="K16" i="3"/>
  <c r="F14" i="3"/>
  <c r="F16" i="3"/>
  <c r="M16" i="3" l="1"/>
  <c r="O16" i="3"/>
  <c r="M51" i="3"/>
  <c r="O14" i="3"/>
  <c r="G14" i="3"/>
  <c r="N14" i="3" s="1"/>
  <c r="G90" i="3"/>
  <c r="N90" i="3" s="1"/>
  <c r="G16" i="3"/>
  <c r="N16" i="3" s="1"/>
  <c r="G51" i="3"/>
  <c r="N51" i="3" s="1"/>
  <c r="G88" i="3"/>
  <c r="N88" i="3" s="1"/>
  <c r="O53" i="3"/>
  <c r="G87" i="3"/>
  <c r="N87" i="3" s="1"/>
  <c r="M87" i="3"/>
  <c r="G53" i="3"/>
  <c r="N53" i="3" s="1"/>
  <c r="O90" i="3"/>
  <c r="O88" i="3"/>
  <c r="M14" i="3"/>
  <c r="G58" i="17"/>
  <c r="E33" i="35" l="1"/>
  <c r="L15" i="8" l="1"/>
  <c r="G62" i="17" l="1"/>
  <c r="J51" i="17"/>
  <c r="J50" i="17"/>
  <c r="J49" i="17"/>
  <c r="E186" i="17" l="1"/>
  <c r="E185" i="17"/>
  <c r="E184" i="17"/>
  <c r="E183" i="17"/>
  <c r="E182" i="17"/>
  <c r="E181" i="17"/>
  <c r="E180" i="17"/>
  <c r="E179" i="17"/>
  <c r="E178" i="17"/>
  <c r="E177" i="17"/>
  <c r="E176" i="17"/>
  <c r="E175" i="17"/>
  <c r="E174" i="17"/>
  <c r="E173" i="17"/>
  <c r="E172" i="17"/>
  <c r="E171" i="17"/>
  <c r="E170" i="17"/>
  <c r="E169" i="17"/>
  <c r="E168" i="17"/>
  <c r="E167" i="17"/>
  <c r="E166" i="17"/>
  <c r="E165" i="17"/>
  <c r="E164" i="17"/>
  <c r="E163" i="17"/>
  <c r="E162" i="17"/>
  <c r="E161" i="17"/>
  <c r="E160" i="17"/>
  <c r="E159" i="17"/>
  <c r="E158" i="17"/>
  <c r="E157" i="17"/>
  <c r="E156" i="17"/>
  <c r="E155" i="17"/>
  <c r="E154" i="17"/>
  <c r="E153" i="17"/>
  <c r="E152" i="17"/>
  <c r="E151" i="17"/>
  <c r="E150" i="17"/>
  <c r="E149" i="17"/>
  <c r="E148" i="17"/>
  <c r="E147" i="17"/>
  <c r="E146" i="17"/>
  <c r="E145" i="17"/>
  <c r="E144" i="17"/>
  <c r="E143" i="17"/>
  <c r="E142" i="17"/>
  <c r="E141" i="17"/>
  <c r="E140" i="17"/>
  <c r="E139" i="17"/>
  <c r="E138" i="17"/>
  <c r="E137" i="17"/>
  <c r="E136" i="17"/>
  <c r="E135" i="17"/>
  <c r="E134" i="17"/>
  <c r="E133" i="17"/>
  <c r="E132" i="17"/>
  <c r="E131" i="17"/>
  <c r="E130" i="17"/>
  <c r="E129" i="17"/>
  <c r="E128" i="17"/>
  <c r="E127" i="17"/>
  <c r="E126" i="17"/>
  <c r="E125" i="17"/>
  <c r="E124" i="17"/>
  <c r="E123" i="17"/>
  <c r="E122" i="17"/>
  <c r="E121" i="17"/>
  <c r="E120" i="17"/>
  <c r="E119" i="17"/>
  <c r="E118" i="17"/>
  <c r="E117" i="17"/>
  <c r="E116" i="17"/>
  <c r="E115" i="17"/>
  <c r="E114" i="17"/>
  <c r="E113" i="17"/>
  <c r="E112" i="17"/>
  <c r="E111" i="17"/>
  <c r="E110" i="17"/>
  <c r="E109" i="17"/>
  <c r="E108" i="17"/>
  <c r="E107" i="17"/>
  <c r="E106" i="17"/>
  <c r="E105" i="17"/>
  <c r="E104" i="17"/>
  <c r="E103" i="17"/>
  <c r="E102" i="17"/>
  <c r="E101" i="17"/>
  <c r="E100" i="17"/>
  <c r="E99" i="17"/>
  <c r="E98" i="17"/>
  <c r="E97" i="17"/>
  <c r="E96" i="17"/>
  <c r="E95" i="17"/>
  <c r="E94" i="17"/>
  <c r="E93" i="17"/>
  <c r="E92" i="17"/>
  <c r="E91" i="17"/>
  <c r="E90" i="17"/>
  <c r="E89" i="17"/>
  <c r="E88" i="17"/>
  <c r="E87" i="17"/>
  <c r="E86" i="17"/>
  <c r="E85" i="17"/>
  <c r="E84" i="17"/>
  <c r="E83" i="17"/>
  <c r="E82" i="17"/>
  <c r="E81" i="17"/>
  <c r="E80" i="17"/>
  <c r="E79" i="17"/>
  <c r="E78" i="17"/>
  <c r="E77" i="17"/>
  <c r="E76" i="17"/>
  <c r="E75" i="17"/>
  <c r="E74" i="17"/>
  <c r="E73" i="17"/>
  <c r="E72" i="17"/>
  <c r="E71" i="17"/>
  <c r="E70" i="17"/>
  <c r="E69" i="17"/>
  <c r="E68" i="17"/>
  <c r="E67" i="17"/>
  <c r="E66" i="17"/>
  <c r="E65" i="17"/>
  <c r="E64" i="17"/>
  <c r="E63" i="17"/>
  <c r="E62" i="17"/>
  <c r="E61" i="17"/>
  <c r="E60" i="17"/>
  <c r="E59" i="17"/>
  <c r="E58" i="17"/>
  <c r="E57" i="17"/>
  <c r="E56" i="17"/>
  <c r="K51" i="17"/>
  <c r="E55" i="17"/>
  <c r="E54" i="17"/>
  <c r="K49" i="17"/>
  <c r="E53" i="17"/>
  <c r="E52" i="17"/>
  <c r="E51" i="17"/>
  <c r="E50" i="17"/>
  <c r="E49" i="17"/>
  <c r="E48" i="17"/>
  <c r="E47" i="17"/>
  <c r="E46" i="17"/>
  <c r="E45" i="17"/>
  <c r="E44" i="17"/>
  <c r="E43" i="17"/>
  <c r="E42" i="17"/>
  <c r="E41" i="17"/>
  <c r="E40" i="17"/>
  <c r="E39" i="17"/>
  <c r="E38" i="17"/>
  <c r="E37" i="17"/>
  <c r="E36" i="17"/>
  <c r="E35" i="17"/>
  <c r="E34" i="17"/>
  <c r="E33" i="17"/>
  <c r="E32" i="17"/>
  <c r="E31" i="17"/>
  <c r="E30" i="17"/>
  <c r="E29" i="17"/>
  <c r="E28" i="17"/>
  <c r="E27" i="17"/>
  <c r="E26" i="17"/>
  <c r="E25" i="17"/>
  <c r="E24" i="17"/>
  <c r="E23" i="17"/>
  <c r="E22" i="17"/>
  <c r="E21" i="17"/>
  <c r="E20" i="17"/>
  <c r="E19" i="17"/>
  <c r="E18" i="17"/>
  <c r="E17" i="17"/>
  <c r="E16" i="17"/>
  <c r="E15" i="17"/>
  <c r="E14" i="17"/>
  <c r="E13" i="17"/>
  <c r="E12" i="17"/>
  <c r="E11" i="17"/>
  <c r="E10" i="17"/>
  <c r="E9" i="17"/>
  <c r="E8" i="17"/>
  <c r="I31" i="28"/>
  <c r="I32" i="28"/>
  <c r="I35" i="28"/>
  <c r="I63" i="28"/>
  <c r="I69" i="28"/>
  <c r="I82" i="28"/>
  <c r="I107" i="28"/>
  <c r="I125" i="28"/>
  <c r="I139" i="28"/>
  <c r="K174" i="28"/>
  <c r="I176" i="28"/>
  <c r="I182" i="28"/>
  <c r="I191" i="28"/>
  <c r="I203" i="28"/>
  <c r="I206" i="28"/>
  <c r="I207" i="28"/>
  <c r="I211" i="28"/>
  <c r="I213" i="28"/>
  <c r="I224" i="28"/>
  <c r="I229" i="28"/>
  <c r="I238" i="28"/>
  <c r="I248" i="28"/>
  <c r="I260" i="28"/>
  <c r="I283" i="28"/>
  <c r="I290" i="28"/>
  <c r="K295" i="28"/>
  <c r="I301" i="28"/>
  <c r="I305" i="28"/>
  <c r="I313" i="28"/>
  <c r="I320" i="28"/>
  <c r="I330" i="28"/>
  <c r="I343" i="28"/>
  <c r="I351" i="28"/>
  <c r="I358" i="28"/>
  <c r="I372" i="28"/>
  <c r="I373" i="28"/>
  <c r="I412" i="28"/>
  <c r="I417" i="28"/>
  <c r="I433" i="28"/>
  <c r="I453" i="28"/>
  <c r="I484" i="28"/>
  <c r="I487" i="28"/>
  <c r="I495" i="28"/>
  <c r="I502" i="28"/>
  <c r="I509" i="28"/>
  <c r="I512" i="28"/>
  <c r="I513" i="28"/>
  <c r="I33" i="28"/>
  <c r="I96" i="28"/>
  <c r="I297" i="28"/>
  <c r="K394" i="28"/>
  <c r="L13" i="9"/>
  <c r="M13" i="9"/>
  <c r="N13" i="9"/>
  <c r="I232" i="28" l="1"/>
  <c r="I440" i="28"/>
  <c r="I494" i="28"/>
  <c r="I185" i="28"/>
  <c r="I188" i="28"/>
  <c r="I244" i="28"/>
  <c r="I482" i="28"/>
  <c r="I510" i="28"/>
  <c r="I20" i="28"/>
  <c r="I243" i="28"/>
  <c r="I103" i="28"/>
  <c r="I19" i="28"/>
  <c r="I392" i="28"/>
  <c r="I422" i="28"/>
  <c r="I296" i="28"/>
  <c r="I282" i="28"/>
  <c r="I251" i="28"/>
  <c r="I59" i="28"/>
  <c r="I505" i="28"/>
  <c r="I140" i="28"/>
  <c r="I180" i="28"/>
  <c r="I197" i="28"/>
  <c r="I319" i="28"/>
  <c r="I151" i="28"/>
  <c r="I143" i="28"/>
  <c r="I402" i="28"/>
  <c r="I150" i="28"/>
  <c r="I43" i="28"/>
  <c r="I485" i="28"/>
  <c r="I227" i="28"/>
  <c r="I498" i="28"/>
  <c r="I479" i="28"/>
  <c r="K75" i="28"/>
  <c r="I309" i="28"/>
  <c r="K155" i="28"/>
  <c r="I430" i="28"/>
  <c r="I217" i="28"/>
  <c r="I18" i="28"/>
  <c r="I47" i="28"/>
  <c r="I382" i="28"/>
  <c r="I44" i="28"/>
  <c r="I218" i="28"/>
  <c r="K74" i="28"/>
  <c r="I15" i="28"/>
  <c r="I177" i="28"/>
  <c r="I167" i="28"/>
  <c r="I503" i="28"/>
  <c r="I208" i="28"/>
  <c r="I171" i="28"/>
  <c r="I154" i="28"/>
  <c r="I490" i="28"/>
  <c r="I277" i="28"/>
  <c r="I294" i="28"/>
  <c r="I316" i="28"/>
  <c r="I66" i="28"/>
  <c r="I456" i="28"/>
  <c r="I344" i="28"/>
  <c r="I134" i="28"/>
  <c r="I106" i="28"/>
  <c r="I331" i="28"/>
  <c r="I161" i="28"/>
  <c r="I91" i="28"/>
  <c r="I153" i="28"/>
  <c r="I496" i="28"/>
  <c r="I62" i="28"/>
  <c r="I467" i="28"/>
  <c r="K355" i="28"/>
  <c r="I271" i="28"/>
  <c r="I389" i="28"/>
  <c r="I346" i="28"/>
  <c r="I146" i="28"/>
  <c r="I438" i="28"/>
  <c r="I410" i="28"/>
  <c r="I368" i="28"/>
  <c r="I326" i="28"/>
  <c r="I102" i="28"/>
  <c r="I73" i="28"/>
  <c r="K95" i="28"/>
  <c r="I142" i="28"/>
  <c r="I138" i="28"/>
  <c r="K395" i="28"/>
  <c r="I93" i="28"/>
  <c r="K435" i="28"/>
  <c r="I267" i="28"/>
  <c r="I85" i="28"/>
  <c r="I71" i="28"/>
  <c r="I486" i="28"/>
  <c r="I451" i="28"/>
  <c r="I129" i="28"/>
  <c r="I352" i="28"/>
  <c r="I491" i="28"/>
  <c r="I393" i="28"/>
  <c r="I448" i="28"/>
  <c r="I322" i="28"/>
  <c r="I98" i="28"/>
  <c r="P13" i="9"/>
  <c r="I88" i="28"/>
  <c r="I58" i="28"/>
  <c r="I476" i="28"/>
  <c r="I249" i="28"/>
  <c r="I500" i="28"/>
  <c r="I418" i="28"/>
  <c r="I506" i="28"/>
  <c r="I432" i="28"/>
  <c r="I383" i="28"/>
  <c r="I473" i="28"/>
  <c r="I376" i="28"/>
  <c r="K374" i="28"/>
  <c r="I112" i="28"/>
  <c r="K81" i="28"/>
  <c r="I110" i="28"/>
  <c r="I363" i="28"/>
  <c r="I149" i="28"/>
  <c r="I489" i="28"/>
  <c r="I404" i="28"/>
  <c r="I278" i="28"/>
  <c r="I445" i="28"/>
  <c r="I423" i="28"/>
  <c r="I461" i="28"/>
  <c r="I517" i="28"/>
  <c r="I79" i="28"/>
  <c r="I333" i="28"/>
  <c r="I348" i="28"/>
  <c r="I307" i="28"/>
  <c r="I265" i="28"/>
  <c r="I183" i="28"/>
  <c r="I391" i="28"/>
  <c r="I463" i="28"/>
  <c r="I226" i="28"/>
  <c r="I481" i="28"/>
  <c r="I281" i="28"/>
  <c r="I225" i="28"/>
  <c r="I474" i="28"/>
  <c r="I250" i="28"/>
  <c r="I425" i="28"/>
  <c r="I504" i="28"/>
  <c r="I488" i="28"/>
  <c r="I464" i="28"/>
  <c r="I280" i="28"/>
  <c r="I184" i="28"/>
  <c r="I128" i="28"/>
  <c r="I41" i="28"/>
  <c r="I439" i="28"/>
  <c r="I462" i="28"/>
  <c r="I350" i="28"/>
  <c r="K254" i="28"/>
  <c r="I166" i="28"/>
  <c r="I86" i="28"/>
  <c r="I156" i="28"/>
  <c r="I100" i="28"/>
  <c r="I68" i="28"/>
  <c r="I375" i="28"/>
  <c r="I446" i="28"/>
  <c r="I421" i="28"/>
  <c r="I349" i="28"/>
  <c r="I253" i="28"/>
  <c r="I181" i="28"/>
  <c r="I420" i="28"/>
  <c r="I324" i="28"/>
  <c r="I252" i="28"/>
  <c r="I419" i="28"/>
  <c r="I323" i="28"/>
  <c r="I83" i="28"/>
  <c r="I411" i="28"/>
  <c r="I397" i="28"/>
  <c r="I369" i="28"/>
  <c r="I341" i="28"/>
  <c r="I327" i="28"/>
  <c r="I299" i="28"/>
  <c r="I285" i="28"/>
  <c r="I257" i="28"/>
  <c r="K215" i="28"/>
  <c r="I201" i="28"/>
  <c r="I187" i="28"/>
  <c r="I173" i="28"/>
  <c r="I159" i="28"/>
  <c r="I145" i="28"/>
  <c r="I131" i="28"/>
  <c r="I117" i="28"/>
  <c r="I89" i="28"/>
  <c r="K61" i="28"/>
  <c r="I447" i="28"/>
  <c r="I347" i="28"/>
  <c r="I84" i="28"/>
  <c r="I16" i="28"/>
  <c r="I508" i="28"/>
  <c r="I480" i="28"/>
  <c r="I466" i="28"/>
  <c r="I452" i="28"/>
  <c r="I424" i="28"/>
  <c r="I396" i="28"/>
  <c r="K354" i="28"/>
  <c r="I340" i="28"/>
  <c r="I312" i="28"/>
  <c r="I298" i="28"/>
  <c r="I284" i="28"/>
  <c r="I270" i="28"/>
  <c r="I256" i="28"/>
  <c r="I242" i="28"/>
  <c r="I228" i="28"/>
  <c r="K214" i="28"/>
  <c r="I200" i="28"/>
  <c r="I186" i="28"/>
  <c r="I172" i="28"/>
  <c r="I158" i="28"/>
  <c r="I144" i="28"/>
  <c r="I130" i="28"/>
  <c r="I116" i="28"/>
  <c r="I60" i="28"/>
  <c r="I46" i="28"/>
  <c r="I507" i="28"/>
  <c r="I308" i="28"/>
  <c r="I492" i="28"/>
  <c r="I450" i="28"/>
  <c r="I338" i="28"/>
  <c r="I240" i="28"/>
  <c r="I198" i="28"/>
  <c r="I72" i="28"/>
  <c r="I209" i="28"/>
  <c r="I449" i="28"/>
  <c r="I337" i="28"/>
  <c r="I239" i="28"/>
  <c r="I141" i="28"/>
  <c r="I306" i="28"/>
  <c r="I406" i="28"/>
  <c r="I336" i="28"/>
  <c r="I196" i="28"/>
  <c r="I42" i="28"/>
  <c r="I475" i="28"/>
  <c r="I377" i="28"/>
  <c r="I335" i="28"/>
  <c r="I111" i="28"/>
  <c r="I40" i="28"/>
  <c r="I194" i="28"/>
  <c r="I465" i="28"/>
  <c r="I279" i="28"/>
  <c r="I408" i="28"/>
  <c r="I310" i="28"/>
  <c r="I212" i="28"/>
  <c r="K114" i="28"/>
  <c r="I407" i="28"/>
  <c r="I169" i="28"/>
  <c r="I378" i="28"/>
  <c r="I168" i="28"/>
  <c r="I405" i="28"/>
  <c r="I195" i="28"/>
  <c r="I334" i="28"/>
  <c r="I236" i="28"/>
  <c r="I493" i="28"/>
  <c r="I210" i="28"/>
  <c r="I478" i="28"/>
  <c r="I380" i="28"/>
  <c r="I268" i="28"/>
  <c r="I170" i="28"/>
  <c r="I477" i="28"/>
  <c r="I379" i="28"/>
  <c r="I113" i="28"/>
  <c r="I266" i="28"/>
  <c r="I70" i="28"/>
  <c r="I235" i="28"/>
  <c r="I237" i="28"/>
  <c r="I264" i="28"/>
  <c r="I409" i="28"/>
  <c r="I353" i="28"/>
  <c r="I325" i="28"/>
  <c r="I269" i="28"/>
  <c r="I199" i="28"/>
  <c r="I101" i="28"/>
  <c r="I17" i="28"/>
  <c r="I436" i="28"/>
  <c r="I366" i="28"/>
  <c r="I152" i="28"/>
  <c r="I127" i="28"/>
  <c r="I30" i="28"/>
  <c r="I76" i="28"/>
  <c r="I132" i="28"/>
  <c r="I216" i="28"/>
  <c r="I272" i="28"/>
  <c r="K314" i="28"/>
  <c r="I370" i="28"/>
  <c r="I426" i="28"/>
  <c r="I49" i="28"/>
  <c r="I105" i="28"/>
  <c r="I147" i="28"/>
  <c r="I189" i="28"/>
  <c r="I259" i="28"/>
  <c r="I329" i="28"/>
  <c r="I385" i="28"/>
  <c r="I441" i="28"/>
  <c r="I469" i="28"/>
  <c r="I511" i="28"/>
  <c r="I64" i="28"/>
  <c r="I120" i="28"/>
  <c r="I148" i="28"/>
  <c r="I274" i="28"/>
  <c r="I414" i="28"/>
  <c r="I37" i="28"/>
  <c r="I135" i="28"/>
  <c r="I247" i="28"/>
  <c r="I289" i="28"/>
  <c r="I52" i="28"/>
  <c r="I122" i="28"/>
  <c r="I178" i="28"/>
  <c r="I220" i="28"/>
  <c r="I262" i="28"/>
  <c r="I318" i="28"/>
  <c r="I360" i="28"/>
  <c r="I472" i="28"/>
  <c r="I39" i="28"/>
  <c r="I137" i="28"/>
  <c r="I193" i="28"/>
  <c r="I48" i="28"/>
  <c r="I118" i="28"/>
  <c r="I286" i="28"/>
  <c r="I328" i="28"/>
  <c r="I384" i="28"/>
  <c r="I468" i="28"/>
  <c r="I119" i="28"/>
  <c r="I231" i="28"/>
  <c r="I287" i="28"/>
  <c r="I371" i="28"/>
  <c r="I427" i="28"/>
  <c r="I483" i="28"/>
  <c r="I50" i="28"/>
  <c r="I204" i="28"/>
  <c r="I246" i="28"/>
  <c r="I302" i="28"/>
  <c r="I400" i="28"/>
  <c r="I470" i="28"/>
  <c r="I51" i="28"/>
  <c r="I219" i="28"/>
  <c r="I261" i="28"/>
  <c r="I317" i="28"/>
  <c r="I359" i="28"/>
  <c r="I401" i="28"/>
  <c r="I429" i="28"/>
  <c r="I457" i="28"/>
  <c r="I499" i="28"/>
  <c r="I108" i="28"/>
  <c r="I192" i="28"/>
  <c r="I332" i="28"/>
  <c r="I444" i="28"/>
  <c r="I53" i="28"/>
  <c r="I109" i="28"/>
  <c r="I165" i="28"/>
  <c r="I34" i="28"/>
  <c r="I90" i="28"/>
  <c r="I104" i="28"/>
  <c r="I160" i="28"/>
  <c r="I202" i="28"/>
  <c r="I230" i="28"/>
  <c r="I258" i="28"/>
  <c r="I300" i="28"/>
  <c r="I342" i="28"/>
  <c r="I356" i="28"/>
  <c r="I398" i="28"/>
  <c r="I454" i="28"/>
  <c r="I21" i="28"/>
  <c r="I77" i="28"/>
  <c r="I133" i="28"/>
  <c r="K175" i="28"/>
  <c r="I245" i="28"/>
  <c r="I273" i="28"/>
  <c r="K315" i="28"/>
  <c r="I357" i="28"/>
  <c r="I399" i="28"/>
  <c r="I413" i="28"/>
  <c r="K455" i="28"/>
  <c r="I497" i="28"/>
  <c r="I22" i="28"/>
  <c r="I36" i="28"/>
  <c r="I78" i="28"/>
  <c r="I92" i="28"/>
  <c r="I162" i="28"/>
  <c r="I190" i="28"/>
  <c r="I288" i="28"/>
  <c r="I386" i="28"/>
  <c r="I428" i="28"/>
  <c r="I442" i="28"/>
  <c r="I23" i="28"/>
  <c r="I65" i="28"/>
  <c r="I121" i="28"/>
  <c r="I163" i="28"/>
  <c r="I205" i="28"/>
  <c r="I233" i="28"/>
  <c r="I275" i="28"/>
  <c r="I303" i="28"/>
  <c r="I345" i="28"/>
  <c r="I387" i="28"/>
  <c r="I415" i="28"/>
  <c r="I443" i="28"/>
  <c r="I471" i="28"/>
  <c r="I24" i="28"/>
  <c r="I38" i="28"/>
  <c r="I80" i="28"/>
  <c r="K94" i="28"/>
  <c r="I136" i="28"/>
  <c r="I164" i="28"/>
  <c r="K234" i="28"/>
  <c r="I276" i="28"/>
  <c r="I304" i="28"/>
  <c r="I388" i="28"/>
  <c r="I416" i="28"/>
  <c r="I458" i="28"/>
  <c r="I514" i="28"/>
  <c r="I25" i="28"/>
  <c r="I67" i="28"/>
  <c r="I123" i="28"/>
  <c r="I179" i="28"/>
  <c r="I501" i="28"/>
  <c r="I365" i="28"/>
  <c r="I321" i="28"/>
  <c r="I126" i="28"/>
  <c r="I56" i="28"/>
  <c r="I459" i="28"/>
  <c r="I97" i="28"/>
  <c r="I28" i="28"/>
  <c r="I293" i="28"/>
  <c r="I221" i="28"/>
  <c r="I54" i="28"/>
  <c r="I27" i="28"/>
  <c r="I362" i="28"/>
  <c r="I292" i="28"/>
  <c r="I26" i="28"/>
  <c r="I515" i="28"/>
  <c r="I431" i="28"/>
  <c r="I361" i="28"/>
  <c r="I291" i="28"/>
  <c r="I381" i="28"/>
  <c r="I339" i="28"/>
  <c r="K255" i="28"/>
  <c r="I157" i="28"/>
  <c r="I87" i="28"/>
  <c r="I57" i="28"/>
  <c r="I223" i="28"/>
  <c r="I29" i="28"/>
  <c r="I364" i="28"/>
  <c r="I263" i="28"/>
  <c r="I437" i="28"/>
  <c r="I367" i="28"/>
  <c r="I311" i="28"/>
  <c r="I241" i="28"/>
  <c r="K115" i="28"/>
  <c r="I45" i="28"/>
  <c r="I390" i="28"/>
  <c r="I99" i="28"/>
  <c r="I460" i="28"/>
  <c r="I434" i="28"/>
  <c r="I222" i="28"/>
  <c r="I55" i="28"/>
  <c r="I124" i="28"/>
  <c r="I516" i="28"/>
  <c r="I403" i="28"/>
  <c r="K15" i="28"/>
  <c r="K322" i="28"/>
  <c r="K294" i="28"/>
  <c r="K238" i="28"/>
  <c r="K224" i="28"/>
  <c r="K182" i="28"/>
  <c r="K503" i="28"/>
  <c r="K447" i="28"/>
  <c r="K433" i="28"/>
  <c r="K349" i="28"/>
  <c r="K251" i="28"/>
  <c r="K167" i="28"/>
  <c r="K139" i="28"/>
  <c r="K125" i="28"/>
  <c r="K69" i="28"/>
  <c r="K41" i="28"/>
  <c r="K502" i="28"/>
  <c r="K418" i="28"/>
  <c r="K320" i="28"/>
  <c r="K180" i="28"/>
  <c r="K96" i="28"/>
  <c r="K82" i="28"/>
  <c r="I75" i="28"/>
  <c r="K487" i="28"/>
  <c r="K417" i="28"/>
  <c r="K319" i="28"/>
  <c r="K305" i="28"/>
  <c r="K277" i="28"/>
  <c r="K207" i="28"/>
  <c r="K151" i="28"/>
  <c r="I74" i="28"/>
  <c r="K500" i="28"/>
  <c r="K486" i="28"/>
  <c r="K430" i="28"/>
  <c r="K402" i="28"/>
  <c r="K290" i="28"/>
  <c r="K248" i="28"/>
  <c r="K206" i="28"/>
  <c r="K513" i="28"/>
  <c r="K485" i="28"/>
  <c r="K373" i="28"/>
  <c r="K359" i="28"/>
  <c r="K191" i="28"/>
  <c r="K177" i="28"/>
  <c r="K107" i="28"/>
  <c r="I174" i="28"/>
  <c r="K512" i="28"/>
  <c r="K484" i="28"/>
  <c r="K372" i="28"/>
  <c r="K358" i="28"/>
  <c r="K330" i="28"/>
  <c r="K316" i="28"/>
  <c r="K260" i="28"/>
  <c r="K232" i="28"/>
  <c r="K176" i="28"/>
  <c r="K106" i="28"/>
  <c r="I295" i="28"/>
  <c r="I155" i="28"/>
  <c r="K343" i="28"/>
  <c r="K301" i="28"/>
  <c r="K217" i="28"/>
  <c r="K203" i="28"/>
  <c r="K63" i="28"/>
  <c r="K35" i="28"/>
  <c r="K510" i="28"/>
  <c r="K482" i="28"/>
  <c r="K440" i="28"/>
  <c r="K426" i="28"/>
  <c r="K412" i="28"/>
  <c r="K244" i="28"/>
  <c r="K188" i="28"/>
  <c r="K146" i="28"/>
  <c r="K20" i="28"/>
  <c r="K509" i="28"/>
  <c r="K495" i="28"/>
  <c r="K453" i="28"/>
  <c r="K313" i="28"/>
  <c r="K243" i="28"/>
  <c r="K229" i="28"/>
  <c r="K103" i="28"/>
  <c r="K47" i="28"/>
  <c r="K33" i="28"/>
  <c r="K19" i="28"/>
  <c r="K494" i="28"/>
  <c r="K382" i="28"/>
  <c r="K284" i="28"/>
  <c r="K32" i="28"/>
  <c r="K18" i="28"/>
  <c r="K479" i="28"/>
  <c r="K297" i="28"/>
  <c r="K283" i="28"/>
  <c r="K227" i="28"/>
  <c r="K213" i="28"/>
  <c r="K185" i="28"/>
  <c r="K143" i="28"/>
  <c r="K59" i="28"/>
  <c r="K31" i="28"/>
  <c r="I394" i="28"/>
  <c r="K380" i="28"/>
  <c r="K296" i="28"/>
  <c r="K282" i="28"/>
  <c r="K505" i="28"/>
  <c r="K351" i="28"/>
  <c r="K309" i="28"/>
  <c r="K211" i="28"/>
  <c r="K197" i="28"/>
  <c r="K85" i="28"/>
  <c r="L49" i="17"/>
  <c r="C27" i="8" s="1"/>
  <c r="K50" i="17"/>
  <c r="L50" i="17" s="1"/>
  <c r="D27" i="8" s="1"/>
  <c r="L51" i="17"/>
  <c r="E27" i="8" s="1"/>
  <c r="K44" i="28" l="1"/>
  <c r="K58" i="28"/>
  <c r="K150" i="28"/>
  <c r="K66" i="28"/>
  <c r="K389" i="28"/>
  <c r="I435" i="28"/>
  <c r="K456" i="28"/>
  <c r="K392" i="28"/>
  <c r="K280" i="28"/>
  <c r="K265" i="28"/>
  <c r="K422" i="28"/>
  <c r="K318" i="28"/>
  <c r="K183" i="28"/>
  <c r="K363" i="28"/>
  <c r="K110" i="28"/>
  <c r="K421" i="28"/>
  <c r="K43" i="28"/>
  <c r="K88" i="28"/>
  <c r="K267" i="28"/>
  <c r="K218" i="28"/>
  <c r="K448" i="28"/>
  <c r="K208" i="28"/>
  <c r="K140" i="28"/>
  <c r="K439" i="28"/>
  <c r="K498" i="28"/>
  <c r="K423" i="28"/>
  <c r="K352" i="28"/>
  <c r="K154" i="28"/>
  <c r="K490" i="28"/>
  <c r="K142" i="28"/>
  <c r="K171" i="28"/>
  <c r="K91" i="28"/>
  <c r="K129" i="28"/>
  <c r="K270" i="28"/>
  <c r="K463" i="28"/>
  <c r="K102" i="28"/>
  <c r="K429" i="28"/>
  <c r="K62" i="28"/>
  <c r="K344" i="28"/>
  <c r="K71" i="28"/>
  <c r="K249" i="28"/>
  <c r="K497" i="28"/>
  <c r="K432" i="28"/>
  <c r="I254" i="28"/>
  <c r="I395" i="28"/>
  <c r="K134" i="28"/>
  <c r="K346" i="28"/>
  <c r="K491" i="28"/>
  <c r="K73" i="28"/>
  <c r="K419" i="28"/>
  <c r="K228" i="28"/>
  <c r="K489" i="28"/>
  <c r="K368" i="28"/>
  <c r="K326" i="28"/>
  <c r="K481" i="28"/>
  <c r="K281" i="28"/>
  <c r="K410" i="28"/>
  <c r="K331" i="28"/>
  <c r="K451" i="28"/>
  <c r="K438" i="28"/>
  <c r="K161" i="28"/>
  <c r="K472" i="28"/>
  <c r="K93" i="28"/>
  <c r="K98" i="28"/>
  <c r="K216" i="28"/>
  <c r="K271" i="28"/>
  <c r="K153" i="28"/>
  <c r="K387" i="28"/>
  <c r="K397" i="28"/>
  <c r="K130" i="28"/>
  <c r="K317" i="28"/>
  <c r="I355" i="28"/>
  <c r="I95" i="28"/>
  <c r="K337" i="28"/>
  <c r="K138" i="28"/>
  <c r="K340" i="28"/>
  <c r="K393" i="28"/>
  <c r="K493" i="28"/>
  <c r="K467" i="28"/>
  <c r="K496" i="28"/>
  <c r="K235" i="28"/>
  <c r="K97" i="28"/>
  <c r="K464" i="28"/>
  <c r="K264" i="28"/>
  <c r="K112" i="28"/>
  <c r="K375" i="28"/>
  <c r="K396" i="28"/>
  <c r="K404" i="28"/>
  <c r="K220" i="28"/>
  <c r="K449" i="28"/>
  <c r="K348" i="28"/>
  <c r="K237" i="28"/>
  <c r="K411" i="28"/>
  <c r="K441" i="28"/>
  <c r="K131" i="28"/>
  <c r="K145" i="28"/>
  <c r="K170" i="28"/>
  <c r="K457" i="28"/>
  <c r="K488" i="28"/>
  <c r="K252" i="28"/>
  <c r="K158" i="28"/>
  <c r="I81" i="28"/>
  <c r="K68" i="28"/>
  <c r="K172" i="28"/>
  <c r="I61" i="28"/>
  <c r="K149" i="28"/>
  <c r="K476" i="28"/>
  <c r="K239" i="28"/>
  <c r="K100" i="28"/>
  <c r="K89" i="28"/>
  <c r="K279" i="28"/>
  <c r="K312" i="28"/>
  <c r="K307" i="28"/>
  <c r="K504" i="28"/>
  <c r="I374" i="28"/>
  <c r="K391" i="28"/>
  <c r="K64" i="28"/>
  <c r="K60" i="28"/>
  <c r="K116" i="28"/>
  <c r="K159" i="28"/>
  <c r="K408" i="28"/>
  <c r="K104" i="28"/>
  <c r="K333" i="28"/>
  <c r="K424" i="28"/>
  <c r="K443" i="28"/>
  <c r="K461" i="28"/>
  <c r="K144" i="28"/>
  <c r="K369" i="28"/>
  <c r="K160" i="28"/>
  <c r="K119" i="28"/>
  <c r="K162" i="28"/>
  <c r="K376" i="28"/>
  <c r="K475" i="28"/>
  <c r="K506" i="28"/>
  <c r="K353" i="28"/>
  <c r="K383" i="28"/>
  <c r="I314" i="28"/>
  <c r="K390" i="28"/>
  <c r="K195" i="28"/>
  <c r="K336" i="28"/>
  <c r="K514" i="28"/>
  <c r="K287" i="28"/>
  <c r="K468" i="28"/>
  <c r="K445" i="28"/>
  <c r="K278" i="28"/>
  <c r="K83" i="28"/>
  <c r="K473" i="28"/>
  <c r="K17" i="28"/>
  <c r="K381" i="28"/>
  <c r="K92" i="28"/>
  <c r="K517" i="28"/>
  <c r="K364" i="28"/>
  <c r="K166" i="28"/>
  <c r="K256" i="28"/>
  <c r="K324" i="28"/>
  <c r="K323" i="28"/>
  <c r="K27" i="28"/>
  <c r="K407" i="28"/>
  <c r="K204" i="28"/>
  <c r="K444" i="28"/>
  <c r="K101" i="28"/>
  <c r="K425" i="28"/>
  <c r="K420" i="28"/>
  <c r="K338" i="28"/>
  <c r="K79" i="28"/>
  <c r="K250" i="28"/>
  <c r="K462" i="28"/>
  <c r="K414" i="28"/>
  <c r="I175" i="28"/>
  <c r="K181" i="28"/>
  <c r="K108" i="28"/>
  <c r="K245" i="28"/>
  <c r="K303" i="28"/>
  <c r="K209" i="28"/>
  <c r="K379" i="28"/>
  <c r="K465" i="28"/>
  <c r="K76" i="28"/>
  <c r="K273" i="28"/>
  <c r="K416" i="28"/>
  <c r="K40" i="28"/>
  <c r="K194" i="28"/>
  <c r="K362" i="28"/>
  <c r="K111" i="28"/>
  <c r="K406" i="28"/>
  <c r="K128" i="28"/>
  <c r="K184" i="28"/>
  <c r="K269" i="28"/>
  <c r="K499" i="28"/>
  <c r="K165" i="28"/>
  <c r="K46" i="28"/>
  <c r="K219" i="28"/>
  <c r="K225" i="28"/>
  <c r="K156" i="28"/>
  <c r="K253" i="28"/>
  <c r="K72" i="28"/>
  <c r="K118" i="28"/>
  <c r="K236" i="28"/>
  <c r="I354" i="28"/>
  <c r="K511" i="28"/>
  <c r="K474" i="28"/>
  <c r="K210" i="28"/>
  <c r="K169" i="28"/>
  <c r="K86" i="28"/>
  <c r="K298" i="28"/>
  <c r="K117" i="28"/>
  <c r="K288" i="28"/>
  <c r="K262" i="28"/>
  <c r="K274" i="28"/>
  <c r="K409" i="28"/>
  <c r="K459" i="28"/>
  <c r="K226" i="28"/>
  <c r="K242" i="28"/>
  <c r="K334" i="28"/>
  <c r="K446" i="28"/>
  <c r="K231" i="28"/>
  <c r="K163" i="28"/>
  <c r="K458" i="28"/>
  <c r="K193" i="28"/>
  <c r="K350" i="28"/>
  <c r="K190" i="28"/>
  <c r="K77" i="28"/>
  <c r="K179" i="28"/>
  <c r="K28" i="28"/>
  <c r="K202" i="28"/>
  <c r="K304" i="28"/>
  <c r="K293" i="28"/>
  <c r="K157" i="28"/>
  <c r="I255" i="28"/>
  <c r="K90" i="28"/>
  <c r="K483" i="28"/>
  <c r="K442" i="28"/>
  <c r="K178" i="28"/>
  <c r="K221" i="28"/>
  <c r="K460" i="28"/>
  <c r="K222" i="28"/>
  <c r="L12" i="8"/>
  <c r="K452" i="28"/>
  <c r="K173" i="28"/>
  <c r="K466" i="28"/>
  <c r="K480" i="28"/>
  <c r="K50" i="28"/>
  <c r="K39" i="28"/>
  <c r="K113" i="28"/>
  <c r="I114" i="28"/>
  <c r="K507" i="28"/>
  <c r="K186" i="28"/>
  <c r="K341" i="28"/>
  <c r="K370" i="28"/>
  <c r="K399" i="28"/>
  <c r="K401" i="28"/>
  <c r="I214" i="28"/>
  <c r="K84" i="28"/>
  <c r="K187" i="28"/>
  <c r="K16" i="28"/>
  <c r="K240" i="28"/>
  <c r="K478" i="28"/>
  <c r="K299" i="28"/>
  <c r="K258" i="28"/>
  <c r="K49" i="28"/>
  <c r="K37" i="28"/>
  <c r="K24" i="28"/>
  <c r="K67" i="28"/>
  <c r="K292" i="28"/>
  <c r="K377" i="28"/>
  <c r="K141" i="28"/>
  <c r="K365" i="28"/>
  <c r="K310" i="28"/>
  <c r="K200" i="28"/>
  <c r="K398" i="28"/>
  <c r="K105" i="28"/>
  <c r="K427" i="28"/>
  <c r="K386" i="28"/>
  <c r="K415" i="28"/>
  <c r="K80" i="28"/>
  <c r="K403" i="28"/>
  <c r="K223" i="28"/>
  <c r="K308" i="28"/>
  <c r="K205" i="28"/>
  <c r="K378" i="28"/>
  <c r="K508" i="28"/>
  <c r="K196" i="28"/>
  <c r="K477" i="28"/>
  <c r="K198" i="28"/>
  <c r="K257" i="28"/>
  <c r="K259" i="28"/>
  <c r="K26" i="28"/>
  <c r="K335" i="28"/>
  <c r="I94" i="28"/>
  <c r="K29" i="28"/>
  <c r="K212" i="28"/>
  <c r="K450" i="28"/>
  <c r="K437" i="28"/>
  <c r="K230" i="28"/>
  <c r="K302" i="28"/>
  <c r="K25" i="28"/>
  <c r="I215" i="28"/>
  <c r="K268" i="28"/>
  <c r="K492" i="28"/>
  <c r="K272" i="28"/>
  <c r="K65" i="28"/>
  <c r="K38" i="28"/>
  <c r="K123" i="28"/>
  <c r="K347" i="28"/>
  <c r="K306" i="28"/>
  <c r="K42" i="28"/>
  <c r="K266" i="28"/>
  <c r="K366" i="28"/>
  <c r="K201" i="28"/>
  <c r="K168" i="28"/>
  <c r="K285" i="28"/>
  <c r="K23" i="28"/>
  <c r="I315" i="28"/>
  <c r="K54" i="28"/>
  <c r="K99" i="28"/>
  <c r="K199" i="28"/>
  <c r="K327" i="28"/>
  <c r="K342" i="28"/>
  <c r="K357" i="28"/>
  <c r="K148" i="28"/>
  <c r="K52" i="28"/>
  <c r="K137" i="28"/>
  <c r="K405" i="28"/>
  <c r="K70" i="28"/>
  <c r="K21" i="28"/>
  <c r="K132" i="28"/>
  <c r="K356" i="28"/>
  <c r="K469" i="28"/>
  <c r="K120" i="28"/>
  <c r="K361" i="28"/>
  <c r="K126" i="28"/>
  <c r="K45" i="28"/>
  <c r="K51" i="28"/>
  <c r="K431" i="28"/>
  <c r="K384" i="28"/>
  <c r="K276" i="28"/>
  <c r="I234" i="28"/>
  <c r="K241" i="28"/>
  <c r="K233" i="28"/>
  <c r="K329" i="28"/>
  <c r="K247" i="28"/>
  <c r="I455" i="28"/>
  <c r="K400" i="28"/>
  <c r="K261" i="28"/>
  <c r="K122" i="28"/>
  <c r="K332" i="28"/>
  <c r="K124" i="28"/>
  <c r="K516" i="28"/>
  <c r="K57" i="28"/>
  <c r="K34" i="28"/>
  <c r="K454" i="28"/>
  <c r="K133" i="28"/>
  <c r="K22" i="28"/>
  <c r="K275" i="28"/>
  <c r="K471" i="28"/>
  <c r="K136" i="28"/>
  <c r="K263" i="28"/>
  <c r="K436" i="28"/>
  <c r="K87" i="28"/>
  <c r="K311" i="28"/>
  <c r="I115" i="28"/>
  <c r="K48" i="28"/>
  <c r="K147" i="28"/>
  <c r="K371" i="28"/>
  <c r="K36" i="28"/>
  <c r="K428" i="28"/>
  <c r="K289" i="28"/>
  <c r="K360" i="28"/>
  <c r="K53" i="28"/>
  <c r="K152" i="28"/>
  <c r="K434" i="28"/>
  <c r="K325" i="28"/>
  <c r="K385" i="28"/>
  <c r="K246" i="28"/>
  <c r="K164" i="28"/>
  <c r="K388" i="28"/>
  <c r="K291" i="28"/>
  <c r="K56" i="28"/>
  <c r="K300" i="28"/>
  <c r="K413" i="28"/>
  <c r="K78" i="28"/>
  <c r="K470" i="28"/>
  <c r="K135" i="28"/>
  <c r="K192" i="28"/>
  <c r="K515" i="28"/>
  <c r="K321" i="28"/>
  <c r="K30" i="28"/>
  <c r="K339" i="28"/>
  <c r="K286" i="28"/>
  <c r="K189" i="28"/>
  <c r="K121" i="28"/>
  <c r="K109" i="28"/>
  <c r="K501" i="28"/>
  <c r="K127" i="28"/>
  <c r="K367" i="28"/>
  <c r="K328" i="28"/>
  <c r="K345" i="28"/>
  <c r="K55" i="28"/>
  <c r="L52" i="17"/>
  <c r="C3" i="28" l="1"/>
  <c r="C5" i="28"/>
  <c r="B140" i="4"/>
  <c r="B116" i="4"/>
  <c r="D58" i="4"/>
  <c r="D10" i="4"/>
  <c r="D132" i="4" l="1"/>
  <c r="D59" i="4"/>
  <c r="D60" i="4" s="1"/>
  <c r="D61" i="4" s="1"/>
  <c r="D62" i="4" s="1"/>
  <c r="D108" i="4"/>
  <c r="D35" i="4"/>
  <c r="D36" i="4" s="1"/>
  <c r="D37" i="4" s="1"/>
  <c r="D38" i="4" s="1"/>
  <c r="D84" i="4"/>
  <c r="D11" i="4"/>
  <c r="D12" i="4" s="1"/>
  <c r="D13" i="4" s="1"/>
  <c r="D14" i="4" s="1"/>
  <c r="C7" i="28"/>
  <c r="D131" i="4"/>
  <c r="D129" i="4"/>
  <c r="D107" i="4"/>
  <c r="D81" i="4"/>
  <c r="D83" i="4"/>
  <c r="F37" i="4" l="1"/>
  <c r="F87" i="4"/>
  <c r="F61" i="4"/>
  <c r="F135" i="4"/>
  <c r="F13" i="4"/>
  <c r="F111" i="4"/>
  <c r="F107" i="4"/>
  <c r="F88" i="4"/>
  <c r="F36" i="4"/>
  <c r="F35" i="4"/>
  <c r="F86" i="4"/>
  <c r="F34" i="4"/>
  <c r="F85" i="4"/>
  <c r="F33" i="4"/>
  <c r="F134" i="4"/>
  <c r="F84" i="4"/>
  <c r="F14" i="4"/>
  <c r="F133" i="4"/>
  <c r="F83" i="4"/>
  <c r="F132" i="4"/>
  <c r="G132" i="4" s="1"/>
  <c r="F62" i="4"/>
  <c r="F12" i="4"/>
  <c r="F131" i="4"/>
  <c r="F11" i="4"/>
  <c r="G11" i="4" s="1"/>
  <c r="F112" i="4"/>
  <c r="F60" i="4"/>
  <c r="F59" i="4"/>
  <c r="F110" i="4"/>
  <c r="F109" i="4"/>
  <c r="F38" i="4"/>
  <c r="F9" i="4"/>
  <c r="F57" i="4"/>
  <c r="F136" i="4"/>
  <c r="F10" i="4"/>
  <c r="F58" i="4"/>
  <c r="F108" i="4"/>
  <c r="G108" i="4" s="1"/>
  <c r="D87" i="4"/>
  <c r="D85" i="4"/>
  <c r="D111" i="4"/>
  <c r="D109" i="4"/>
  <c r="D135" i="4"/>
  <c r="D133" i="4"/>
  <c r="B92" i="4"/>
  <c r="B94" i="4"/>
  <c r="B118" i="4"/>
  <c r="B142" i="4"/>
  <c r="G111" i="4" l="1"/>
  <c r="I111" i="4" s="1"/>
  <c r="G133" i="4"/>
  <c r="I133" i="4" s="1"/>
  <c r="G61" i="4"/>
  <c r="H61" i="4" s="1"/>
  <c r="G13" i="4"/>
  <c r="G87" i="4"/>
  <c r="H87" i="4" s="1"/>
  <c r="G135" i="4"/>
  <c r="I135" i="4" s="1"/>
  <c r="G37" i="4"/>
  <c r="H37" i="4" s="1"/>
  <c r="G85" i="4"/>
  <c r="H85" i="4" s="1"/>
  <c r="H13" i="4"/>
  <c r="I13" i="4"/>
  <c r="H108" i="4"/>
  <c r="I108" i="4"/>
  <c r="H132" i="4"/>
  <c r="I132" i="4"/>
  <c r="H111" i="4"/>
  <c r="G109" i="4"/>
  <c r="H109" i="4" s="1"/>
  <c r="D134" i="4"/>
  <c r="G134" i="4" s="1"/>
  <c r="D110" i="4"/>
  <c r="G110" i="4" s="1"/>
  <c r="D86" i="4"/>
  <c r="G86" i="4" s="1"/>
  <c r="G12" i="4"/>
  <c r="H11" i="4"/>
  <c r="I11" i="4"/>
  <c r="G59" i="4"/>
  <c r="G35" i="4"/>
  <c r="B26" i="3"/>
  <c r="K12" i="3"/>
  <c r="K11" i="3"/>
  <c r="F12" i="3"/>
  <c r="F13" i="3"/>
  <c r="F11" i="3"/>
  <c r="H133" i="4" l="1"/>
  <c r="I61" i="4"/>
  <c r="I37" i="4"/>
  <c r="I87" i="4"/>
  <c r="I85" i="4"/>
  <c r="H135" i="4"/>
  <c r="G11" i="3"/>
  <c r="G12" i="3"/>
  <c r="I109" i="4"/>
  <c r="I86" i="4"/>
  <c r="H86" i="4"/>
  <c r="D88" i="4"/>
  <c r="G88" i="4" s="1"/>
  <c r="H110" i="4"/>
  <c r="I110" i="4"/>
  <c r="H134" i="4"/>
  <c r="I134" i="4"/>
  <c r="H35" i="4"/>
  <c r="I35" i="4"/>
  <c r="H59" i="4"/>
  <c r="I59" i="4"/>
  <c r="G36" i="4"/>
  <c r="G60" i="4"/>
  <c r="H12" i="4"/>
  <c r="I12" i="4"/>
  <c r="D136" i="4" l="1"/>
  <c r="G136" i="4" s="1"/>
  <c r="D112" i="4"/>
  <c r="G112" i="4" s="1"/>
  <c r="I88" i="4"/>
  <c r="H88" i="4"/>
  <c r="I60" i="4"/>
  <c r="H60" i="4"/>
  <c r="H36" i="4"/>
  <c r="I36" i="4"/>
  <c r="G14" i="4"/>
  <c r="B100" i="3"/>
  <c r="B63" i="3"/>
  <c r="I112" i="4" l="1"/>
  <c r="H112" i="4"/>
  <c r="I136" i="4"/>
  <c r="H136" i="4"/>
  <c r="G62" i="4"/>
  <c r="G38" i="4"/>
  <c r="H14" i="4"/>
  <c r="I14" i="4"/>
  <c r="L17" i="8"/>
  <c r="H38" i="4" l="1"/>
  <c r="I38" i="4"/>
  <c r="H62" i="4"/>
  <c r="I62" i="4"/>
  <c r="E107" i="4" l="1"/>
  <c r="E131" i="4" s="1"/>
  <c r="K13" i="3" l="1"/>
  <c r="G13" i="3" l="1"/>
  <c r="C13" i="9"/>
  <c r="D13" i="9"/>
  <c r="E13" i="9"/>
  <c r="F13" i="9"/>
  <c r="G13" i="9"/>
  <c r="H13" i="9"/>
  <c r="I13" i="9"/>
  <c r="J13" i="9"/>
  <c r="K13" i="9"/>
  <c r="F85" i="3"/>
  <c r="F49" i="3"/>
  <c r="F50" i="3"/>
  <c r="B62" i="3"/>
  <c r="B64" i="3"/>
  <c r="B65" i="3"/>
  <c r="B66" i="3"/>
  <c r="B67" i="3"/>
  <c r="B68" i="3"/>
  <c r="B69" i="3"/>
  <c r="B70" i="3"/>
  <c r="B71" i="3"/>
  <c r="B72" i="3"/>
  <c r="F86" i="3"/>
  <c r="B99" i="3"/>
  <c r="B101" i="3"/>
  <c r="B102" i="3"/>
  <c r="B103" i="3"/>
  <c r="B104" i="3"/>
  <c r="B105" i="3"/>
  <c r="B106" i="3"/>
  <c r="B107" i="3"/>
  <c r="B108" i="3"/>
  <c r="B109" i="3"/>
  <c r="M16" i="8"/>
  <c r="O12" i="3" l="1"/>
  <c r="M86" i="3"/>
  <c r="K49" i="3"/>
  <c r="G49" i="3" s="1"/>
  <c r="N49" i="3" s="1"/>
  <c r="M49" i="3"/>
  <c r="M12" i="3"/>
  <c r="K50" i="3"/>
  <c r="F48" i="3"/>
  <c r="K48" i="3"/>
  <c r="O49" i="3"/>
  <c r="O50" i="3"/>
  <c r="M50" i="3"/>
  <c r="O13" i="3"/>
  <c r="N13" i="3"/>
  <c r="M13" i="3"/>
  <c r="O11" i="3"/>
  <c r="M11" i="3"/>
  <c r="N12" i="3"/>
  <c r="G48" i="3" l="1"/>
  <c r="N48" i="3" s="1"/>
  <c r="G86" i="3"/>
  <c r="N86" i="3" s="1"/>
  <c r="O86" i="3"/>
  <c r="O85" i="3"/>
  <c r="M85" i="3"/>
  <c r="G85" i="3"/>
  <c r="M19" i="3"/>
  <c r="C10" i="8" s="1"/>
  <c r="G50" i="3"/>
  <c r="N50" i="3" s="1"/>
  <c r="N11" i="3"/>
  <c r="O19" i="3"/>
  <c r="E10" i="8" s="1"/>
  <c r="O48" i="3"/>
  <c r="M48" i="3"/>
  <c r="M93" i="3" l="1"/>
  <c r="C12" i="8" s="1"/>
  <c r="O93" i="3"/>
  <c r="E12" i="8" s="1"/>
  <c r="M56" i="3"/>
  <c r="C11" i="8" s="1"/>
  <c r="O56" i="3"/>
  <c r="E11" i="8" s="1"/>
  <c r="N56" i="3"/>
  <c r="D11" i="8" s="1"/>
  <c r="L13" i="8"/>
  <c r="N19" i="3"/>
  <c r="D10" i="8" s="1"/>
  <c r="N85" i="3"/>
  <c r="N93" i="3" l="1"/>
  <c r="D12" i="8" s="1"/>
  <c r="E13" i="8" l="1"/>
  <c r="L7" i="8" s="1"/>
  <c r="G9" i="4"/>
  <c r="H9" i="4" s="1"/>
  <c r="C13" i="8"/>
  <c r="L5" i="8" s="1"/>
  <c r="D13" i="8"/>
  <c r="L6" i="8" s="1"/>
  <c r="G33" i="4" l="1"/>
  <c r="I9" i="4"/>
  <c r="G57" i="4" l="1"/>
  <c r="G10" i="4"/>
  <c r="H33" i="4"/>
  <c r="I33" i="4"/>
  <c r="G34" i="4" l="1"/>
  <c r="H57" i="4"/>
  <c r="I57" i="4"/>
  <c r="I10" i="4"/>
  <c r="H10" i="4"/>
  <c r="I34" i="4" l="1"/>
  <c r="H34" i="4"/>
  <c r="G58" i="4"/>
  <c r="H58" i="4" l="1"/>
  <c r="I58" i="4"/>
  <c r="G83" i="4" l="1"/>
  <c r="G107" i="4" l="1"/>
  <c r="G131" i="4"/>
  <c r="H15" i="4"/>
  <c r="C20" i="8" s="1"/>
  <c r="I15" i="4"/>
  <c r="C24" i="8" s="1"/>
  <c r="H83" i="4"/>
  <c r="I83" i="4"/>
  <c r="H39" i="4" l="1"/>
  <c r="D20" i="8" s="1"/>
  <c r="I131" i="4"/>
  <c r="H131" i="4"/>
  <c r="I107" i="4"/>
  <c r="H107" i="4"/>
  <c r="G84" i="4"/>
  <c r="I39" i="4"/>
  <c r="D24" i="8" s="1"/>
  <c r="I63" i="4" l="1"/>
  <c r="E24" i="8" s="1"/>
  <c r="H84" i="4"/>
  <c r="I84" i="4"/>
  <c r="H63" i="4"/>
  <c r="E20" i="8" s="1"/>
  <c r="I89" i="4" l="1"/>
  <c r="C25" i="8" s="1"/>
  <c r="H89" i="4" l="1"/>
  <c r="C21" i="8" s="1"/>
  <c r="I113" i="4" l="1"/>
  <c r="D25" i="8" s="1"/>
  <c r="I137" i="4"/>
  <c r="E25" i="8" s="1"/>
  <c r="H137" i="4"/>
  <c r="E21" i="8" s="1"/>
  <c r="H113" i="4"/>
  <c r="D21" i="8" s="1"/>
  <c r="L8" i="8" l="1"/>
  <c r="L11" i="8"/>
  <c r="L9" i="8"/>
  <c r="L10" i="8"/>
  <c r="J30" i="37" l="1"/>
  <c r="I30" i="37"/>
  <c r="H29" i="37"/>
  <c r="H30" i="37" s="1"/>
  <c r="K30" i="37" l="1"/>
  <c r="M30" i="37" s="1"/>
  <c r="M34" i="37"/>
  <c r="M42" i="37"/>
  <c r="M20" i="37"/>
  <c r="M16" i="37"/>
  <c r="M32" i="37"/>
  <c r="M22" i="37"/>
  <c r="M36" i="37"/>
  <c r="M28" i="37"/>
  <c r="M15" i="37"/>
  <c r="M38" i="37"/>
  <c r="M39" i="37"/>
  <c r="M14" i="37"/>
  <c r="M43" i="37"/>
  <c r="M40" i="37"/>
  <c r="M24" i="37"/>
  <c r="M45" i="37"/>
  <c r="M44" i="37"/>
  <c r="M27" i="37"/>
  <c r="M31" i="37"/>
  <c r="M35" i="37"/>
  <c r="M18" i="37"/>
  <c r="M19" i="37"/>
  <c r="M33" i="37"/>
  <c r="M12" i="37"/>
  <c r="M41" i="37"/>
  <c r="M13" i="37"/>
  <c r="M26" i="37"/>
  <c r="M17" i="37"/>
  <c r="M29" i="37"/>
  <c r="M23" i="37"/>
  <c r="M37" i="37"/>
  <c r="M25" i="37"/>
  <c r="M21" i="37"/>
  <c r="D32" i="38" l="1"/>
  <c r="D27" i="38"/>
  <c r="D29" i="38"/>
  <c r="D30" i="38"/>
  <c r="D26" i="38"/>
  <c r="D28" i="38"/>
  <c r="D31" i="38"/>
  <c r="C32" i="38" l="1"/>
  <c r="E32" i="38"/>
  <c r="E26" i="38"/>
  <c r="C26" i="38"/>
  <c r="C28" i="38"/>
  <c r="E28" i="38"/>
  <c r="E31" i="38"/>
  <c r="C31" i="38"/>
  <c r="E30" i="38"/>
  <c r="C30" i="38"/>
  <c r="E29" i="38"/>
  <c r="C29" i="38"/>
  <c r="E27" i="38"/>
  <c r="C27" i="38"/>
  <c r="D40" i="38" l="1"/>
  <c r="D41" i="38"/>
</calcChain>
</file>

<file path=xl/sharedStrings.xml><?xml version="1.0" encoding="utf-8"?>
<sst xmlns="http://schemas.openxmlformats.org/spreadsheetml/2006/main" count="2563" uniqueCount="1537">
  <si>
    <t>Company</t>
  </si>
  <si>
    <t>Dividend Yield</t>
  </si>
  <si>
    <t>Atmos Energy Corporation</t>
  </si>
  <si>
    <t>ATO</t>
  </si>
  <si>
    <t/>
  </si>
  <si>
    <t>NiSource Inc.</t>
  </si>
  <si>
    <t>NI</t>
  </si>
  <si>
    <t>ONE Gas, Inc.</t>
  </si>
  <si>
    <t>OGS</t>
  </si>
  <si>
    <t>LNT</t>
  </si>
  <si>
    <t>AEE</t>
  </si>
  <si>
    <t>AEP</t>
  </si>
  <si>
    <t>CNP</t>
  </si>
  <si>
    <t>CMS</t>
  </si>
  <si>
    <t>ED</t>
  </si>
  <si>
    <t>D</t>
  </si>
  <si>
    <t>DTE</t>
  </si>
  <si>
    <t>DUK</t>
  </si>
  <si>
    <t>Edison International</t>
  </si>
  <si>
    <t>EIX</t>
  </si>
  <si>
    <t>ETR</t>
  </si>
  <si>
    <t>Eversource Energy</t>
  </si>
  <si>
    <t>ES</t>
  </si>
  <si>
    <t>EVRG</t>
  </si>
  <si>
    <t>EXC</t>
  </si>
  <si>
    <t>FE</t>
  </si>
  <si>
    <t>NEE</t>
  </si>
  <si>
    <t>PNW</t>
  </si>
  <si>
    <t>PPL</t>
  </si>
  <si>
    <t>PEG</t>
  </si>
  <si>
    <t>SRE</t>
  </si>
  <si>
    <t>SO</t>
  </si>
  <si>
    <t>WEC</t>
  </si>
  <si>
    <t>XEL</t>
  </si>
  <si>
    <t>AWK</t>
  </si>
  <si>
    <t>Mean</t>
  </si>
  <si>
    <t>Median</t>
  </si>
  <si>
    <t>Ticker</t>
  </si>
  <si>
    <t>[4]</t>
  </si>
  <si>
    <t>[5]</t>
  </si>
  <si>
    <t>[6]</t>
  </si>
  <si>
    <t>Shares</t>
  </si>
  <si>
    <t>Market</t>
  </si>
  <si>
    <t>Name</t>
  </si>
  <si>
    <t>Outst'g</t>
  </si>
  <si>
    <t>Price</t>
  </si>
  <si>
    <t>Capitalization</t>
  </si>
  <si>
    <t>Agilent Technologies Inc</t>
  </si>
  <si>
    <t>A</t>
  </si>
  <si>
    <t>Apple Inc</t>
  </si>
  <si>
    <t>AAPL</t>
  </si>
  <si>
    <t>AbbVie Inc</t>
  </si>
  <si>
    <t>ABBV</t>
  </si>
  <si>
    <t>Abbott Laboratories</t>
  </si>
  <si>
    <t>ABT</t>
  </si>
  <si>
    <t>Accenture PLC</t>
  </si>
  <si>
    <t>ACN</t>
  </si>
  <si>
    <t>Adobe Inc</t>
  </si>
  <si>
    <t>ADBE</t>
  </si>
  <si>
    <t>Analog Devices Inc</t>
  </si>
  <si>
    <t>ADI</t>
  </si>
  <si>
    <t>Archer-Daniels-Midland Co</t>
  </si>
  <si>
    <t>ADM</t>
  </si>
  <si>
    <t>Automatic Data Processing Inc</t>
  </si>
  <si>
    <t>ADP</t>
  </si>
  <si>
    <t>Autodesk Inc</t>
  </si>
  <si>
    <t>ADSK</t>
  </si>
  <si>
    <t>Ameren Corp</t>
  </si>
  <si>
    <t>American Electric Power Co Inc</t>
  </si>
  <si>
    <t>AES Corp/The</t>
  </si>
  <si>
    <t>AES</t>
  </si>
  <si>
    <t>Aflac Inc</t>
  </si>
  <si>
    <t>AFL</t>
  </si>
  <si>
    <t>American International Group Inc</t>
  </si>
  <si>
    <t>AIG</t>
  </si>
  <si>
    <t>Assurant Inc</t>
  </si>
  <si>
    <t>AIZ</t>
  </si>
  <si>
    <t>Arthur J Gallagher &amp; Co</t>
  </si>
  <si>
    <t>AJG</t>
  </si>
  <si>
    <t>Akamai Technologies Inc</t>
  </si>
  <si>
    <t>AKAM</t>
  </si>
  <si>
    <t>Albemarle Corp</t>
  </si>
  <si>
    <t>ALB</t>
  </si>
  <si>
    <t>Align Technology Inc</t>
  </si>
  <si>
    <t>ALGN</t>
  </si>
  <si>
    <t>Allstate Corp/The</t>
  </si>
  <si>
    <t>ALL</t>
  </si>
  <si>
    <t>Allegion plc</t>
  </si>
  <si>
    <t>ALLE</t>
  </si>
  <si>
    <t>Applied Materials Inc</t>
  </si>
  <si>
    <t>AMAT</t>
  </si>
  <si>
    <t>Amcor PLC</t>
  </si>
  <si>
    <t>AMCR</t>
  </si>
  <si>
    <t>Advanced Micro Devices Inc</t>
  </si>
  <si>
    <t>AMD</t>
  </si>
  <si>
    <t>AMETEK Inc</t>
  </si>
  <si>
    <t>AME</t>
  </si>
  <si>
    <t>Amgen Inc</t>
  </si>
  <si>
    <t>AMGN</t>
  </si>
  <si>
    <t>Ameriprise Financial Inc</t>
  </si>
  <si>
    <t>AMP</t>
  </si>
  <si>
    <t>American Tower Corp</t>
  </si>
  <si>
    <t>AMT</t>
  </si>
  <si>
    <t>Amazon.com Inc</t>
  </si>
  <si>
    <t>AMZN</t>
  </si>
  <si>
    <t>Arista Networks Inc</t>
  </si>
  <si>
    <t>ANET</t>
  </si>
  <si>
    <t>Aon PLC</t>
  </si>
  <si>
    <t>AON</t>
  </si>
  <si>
    <t>A O Smith Corp</t>
  </si>
  <si>
    <t>AOS</t>
  </si>
  <si>
    <t>APA Corp</t>
  </si>
  <si>
    <t>APA</t>
  </si>
  <si>
    <t>Air Products and Chemicals Inc</t>
  </si>
  <si>
    <t>APD</t>
  </si>
  <si>
    <t>Amphenol Corp</t>
  </si>
  <si>
    <t>APH</t>
  </si>
  <si>
    <t>Aptiv PLC</t>
  </si>
  <si>
    <t>APTV</t>
  </si>
  <si>
    <t>Alexandria Real Estate Equities Inc</t>
  </si>
  <si>
    <t>ARE</t>
  </si>
  <si>
    <t>Atmos Energy Corp</t>
  </si>
  <si>
    <t>AvalonBay Communities Inc</t>
  </si>
  <si>
    <t>AVB</t>
  </si>
  <si>
    <t>Broadcom Inc</t>
  </si>
  <si>
    <t>AVGO</t>
  </si>
  <si>
    <t>Avery Dennison Corp</t>
  </si>
  <si>
    <t>AVY</t>
  </si>
  <si>
    <t>American Water Works Co Inc</t>
  </si>
  <si>
    <t>American Express Co</t>
  </si>
  <si>
    <t>AXP</t>
  </si>
  <si>
    <t>AutoZone Inc</t>
  </si>
  <si>
    <t>AZO</t>
  </si>
  <si>
    <t>Boeing Co/The</t>
  </si>
  <si>
    <t>BA</t>
  </si>
  <si>
    <t>Bank of America Corp</t>
  </si>
  <si>
    <t>BAC</t>
  </si>
  <si>
    <t>Baxter International Inc</t>
  </si>
  <si>
    <t>BAX</t>
  </si>
  <si>
    <t>Best Buy Co Inc</t>
  </si>
  <si>
    <t>BBY</t>
  </si>
  <si>
    <t>BDX</t>
  </si>
  <si>
    <t>Franklin Resources Inc</t>
  </si>
  <si>
    <t>BEN</t>
  </si>
  <si>
    <t>Brown-Forman Corp</t>
  </si>
  <si>
    <t>BF/B</t>
  </si>
  <si>
    <t>Biogen Inc</t>
  </si>
  <si>
    <t>BIIB</t>
  </si>
  <si>
    <t>Bank of New York Mellon Corp/The</t>
  </si>
  <si>
    <t>Booking Holdings Inc</t>
  </si>
  <si>
    <t>BKNG</t>
  </si>
  <si>
    <t>Baker Hughes Co</t>
  </si>
  <si>
    <t>BKR</t>
  </si>
  <si>
    <t>BLK</t>
  </si>
  <si>
    <t>Ball Corp</t>
  </si>
  <si>
    <t>Bristol-Myers Squibb Co</t>
  </si>
  <si>
    <t>BMY</t>
  </si>
  <si>
    <t>Broadridge Financial Solutions Inc</t>
  </si>
  <si>
    <t>BR</t>
  </si>
  <si>
    <t>Berkshire Hathaway Inc</t>
  </si>
  <si>
    <t>BRK/B</t>
  </si>
  <si>
    <t>Brown &amp; Brown Inc</t>
  </si>
  <si>
    <t>BRO</t>
  </si>
  <si>
    <t>Boston Scientific Corp</t>
  </si>
  <si>
    <t>BSX</t>
  </si>
  <si>
    <t>BXP</t>
  </si>
  <si>
    <t>Citigroup Inc</t>
  </si>
  <si>
    <t>C</t>
  </si>
  <si>
    <t>Cardinal Health Inc</t>
  </si>
  <si>
    <t>CAH</t>
  </si>
  <si>
    <t>Carrier Global Corp</t>
  </si>
  <si>
    <t>CARR</t>
  </si>
  <si>
    <t>Caterpillar Inc</t>
  </si>
  <si>
    <t>CAT</t>
  </si>
  <si>
    <t>Chubb Ltd</t>
  </si>
  <si>
    <t>CB</t>
  </si>
  <si>
    <t>Cboe Global Markets Inc</t>
  </si>
  <si>
    <t>CBOE</t>
  </si>
  <si>
    <t>CBRE Group Inc</t>
  </si>
  <si>
    <t>CBRE</t>
  </si>
  <si>
    <t>CCI</t>
  </si>
  <si>
    <t>CCL</t>
  </si>
  <si>
    <t>Cadence Design Systems Inc</t>
  </si>
  <si>
    <t>CDNS</t>
  </si>
  <si>
    <t>CDW Corp/DE</t>
  </si>
  <si>
    <t>CDW</t>
  </si>
  <si>
    <t>CEG</t>
  </si>
  <si>
    <t>CF Industries Holdings Inc</t>
  </si>
  <si>
    <t>CF</t>
  </si>
  <si>
    <t>Citizens Financial Group Inc</t>
  </si>
  <si>
    <t>CFG</t>
  </si>
  <si>
    <t>Church &amp; Dwight Co Inc</t>
  </si>
  <si>
    <t>CHD</t>
  </si>
  <si>
    <t>CH Robinson Worldwide Inc</t>
  </si>
  <si>
    <t>CHRW</t>
  </si>
  <si>
    <t>Charter Communications Inc</t>
  </si>
  <si>
    <t>CHTR</t>
  </si>
  <si>
    <t>CI</t>
  </si>
  <si>
    <t>Cincinnati Financial Corp</t>
  </si>
  <si>
    <t>CINF</t>
  </si>
  <si>
    <t>Colgate-Palmolive Co</t>
  </si>
  <si>
    <t>CL</t>
  </si>
  <si>
    <t>Clorox Co/The</t>
  </si>
  <si>
    <t>CLX</t>
  </si>
  <si>
    <t>Comcast Corp</t>
  </si>
  <si>
    <t>CMCSA</t>
  </si>
  <si>
    <t>CME Group Inc</t>
  </si>
  <si>
    <t>CME</t>
  </si>
  <si>
    <t>Chipotle Mexican Grill Inc</t>
  </si>
  <si>
    <t>CMG</t>
  </si>
  <si>
    <t>Cummins Inc</t>
  </si>
  <si>
    <t>CMI</t>
  </si>
  <si>
    <t>CMS Energy Corp</t>
  </si>
  <si>
    <t>Centene Corp</t>
  </si>
  <si>
    <t>CNC</t>
  </si>
  <si>
    <t>CenterPoint Energy Inc</t>
  </si>
  <si>
    <t>Capital One Financial Corp</t>
  </si>
  <si>
    <t>COF</t>
  </si>
  <si>
    <t>Cooper Cos Inc/The</t>
  </si>
  <si>
    <t>COO</t>
  </si>
  <si>
    <t>ConocoPhillips</t>
  </si>
  <si>
    <t>COP</t>
  </si>
  <si>
    <t>Costco Wholesale Corp</t>
  </si>
  <si>
    <t>COST</t>
  </si>
  <si>
    <t>Copart Inc</t>
  </si>
  <si>
    <t>CPRT</t>
  </si>
  <si>
    <t>Charles River Laboratories International Inc</t>
  </si>
  <si>
    <t>CRL</t>
  </si>
  <si>
    <t>CRM</t>
  </si>
  <si>
    <t>CSCO</t>
  </si>
  <si>
    <t>CSX Corp</t>
  </si>
  <si>
    <t>CSX</t>
  </si>
  <si>
    <t>Cintas Corp</t>
  </si>
  <si>
    <t>CTAS</t>
  </si>
  <si>
    <t>Cognizant Technology Solutions Corp</t>
  </si>
  <si>
    <t>CTSH</t>
  </si>
  <si>
    <t>Corteva Inc</t>
  </si>
  <si>
    <t>CTVA</t>
  </si>
  <si>
    <t>CVS Health Corp</t>
  </si>
  <si>
    <t>CVS</t>
  </si>
  <si>
    <t>Chevron Corp</t>
  </si>
  <si>
    <t>CVX</t>
  </si>
  <si>
    <t>Dominion Energy Inc</t>
  </si>
  <si>
    <t>Delta Air Lines Inc</t>
  </si>
  <si>
    <t>DAL</t>
  </si>
  <si>
    <t>DuPont de Nemours Inc</t>
  </si>
  <si>
    <t>DD</t>
  </si>
  <si>
    <t>Deere &amp; Co</t>
  </si>
  <si>
    <t>DE</t>
  </si>
  <si>
    <t>Dollar General Corp</t>
  </si>
  <si>
    <t>DG</t>
  </si>
  <si>
    <t>Quest Diagnostics Inc</t>
  </si>
  <si>
    <t>DGX</t>
  </si>
  <si>
    <t>DR Horton Inc</t>
  </si>
  <si>
    <t>DHI</t>
  </si>
  <si>
    <t>Danaher Corp</t>
  </si>
  <si>
    <t>DHR</t>
  </si>
  <si>
    <t>Walt Disney Co/The</t>
  </si>
  <si>
    <t>DIS</t>
  </si>
  <si>
    <t>Digital Realty Trust Inc</t>
  </si>
  <si>
    <t>DLR</t>
  </si>
  <si>
    <t>Dollar Tree Inc</t>
  </si>
  <si>
    <t>DLTR</t>
  </si>
  <si>
    <t>Dover Corp</t>
  </si>
  <si>
    <t>DOV</t>
  </si>
  <si>
    <t>Dow Inc</t>
  </si>
  <si>
    <t>DOW</t>
  </si>
  <si>
    <t>Domino's Pizza Inc</t>
  </si>
  <si>
    <t>DPZ</t>
  </si>
  <si>
    <t>Darden Restaurants Inc</t>
  </si>
  <si>
    <t>DRI</t>
  </si>
  <si>
    <t>DTE Energy Co</t>
  </si>
  <si>
    <t>Duke Energy Corp</t>
  </si>
  <si>
    <t>DaVita Inc</t>
  </si>
  <si>
    <t>DVA</t>
  </si>
  <si>
    <t>Devon Energy Corp</t>
  </si>
  <si>
    <t>DVN</t>
  </si>
  <si>
    <t>Dexcom Inc</t>
  </si>
  <si>
    <t>DXCM</t>
  </si>
  <si>
    <t>Electronic Arts Inc</t>
  </si>
  <si>
    <t>EA</t>
  </si>
  <si>
    <t>eBay Inc</t>
  </si>
  <si>
    <t>EBAY</t>
  </si>
  <si>
    <t>Ecolab Inc</t>
  </si>
  <si>
    <t>ECL</t>
  </si>
  <si>
    <t>Consolidated Edison Inc</t>
  </si>
  <si>
    <t>Equifax Inc</t>
  </si>
  <si>
    <t>EFX</t>
  </si>
  <si>
    <t>Estee Lauder Cos Inc/The</t>
  </si>
  <si>
    <t>EL</t>
  </si>
  <si>
    <t>Emerson Electric Co</t>
  </si>
  <si>
    <t>EMR</t>
  </si>
  <si>
    <t>EOG Resources Inc</t>
  </si>
  <si>
    <t>EOG</t>
  </si>
  <si>
    <t>Equinix Inc</t>
  </si>
  <si>
    <t>EQIX</t>
  </si>
  <si>
    <t>Equity Residential</t>
  </si>
  <si>
    <t>EQR</t>
  </si>
  <si>
    <t>Essex Property Trust Inc</t>
  </si>
  <si>
    <t>ESS</t>
  </si>
  <si>
    <t>Eaton Corp PLC</t>
  </si>
  <si>
    <t>ETN</t>
  </si>
  <si>
    <t>Entergy Corp</t>
  </si>
  <si>
    <t>Evergy Inc</t>
  </si>
  <si>
    <t>Edwards Lifesciences Corp</t>
  </si>
  <si>
    <t>EW</t>
  </si>
  <si>
    <t>Exelon Corp</t>
  </si>
  <si>
    <t>Expeditors International of Washington Inc</t>
  </si>
  <si>
    <t>EXPD</t>
  </si>
  <si>
    <t>Expedia Group Inc</t>
  </si>
  <si>
    <t>EXPE</t>
  </si>
  <si>
    <t>Extra Space Storage Inc</t>
  </si>
  <si>
    <t>EXR</t>
  </si>
  <si>
    <t>Ford Motor Co</t>
  </si>
  <si>
    <t>F</t>
  </si>
  <si>
    <t>Diamondback Energy Inc</t>
  </si>
  <si>
    <t>FANG</t>
  </si>
  <si>
    <t>Fastenal Co</t>
  </si>
  <si>
    <t>FAST</t>
  </si>
  <si>
    <t>Meta Platforms Inc</t>
  </si>
  <si>
    <t>Freeport-McMoRan Inc</t>
  </si>
  <si>
    <t>FCX</t>
  </si>
  <si>
    <t>FactSet Research Systems Inc</t>
  </si>
  <si>
    <t>FDS</t>
  </si>
  <si>
    <t>FedEx Corp</t>
  </si>
  <si>
    <t>FDX</t>
  </si>
  <si>
    <t>FirstEnergy Corp</t>
  </si>
  <si>
    <t>F5 Inc</t>
  </si>
  <si>
    <t>FFIV</t>
  </si>
  <si>
    <t>Fidelity National Information Services Inc</t>
  </si>
  <si>
    <t>FIS</t>
  </si>
  <si>
    <t>Fiserv Inc</t>
  </si>
  <si>
    <t>Fifth Third Bancorp</t>
  </si>
  <si>
    <t>FITB</t>
  </si>
  <si>
    <t>Fox Corp</t>
  </si>
  <si>
    <t>FOX</t>
  </si>
  <si>
    <t>FOXA</t>
  </si>
  <si>
    <t>Federal Realty Investment Trust</t>
  </si>
  <si>
    <t>FRT</t>
  </si>
  <si>
    <t>Fortinet Inc</t>
  </si>
  <si>
    <t>FTNT</t>
  </si>
  <si>
    <t>Fortive Corp</t>
  </si>
  <si>
    <t>FTV</t>
  </si>
  <si>
    <t>General Dynamics Corp</t>
  </si>
  <si>
    <t>GD</t>
  </si>
  <si>
    <t>General Electric Co</t>
  </si>
  <si>
    <t>GE</t>
  </si>
  <si>
    <t>Gilead Sciences Inc</t>
  </si>
  <si>
    <t>GILD</t>
  </si>
  <si>
    <t>General Mills Inc</t>
  </si>
  <si>
    <t>GIS</t>
  </si>
  <si>
    <t>Globe Life Inc</t>
  </si>
  <si>
    <t>GL</t>
  </si>
  <si>
    <t>Corning Inc</t>
  </si>
  <si>
    <t>GLW</t>
  </si>
  <si>
    <t>General Motors Co</t>
  </si>
  <si>
    <t>GM</t>
  </si>
  <si>
    <t>Generac Holdings Inc</t>
  </si>
  <si>
    <t>GNRC</t>
  </si>
  <si>
    <t>Alphabet Inc</t>
  </si>
  <si>
    <t>GOOG</t>
  </si>
  <si>
    <t>GOOGL</t>
  </si>
  <si>
    <t>Genuine Parts Co</t>
  </si>
  <si>
    <t>GPC</t>
  </si>
  <si>
    <t>Global Payments Inc</t>
  </si>
  <si>
    <t>GPN</t>
  </si>
  <si>
    <t>Garmin Ltd</t>
  </si>
  <si>
    <t>GRMN</t>
  </si>
  <si>
    <t>Goldman Sachs Group Inc/The</t>
  </si>
  <si>
    <t>GS</t>
  </si>
  <si>
    <t>WW Grainger Inc</t>
  </si>
  <si>
    <t>GWW</t>
  </si>
  <si>
    <t>Halliburton Co</t>
  </si>
  <si>
    <t>HAL</t>
  </si>
  <si>
    <t>Hasbro Inc</t>
  </si>
  <si>
    <t>HAS</t>
  </si>
  <si>
    <t>Huntington Bancshares Inc/OH</t>
  </si>
  <si>
    <t>HBAN</t>
  </si>
  <si>
    <t>HCA Healthcare Inc</t>
  </si>
  <si>
    <t>HCA</t>
  </si>
  <si>
    <t>Home Depot Inc/The</t>
  </si>
  <si>
    <t>HD</t>
  </si>
  <si>
    <t>HIG</t>
  </si>
  <si>
    <t>Huntington Ingalls Industries Inc</t>
  </si>
  <si>
    <t>HII</t>
  </si>
  <si>
    <t>Hilton Worldwide Holdings Inc</t>
  </si>
  <si>
    <t>HLT</t>
  </si>
  <si>
    <t>Honeywell International Inc</t>
  </si>
  <si>
    <t>HON</t>
  </si>
  <si>
    <t>Hewlett Packard Enterprise Co</t>
  </si>
  <si>
    <t>HPE</t>
  </si>
  <si>
    <t>HP Inc</t>
  </si>
  <si>
    <t>HPQ</t>
  </si>
  <si>
    <t>Hormel Foods Corp</t>
  </si>
  <si>
    <t>HRL</t>
  </si>
  <si>
    <t>Henry Schein Inc</t>
  </si>
  <si>
    <t>HSIC</t>
  </si>
  <si>
    <t>Host Hotels &amp; Resorts Inc</t>
  </si>
  <si>
    <t>HST</t>
  </si>
  <si>
    <t>Hershey Co/The</t>
  </si>
  <si>
    <t>HSY</t>
  </si>
  <si>
    <t>Humana Inc</t>
  </si>
  <si>
    <t>HUM</t>
  </si>
  <si>
    <t>Howmet Aerospace Inc</t>
  </si>
  <si>
    <t>HWM</t>
  </si>
  <si>
    <t>International Business Machines Corp</t>
  </si>
  <si>
    <t>IBM</t>
  </si>
  <si>
    <t>Intercontinental Exchange Inc</t>
  </si>
  <si>
    <t>ICE</t>
  </si>
  <si>
    <t>IDEXX Laboratories Inc</t>
  </si>
  <si>
    <t>IDXX</t>
  </si>
  <si>
    <t>IDEX Corp</t>
  </si>
  <si>
    <t>IEX</t>
  </si>
  <si>
    <t>International Flavors &amp; Fragrances Inc</t>
  </si>
  <si>
    <t>IFF</t>
  </si>
  <si>
    <t>Incyte Corp</t>
  </si>
  <si>
    <t>INCY</t>
  </si>
  <si>
    <t>Intel Corp</t>
  </si>
  <si>
    <t>INTC</t>
  </si>
  <si>
    <t>Intuit Inc</t>
  </si>
  <si>
    <t>INTU</t>
  </si>
  <si>
    <t>International Paper Co</t>
  </si>
  <si>
    <t>IP</t>
  </si>
  <si>
    <t>IQVIA Holdings Inc</t>
  </si>
  <si>
    <t>IQV</t>
  </si>
  <si>
    <t>Ingersoll Rand Inc</t>
  </si>
  <si>
    <t>IR</t>
  </si>
  <si>
    <t>Iron Mountain Inc</t>
  </si>
  <si>
    <t>IRM</t>
  </si>
  <si>
    <t>Intuitive Surgical Inc</t>
  </si>
  <si>
    <t>ISRG</t>
  </si>
  <si>
    <t>Gartner Inc</t>
  </si>
  <si>
    <t>IT</t>
  </si>
  <si>
    <t>Illinois Tool Works Inc</t>
  </si>
  <si>
    <t>ITW</t>
  </si>
  <si>
    <t>Invesco Ltd</t>
  </si>
  <si>
    <t>IVZ</t>
  </si>
  <si>
    <t>J</t>
  </si>
  <si>
    <t>JB Hunt Transport Services Inc</t>
  </si>
  <si>
    <t>JBHT</t>
  </si>
  <si>
    <t>Johnson Controls International plc</t>
  </si>
  <si>
    <t>JCI</t>
  </si>
  <si>
    <t>Jack Henry &amp; Associates Inc</t>
  </si>
  <si>
    <t>JKHY</t>
  </si>
  <si>
    <t>Johnson &amp; Johnson</t>
  </si>
  <si>
    <t>JNJ</t>
  </si>
  <si>
    <t>JPMorgan Chase &amp; Co</t>
  </si>
  <si>
    <t>JPM</t>
  </si>
  <si>
    <t>KeyCorp</t>
  </si>
  <si>
    <t>KEY</t>
  </si>
  <si>
    <t>Keysight Technologies Inc</t>
  </si>
  <si>
    <t>KEYS</t>
  </si>
  <si>
    <t>Kraft Heinz Co/The</t>
  </si>
  <si>
    <t>KHC</t>
  </si>
  <si>
    <t>Kimco Realty Corp</t>
  </si>
  <si>
    <t>KIM</t>
  </si>
  <si>
    <t>KLA Corp</t>
  </si>
  <si>
    <t>KLAC</t>
  </si>
  <si>
    <t>Kimberly-Clark Corp</t>
  </si>
  <si>
    <t>KMB</t>
  </si>
  <si>
    <t>Kinder Morgan Inc</t>
  </si>
  <si>
    <t>KMI</t>
  </si>
  <si>
    <t>Coca-Cola Co/The</t>
  </si>
  <si>
    <t>KO</t>
  </si>
  <si>
    <t>Kroger Co/The</t>
  </si>
  <si>
    <t>KR</t>
  </si>
  <si>
    <t>Loews Corp</t>
  </si>
  <si>
    <t>L</t>
  </si>
  <si>
    <t>Leidos Holdings Inc</t>
  </si>
  <si>
    <t>LDOS</t>
  </si>
  <si>
    <t>Lennar Corp</t>
  </si>
  <si>
    <t>LEN</t>
  </si>
  <si>
    <t>LH</t>
  </si>
  <si>
    <t>L3Harris Technologies Inc</t>
  </si>
  <si>
    <t>LHX</t>
  </si>
  <si>
    <t>Linde PLC</t>
  </si>
  <si>
    <t>LIN</t>
  </si>
  <si>
    <t>Eli Lilly &amp; Co</t>
  </si>
  <si>
    <t>LLY</t>
  </si>
  <si>
    <t>Lockheed Martin Corp</t>
  </si>
  <si>
    <t>LMT</t>
  </si>
  <si>
    <t>Alliant Energy Corp</t>
  </si>
  <si>
    <t>Lowe's Cos Inc</t>
  </si>
  <si>
    <t>LOW</t>
  </si>
  <si>
    <t>Lam Research Corp</t>
  </si>
  <si>
    <t>LRCX</t>
  </si>
  <si>
    <t>Southwest Airlines Co</t>
  </si>
  <si>
    <t>LUV</t>
  </si>
  <si>
    <t>Las Vegas Sands Corp</t>
  </si>
  <si>
    <t>LVS</t>
  </si>
  <si>
    <t>LyondellBasell Industries NV</t>
  </si>
  <si>
    <t>LYB</t>
  </si>
  <si>
    <t>Live Nation Entertainment Inc</t>
  </si>
  <si>
    <t>LYV</t>
  </si>
  <si>
    <t>Mastercard Inc</t>
  </si>
  <si>
    <t>MA</t>
  </si>
  <si>
    <t>Mid-America Apartment Communities Inc</t>
  </si>
  <si>
    <t>MAA</t>
  </si>
  <si>
    <t>Marriott International Inc/MD</t>
  </si>
  <si>
    <t>MAR</t>
  </si>
  <si>
    <t>Masco Corp</t>
  </si>
  <si>
    <t>MAS</t>
  </si>
  <si>
    <t>McDonald's Corp</t>
  </si>
  <si>
    <t>MCD</t>
  </si>
  <si>
    <t>Microchip Technology Inc</t>
  </si>
  <si>
    <t>MCHP</t>
  </si>
  <si>
    <t>McKesson Corp</t>
  </si>
  <si>
    <t>MCK</t>
  </si>
  <si>
    <t>Moody's Corp</t>
  </si>
  <si>
    <t>MCO</t>
  </si>
  <si>
    <t>Mondelez International Inc</t>
  </si>
  <si>
    <t>MDLZ</t>
  </si>
  <si>
    <t>Medtronic PLC</t>
  </si>
  <si>
    <t>MDT</t>
  </si>
  <si>
    <t>MetLife Inc</t>
  </si>
  <si>
    <t>MET</t>
  </si>
  <si>
    <t>MGM Resorts International</t>
  </si>
  <si>
    <t>MGM</t>
  </si>
  <si>
    <t>McCormick &amp; Co Inc/MD</t>
  </si>
  <si>
    <t>MKC</t>
  </si>
  <si>
    <t>Martin Marietta Materials Inc</t>
  </si>
  <si>
    <t>MLM</t>
  </si>
  <si>
    <t>Marsh &amp; McLennan Cos Inc</t>
  </si>
  <si>
    <t>3M Co</t>
  </si>
  <si>
    <t>MMM</t>
  </si>
  <si>
    <t>Monster Beverage Corp</t>
  </si>
  <si>
    <t>MNST</t>
  </si>
  <si>
    <t>Altria Group Inc</t>
  </si>
  <si>
    <t>MO</t>
  </si>
  <si>
    <t>Mosaic Co/The</t>
  </si>
  <si>
    <t>MOS</t>
  </si>
  <si>
    <t>Marathon Petroleum Corp</t>
  </si>
  <si>
    <t>MPC</t>
  </si>
  <si>
    <t>Monolithic Power Systems Inc</t>
  </si>
  <si>
    <t>MPWR</t>
  </si>
  <si>
    <t>Merck &amp; Co Inc</t>
  </si>
  <si>
    <t>MRK</t>
  </si>
  <si>
    <t>Moderna Inc</t>
  </si>
  <si>
    <t>MRNA</t>
  </si>
  <si>
    <t>Morgan Stanley</t>
  </si>
  <si>
    <t>MS</t>
  </si>
  <si>
    <t>MSCI Inc</t>
  </si>
  <si>
    <t>MSCI</t>
  </si>
  <si>
    <t>Microsoft Corp</t>
  </si>
  <si>
    <t>MSFT</t>
  </si>
  <si>
    <t>Motorola Solutions Inc</t>
  </si>
  <si>
    <t>MSI</t>
  </si>
  <si>
    <t>M&amp;T Bank Corp</t>
  </si>
  <si>
    <t>MTB</t>
  </si>
  <si>
    <t>Mettler-Toledo International Inc</t>
  </si>
  <si>
    <t>MTD</t>
  </si>
  <si>
    <t>Micron Technology Inc</t>
  </si>
  <si>
    <t>MU</t>
  </si>
  <si>
    <t>Norwegian Cruise Line Holdings Ltd</t>
  </si>
  <si>
    <t>NCLH</t>
  </si>
  <si>
    <t>Nasdaq Inc</t>
  </si>
  <si>
    <t>NDAQ</t>
  </si>
  <si>
    <t>NextEra Energy Inc</t>
  </si>
  <si>
    <t>Newmont Corp</t>
  </si>
  <si>
    <t>NEM</t>
  </si>
  <si>
    <t>Netflix Inc</t>
  </si>
  <si>
    <t>NFLX</t>
  </si>
  <si>
    <t>NDSN</t>
  </si>
  <si>
    <t>NiSource Inc</t>
  </si>
  <si>
    <t>NIKE Inc</t>
  </si>
  <si>
    <t>NKE</t>
  </si>
  <si>
    <t>Northrop Grumman Corp</t>
  </si>
  <si>
    <t>NOC</t>
  </si>
  <si>
    <t>ServiceNow Inc</t>
  </si>
  <si>
    <t>NOW</t>
  </si>
  <si>
    <t>NRG Energy Inc</t>
  </si>
  <si>
    <t>NRG</t>
  </si>
  <si>
    <t>Norfolk Southern Corp</t>
  </si>
  <si>
    <t>NSC</t>
  </si>
  <si>
    <t>NetApp Inc</t>
  </si>
  <si>
    <t>NTAP</t>
  </si>
  <si>
    <t>Northern Trust Corp</t>
  </si>
  <si>
    <t>NTRS</t>
  </si>
  <si>
    <t>Nucor Corp</t>
  </si>
  <si>
    <t>NUE</t>
  </si>
  <si>
    <t>NVIDIA Corp</t>
  </si>
  <si>
    <t>NVDA</t>
  </si>
  <si>
    <t>NVR Inc</t>
  </si>
  <si>
    <t>NVR</t>
  </si>
  <si>
    <t>News Corp</t>
  </si>
  <si>
    <t>NWS</t>
  </si>
  <si>
    <t>NWSA</t>
  </si>
  <si>
    <t>NXP Semiconductors NV</t>
  </si>
  <si>
    <t>NXPI</t>
  </si>
  <si>
    <t>Realty Income Corp</t>
  </si>
  <si>
    <t>O</t>
  </si>
  <si>
    <t>Old Dominion Freight Line Inc</t>
  </si>
  <si>
    <t>ODFL</t>
  </si>
  <si>
    <t>ONEOK Inc</t>
  </si>
  <si>
    <t>OKE</t>
  </si>
  <si>
    <t>Omnicom Group Inc</t>
  </si>
  <si>
    <t>OMC</t>
  </si>
  <si>
    <t>Oracle Corp</t>
  </si>
  <si>
    <t>ORCL</t>
  </si>
  <si>
    <t>O'Reilly Automotive Inc</t>
  </si>
  <si>
    <t>ORLY</t>
  </si>
  <si>
    <t>Otis Worldwide Corp</t>
  </si>
  <si>
    <t>OTIS</t>
  </si>
  <si>
    <t>Occidental Petroleum Corp</t>
  </si>
  <si>
    <t>OXY</t>
  </si>
  <si>
    <t>Paychex Inc</t>
  </si>
  <si>
    <t>PAYX</t>
  </si>
  <si>
    <t>PACCAR Inc</t>
  </si>
  <si>
    <t>PCAR</t>
  </si>
  <si>
    <t>Healthpeak Properties Inc</t>
  </si>
  <si>
    <t>Public Service Enterprise Group Inc</t>
  </si>
  <si>
    <t>PepsiCo Inc</t>
  </si>
  <si>
    <t>PEP</t>
  </si>
  <si>
    <t>Pfizer Inc</t>
  </si>
  <si>
    <t>PFE</t>
  </si>
  <si>
    <t>Principal Financial Group Inc</t>
  </si>
  <si>
    <t>PFG</t>
  </si>
  <si>
    <t>Procter &amp; Gamble Co/The</t>
  </si>
  <si>
    <t>PG</t>
  </si>
  <si>
    <t>Progressive Corp/The</t>
  </si>
  <si>
    <t>PGR</t>
  </si>
  <si>
    <t>Parker-Hannifin Corp</t>
  </si>
  <si>
    <t>PH</t>
  </si>
  <si>
    <t>PulteGroup Inc</t>
  </si>
  <si>
    <t>PHM</t>
  </si>
  <si>
    <t>Packaging Corp of America</t>
  </si>
  <si>
    <t>PKG</t>
  </si>
  <si>
    <t>Prologis Inc</t>
  </si>
  <si>
    <t>PLD</t>
  </si>
  <si>
    <t>Philip Morris International Inc</t>
  </si>
  <si>
    <t>PM</t>
  </si>
  <si>
    <t>PNC Financial Services Group Inc/The</t>
  </si>
  <si>
    <t>PNC</t>
  </si>
  <si>
    <t>Pentair PLC</t>
  </si>
  <si>
    <t>PNR</t>
  </si>
  <si>
    <t>Pinnacle West Capital Corp</t>
  </si>
  <si>
    <t>PPG Industries Inc</t>
  </si>
  <si>
    <t>PPG</t>
  </si>
  <si>
    <t>PPL Corp</t>
  </si>
  <si>
    <t>Prudential Financial Inc</t>
  </si>
  <si>
    <t>PRU</t>
  </si>
  <si>
    <t>Public Storage</t>
  </si>
  <si>
    <t>PSA</t>
  </si>
  <si>
    <t>Phillips 66</t>
  </si>
  <si>
    <t>PSX</t>
  </si>
  <si>
    <t>PTC Inc</t>
  </si>
  <si>
    <t>PTC</t>
  </si>
  <si>
    <t>Quanta Services Inc</t>
  </si>
  <si>
    <t>PWR</t>
  </si>
  <si>
    <t>PayPal Holdings Inc</t>
  </si>
  <si>
    <t>PYPL</t>
  </si>
  <si>
    <t>QUALCOMM Inc</t>
  </si>
  <si>
    <t>QCOM</t>
  </si>
  <si>
    <t>Royal Caribbean Cruises Ltd</t>
  </si>
  <si>
    <t>RCL</t>
  </si>
  <si>
    <t>Regency Centers Corp</t>
  </si>
  <si>
    <t>REG</t>
  </si>
  <si>
    <t>Regeneron Pharmaceuticals Inc</t>
  </si>
  <si>
    <t>REGN</t>
  </si>
  <si>
    <t>Regions Financial Corp</t>
  </si>
  <si>
    <t>RF</t>
  </si>
  <si>
    <t>Raymond James Financial Inc</t>
  </si>
  <si>
    <t>RJF</t>
  </si>
  <si>
    <t>Ralph Lauren Corp</t>
  </si>
  <si>
    <t>RL</t>
  </si>
  <si>
    <t>ResMed Inc</t>
  </si>
  <si>
    <t>RMD</t>
  </si>
  <si>
    <t>Rockwell Automation Inc</t>
  </si>
  <si>
    <t>ROK</t>
  </si>
  <si>
    <t>Rollins Inc</t>
  </si>
  <si>
    <t>ROL</t>
  </si>
  <si>
    <t>Roper Technologies Inc</t>
  </si>
  <si>
    <t>ROP</t>
  </si>
  <si>
    <t>Ross Stores Inc</t>
  </si>
  <si>
    <t>ROST</t>
  </si>
  <si>
    <t>Republic Services Inc</t>
  </si>
  <si>
    <t>RSG</t>
  </si>
  <si>
    <t>RTX</t>
  </si>
  <si>
    <t>SBA Communications Corp</t>
  </si>
  <si>
    <t>SBAC</t>
  </si>
  <si>
    <t>Starbucks Corp</t>
  </si>
  <si>
    <t>SBUX</t>
  </si>
  <si>
    <t>Charles Schwab Corp/The</t>
  </si>
  <si>
    <t>SCHW</t>
  </si>
  <si>
    <t>Sherwin-Williams Co/The</t>
  </si>
  <si>
    <t>SHW</t>
  </si>
  <si>
    <t>J M Smucker Co/The</t>
  </si>
  <si>
    <t>SJM</t>
  </si>
  <si>
    <t>SLB</t>
  </si>
  <si>
    <t>Snap-on Inc</t>
  </si>
  <si>
    <t>SNA</t>
  </si>
  <si>
    <t>Synopsys Inc</t>
  </si>
  <si>
    <t>SNPS</t>
  </si>
  <si>
    <t>Southern Co/The</t>
  </si>
  <si>
    <t>Simon Property Group Inc</t>
  </si>
  <si>
    <t>SPG</t>
  </si>
  <si>
    <t>S&amp;P Global Inc</t>
  </si>
  <si>
    <t>SPGI</t>
  </si>
  <si>
    <t>STERIS PLC</t>
  </si>
  <si>
    <t>STE</t>
  </si>
  <si>
    <t>State Street Corp</t>
  </si>
  <si>
    <t>STT</t>
  </si>
  <si>
    <t>Seagate Technology Holdings PLC</t>
  </si>
  <si>
    <t>STX</t>
  </si>
  <si>
    <t>Constellation Brands Inc</t>
  </si>
  <si>
    <t>STZ</t>
  </si>
  <si>
    <t>Stanley Black &amp; Decker Inc</t>
  </si>
  <si>
    <t>SWK</t>
  </si>
  <si>
    <t>Skyworks Solutions Inc</t>
  </si>
  <si>
    <t>SWKS</t>
  </si>
  <si>
    <t>Synchrony Financial</t>
  </si>
  <si>
    <t>SYF</t>
  </si>
  <si>
    <t>Stryker Corp</t>
  </si>
  <si>
    <t>SYK</t>
  </si>
  <si>
    <t>Sysco Corp</t>
  </si>
  <si>
    <t>SYY</t>
  </si>
  <si>
    <t>AT&amp;T Inc</t>
  </si>
  <si>
    <t>T</t>
  </si>
  <si>
    <t>Molson Coors Beverage Co</t>
  </si>
  <si>
    <t>TAP</t>
  </si>
  <si>
    <t>TransDigm Group Inc</t>
  </si>
  <si>
    <t>TDG</t>
  </si>
  <si>
    <t>Teledyne Technologies Inc</t>
  </si>
  <si>
    <t>TDY</t>
  </si>
  <si>
    <t>Bio-Techne Corp</t>
  </si>
  <si>
    <t>TECH</t>
  </si>
  <si>
    <t>TEL</t>
  </si>
  <si>
    <t>Teradyne Inc</t>
  </si>
  <si>
    <t>TER</t>
  </si>
  <si>
    <t>Truist Financial Corp</t>
  </si>
  <si>
    <t>TFC</t>
  </si>
  <si>
    <t>Target Corp</t>
  </si>
  <si>
    <t>TGT</t>
  </si>
  <si>
    <t>TJX Cos Inc/The</t>
  </si>
  <si>
    <t>TJX</t>
  </si>
  <si>
    <t>Thermo Fisher Scientific Inc</t>
  </si>
  <si>
    <t>TMO</t>
  </si>
  <si>
    <t>T-Mobile US Inc</t>
  </si>
  <si>
    <t>TMUS</t>
  </si>
  <si>
    <t>Tapestry Inc</t>
  </si>
  <si>
    <t>TPR</t>
  </si>
  <si>
    <t>Trimble Inc</t>
  </si>
  <si>
    <t>TRMB</t>
  </si>
  <si>
    <t>T Rowe Price Group Inc</t>
  </si>
  <si>
    <t>TROW</t>
  </si>
  <si>
    <t>Travelers Cos Inc/The</t>
  </si>
  <si>
    <t>TRV</t>
  </si>
  <si>
    <t>Tractor Supply Co</t>
  </si>
  <si>
    <t>TSCO</t>
  </si>
  <si>
    <t>Tesla Inc</t>
  </si>
  <si>
    <t>TSLA</t>
  </si>
  <si>
    <t>Tyson Foods Inc</t>
  </si>
  <si>
    <t>TSN</t>
  </si>
  <si>
    <t>Trane Technologies PLC</t>
  </si>
  <si>
    <t>TT</t>
  </si>
  <si>
    <t>Take-Two Interactive Software Inc</t>
  </si>
  <si>
    <t>TTWO</t>
  </si>
  <si>
    <t>Texas Instruments Inc</t>
  </si>
  <si>
    <t>TXN</t>
  </si>
  <si>
    <t>Textron Inc</t>
  </si>
  <si>
    <t>TXT</t>
  </si>
  <si>
    <t>Tyler Technologies Inc</t>
  </si>
  <si>
    <t>TYL</t>
  </si>
  <si>
    <t>United Airlines Holdings Inc</t>
  </si>
  <si>
    <t>UAL</t>
  </si>
  <si>
    <t>UDR Inc</t>
  </si>
  <si>
    <t>UDR</t>
  </si>
  <si>
    <t>Universal Health Services Inc</t>
  </si>
  <si>
    <t>UHS</t>
  </si>
  <si>
    <t>Ulta Beauty Inc</t>
  </si>
  <si>
    <t>ULTA</t>
  </si>
  <si>
    <t>UnitedHealth Group Inc</t>
  </si>
  <si>
    <t>UNH</t>
  </si>
  <si>
    <t>Union Pacific Corp</t>
  </si>
  <si>
    <t>UNP</t>
  </si>
  <si>
    <t>United Parcel Service Inc</t>
  </si>
  <si>
    <t>UPS</t>
  </si>
  <si>
    <t>United Rentals Inc</t>
  </si>
  <si>
    <t>URI</t>
  </si>
  <si>
    <t>US Bancorp</t>
  </si>
  <si>
    <t>USB</t>
  </si>
  <si>
    <t>Visa Inc</t>
  </si>
  <si>
    <t>V</t>
  </si>
  <si>
    <t>Valero Energy Corp</t>
  </si>
  <si>
    <t>VLO</t>
  </si>
  <si>
    <t>Vulcan Materials Co</t>
  </si>
  <si>
    <t>VMC</t>
  </si>
  <si>
    <t>Verisk Analytics Inc</t>
  </si>
  <si>
    <t>VRSK</t>
  </si>
  <si>
    <t>VeriSign Inc</t>
  </si>
  <si>
    <t>VRSN</t>
  </si>
  <si>
    <t>Vertex Pharmaceuticals Inc</t>
  </si>
  <si>
    <t>VRTX</t>
  </si>
  <si>
    <t>Ventas Inc</t>
  </si>
  <si>
    <t>VTR</t>
  </si>
  <si>
    <t>Viatris Inc</t>
  </si>
  <si>
    <t>VTRS</t>
  </si>
  <si>
    <t>Verizon Communications Inc</t>
  </si>
  <si>
    <t>VZ</t>
  </si>
  <si>
    <t>Westinghouse Air Brake Technologies Corp</t>
  </si>
  <si>
    <t>WAB</t>
  </si>
  <si>
    <t>Waters Corp</t>
  </si>
  <si>
    <t>WAT</t>
  </si>
  <si>
    <t>Western Digital Corp</t>
  </si>
  <si>
    <t>WDC</t>
  </si>
  <si>
    <t>WEC Energy Group Inc</t>
  </si>
  <si>
    <t>Welltower Inc</t>
  </si>
  <si>
    <t>WELL</t>
  </si>
  <si>
    <t>Wells Fargo &amp; Co</t>
  </si>
  <si>
    <t>WFC</t>
  </si>
  <si>
    <t>Waste Management Inc</t>
  </si>
  <si>
    <t>WM</t>
  </si>
  <si>
    <t>Williams Cos Inc/The</t>
  </si>
  <si>
    <t>WMB</t>
  </si>
  <si>
    <t>Walmart Inc</t>
  </si>
  <si>
    <t>WMT</t>
  </si>
  <si>
    <t>W R Berkley Corp</t>
  </si>
  <si>
    <t>WRB</t>
  </si>
  <si>
    <t>West Pharmaceutical Services Inc</t>
  </si>
  <si>
    <t>WST</t>
  </si>
  <si>
    <t>Willis Towers Watson PLC</t>
  </si>
  <si>
    <t>WTW</t>
  </si>
  <si>
    <t>Weyerhaeuser Co</t>
  </si>
  <si>
    <t>WY</t>
  </si>
  <si>
    <t>Wynn Resorts Ltd</t>
  </si>
  <si>
    <t>WYNN</t>
  </si>
  <si>
    <t>Xcel Energy Inc</t>
  </si>
  <si>
    <t>Exxon Mobil Corp</t>
  </si>
  <si>
    <t>XOM</t>
  </si>
  <si>
    <t>Xylem Inc/NY</t>
  </si>
  <si>
    <t>XYL</t>
  </si>
  <si>
    <t>Yum! Brands Inc</t>
  </si>
  <si>
    <t>YUM</t>
  </si>
  <si>
    <t>Zimmer Biomet Holdings Inc</t>
  </si>
  <si>
    <t>ZBH</t>
  </si>
  <si>
    <t>Zebra Technologies Corp</t>
  </si>
  <si>
    <t>ZBRA</t>
  </si>
  <si>
    <t>Zoetis Inc</t>
  </si>
  <si>
    <t>ZTS</t>
  </si>
  <si>
    <t>Notes:</t>
  </si>
  <si>
    <t>[1] Equals sum of Col. [9]</t>
  </si>
  <si>
    <t>[2] Equals sum of Col. [11]</t>
  </si>
  <si>
    <t>[3] Equals ([1] x (1 + (0.5 x [2]))) + [2]</t>
  </si>
  <si>
    <t>[6] Equals [4] x [5]</t>
  </si>
  <si>
    <t>[7] Equals weight in S&amp;P 500 based on market capitalization [6] if Growth Rate &gt;0% and ≤20%</t>
  </si>
  <si>
    <t>[9] Equals [7] x [8]</t>
  </si>
  <si>
    <t>[11] Equals [7] x [10]</t>
  </si>
  <si>
    <t>[7]</t>
  </si>
  <si>
    <t>[8]</t>
  </si>
  <si>
    <t>[9]</t>
  </si>
  <si>
    <t>[10]</t>
  </si>
  <si>
    <t>[11]</t>
  </si>
  <si>
    <t xml:space="preserve">Cap-Weighted </t>
  </si>
  <si>
    <t>Weight in</t>
  </si>
  <si>
    <t>Estimated</t>
  </si>
  <si>
    <t>Cap-Weighted</t>
  </si>
  <si>
    <t>Long-Term</t>
  </si>
  <si>
    <t>Index</t>
  </si>
  <si>
    <t>Growth Est.</t>
  </si>
  <si>
    <t>[1]</t>
  </si>
  <si>
    <t>[2]</t>
  </si>
  <si>
    <t>[3]</t>
  </si>
  <si>
    <t>[4] Equals [3]-[1]</t>
  </si>
  <si>
    <t>[5] Equals [1] + [2] x [4]</t>
  </si>
  <si>
    <t>[6] Equals [1] + 0.25 x ([4]) + 0.75 x ([2] x [4])</t>
  </si>
  <si>
    <t>Average</t>
  </si>
  <si>
    <t>NMF</t>
  </si>
  <si>
    <t>X</t>
  </si>
  <si>
    <t>Y</t>
  </si>
  <si>
    <t>Constant Growth Median DCF</t>
  </si>
  <si>
    <t xml:space="preserve">CAPM </t>
  </si>
  <si>
    <t xml:space="preserve">ECAPM </t>
  </si>
  <si>
    <t>Risk Premium</t>
  </si>
  <si>
    <t>1992.2</t>
  </si>
  <si>
    <t>1992.3</t>
  </si>
  <si>
    <t>1992.4</t>
  </si>
  <si>
    <t>1993.1</t>
  </si>
  <si>
    <t>1993.2</t>
  </si>
  <si>
    <t>1993.3</t>
  </si>
  <si>
    <t>1993.4</t>
  </si>
  <si>
    <t>1994.1</t>
  </si>
  <si>
    <t>1994.2</t>
  </si>
  <si>
    <t>1994.3</t>
  </si>
  <si>
    <t>1994.4</t>
  </si>
  <si>
    <t>1995.2</t>
  </si>
  <si>
    <t>1995.3</t>
  </si>
  <si>
    <t>1995.4</t>
  </si>
  <si>
    <t>1996.1</t>
  </si>
  <si>
    <t>1996.2</t>
  </si>
  <si>
    <t>1996.3</t>
  </si>
  <si>
    <t>1996.4</t>
  </si>
  <si>
    <t>1997.1</t>
  </si>
  <si>
    <t>1997.2</t>
  </si>
  <si>
    <t>1997.3</t>
  </si>
  <si>
    <t>1997.4</t>
  </si>
  <si>
    <t>1998.2</t>
  </si>
  <si>
    <t>1998.3</t>
  </si>
  <si>
    <t>1998.4</t>
  </si>
  <si>
    <t>1999.1</t>
  </si>
  <si>
    <t>1999.2</t>
  </si>
  <si>
    <t>1999.4</t>
  </si>
  <si>
    <t>2000.1</t>
  </si>
  <si>
    <t>2000.2</t>
  </si>
  <si>
    <t>2000.3</t>
  </si>
  <si>
    <t>2000.4</t>
  </si>
  <si>
    <t>2001.1</t>
  </si>
  <si>
    <t>2001.2</t>
  </si>
  <si>
    <t>2001.4</t>
  </si>
  <si>
    <t>2002.1</t>
  </si>
  <si>
    <t>2002.2</t>
  </si>
  <si>
    <t>2002.3</t>
  </si>
  <si>
    <t>2002.4</t>
  </si>
  <si>
    <t>2003.1</t>
  </si>
  <si>
    <t>2003.2</t>
  </si>
  <si>
    <t>2003.3</t>
  </si>
  <si>
    <t>2003.4</t>
  </si>
  <si>
    <t>2004.1</t>
  </si>
  <si>
    <t>2004.2</t>
  </si>
  <si>
    <t>2004.3</t>
  </si>
  <si>
    <t>2004.4</t>
  </si>
  <si>
    <t>2005.1</t>
  </si>
  <si>
    <t>2005.2</t>
  </si>
  <si>
    <t>2005.3</t>
  </si>
  <si>
    <t>2005.4</t>
  </si>
  <si>
    <t>2006.1</t>
  </si>
  <si>
    <t>2006.2</t>
  </si>
  <si>
    <t>2006.3</t>
  </si>
  <si>
    <t>2006.4</t>
  </si>
  <si>
    <t>2007.1</t>
  </si>
  <si>
    <t>2007.2</t>
  </si>
  <si>
    <t>2007.3</t>
  </si>
  <si>
    <t>2007.4</t>
  </si>
  <si>
    <t>2008.1</t>
  </si>
  <si>
    <t>2008.2</t>
  </si>
  <si>
    <t>2008.3</t>
  </si>
  <si>
    <t>2008.4</t>
  </si>
  <si>
    <t>2009.1</t>
  </si>
  <si>
    <t>2009.2</t>
  </si>
  <si>
    <t>2009.3</t>
  </si>
  <si>
    <t>2009.4</t>
  </si>
  <si>
    <t>2010.1</t>
  </si>
  <si>
    <t>2010.2</t>
  </si>
  <si>
    <t>2010.3</t>
  </si>
  <si>
    <t>2010.4</t>
  </si>
  <si>
    <t>2011.1</t>
  </si>
  <si>
    <t>2011.2</t>
  </si>
  <si>
    <t>2011.3</t>
  </si>
  <si>
    <t>2011.4</t>
  </si>
  <si>
    <t>2012.1</t>
  </si>
  <si>
    <t>2012.2</t>
  </si>
  <si>
    <t>2012.3</t>
  </si>
  <si>
    <t>2012.4</t>
  </si>
  <si>
    <t>2013.1</t>
  </si>
  <si>
    <t>2013.2</t>
  </si>
  <si>
    <t>2013.3</t>
  </si>
  <si>
    <t>2013.4</t>
  </si>
  <si>
    <t>2014.1</t>
  </si>
  <si>
    <t>2014.2</t>
  </si>
  <si>
    <t>2014.3</t>
  </si>
  <si>
    <t>2014.4</t>
  </si>
  <si>
    <t>2015.1</t>
  </si>
  <si>
    <t>2015.2</t>
  </si>
  <si>
    <t>2015.3</t>
  </si>
  <si>
    <t>2015.4</t>
  </si>
  <si>
    <t>2016.1</t>
  </si>
  <si>
    <t>2016.2</t>
  </si>
  <si>
    <t>2016.3</t>
  </si>
  <si>
    <t>2016.4</t>
  </si>
  <si>
    <t>2017.1</t>
  </si>
  <si>
    <t>2017.2</t>
  </si>
  <si>
    <t>2017.3</t>
  </si>
  <si>
    <t>2017.4</t>
  </si>
  <si>
    <t>2018.1</t>
  </si>
  <si>
    <t>2018.2</t>
  </si>
  <si>
    <t>2018.3</t>
  </si>
  <si>
    <t>2018.4</t>
  </si>
  <si>
    <t>2019.1</t>
  </si>
  <si>
    <t>2019.2</t>
  </si>
  <si>
    <t>2019.3</t>
  </si>
  <si>
    <t>2019.4</t>
  </si>
  <si>
    <t>2020.1</t>
  </si>
  <si>
    <t>2020.2</t>
  </si>
  <si>
    <t>SUMMARY OUTPUT</t>
  </si>
  <si>
    <t>Regression Statistics</t>
  </si>
  <si>
    <t>Multiple R</t>
  </si>
  <si>
    <t>R Square</t>
  </si>
  <si>
    <t>Adjusted R Square</t>
  </si>
  <si>
    <t>Standard Error</t>
  </si>
  <si>
    <t>Observations</t>
  </si>
  <si>
    <t>ANOVA</t>
  </si>
  <si>
    <t>df</t>
  </si>
  <si>
    <t>SS</t>
  </si>
  <si>
    <t>Significance F</t>
  </si>
  <si>
    <t>Regression</t>
  </si>
  <si>
    <t>Residual</t>
  </si>
  <si>
    <t>Total</t>
  </si>
  <si>
    <t>Coefficients</t>
  </si>
  <si>
    <t>t Stat</t>
  </si>
  <si>
    <t>P-value</t>
  </si>
  <si>
    <t>Lower 95%</t>
  </si>
  <si>
    <t>Upper 95%</t>
  </si>
  <si>
    <t>Lower 95.0%</t>
  </si>
  <si>
    <t>Upper 95.0%</t>
  </si>
  <si>
    <t>Intercept</t>
  </si>
  <si>
    <t>Risk</t>
  </si>
  <si>
    <t>Treasury</t>
  </si>
  <si>
    <t>Premium</t>
  </si>
  <si>
    <t>Current 30-day average of 30-year U.S. Treasury bond yield [4]</t>
  </si>
  <si>
    <t>AVERAGE</t>
  </si>
  <si>
    <t xml:space="preserve">[7] See notes [4], [5] &amp; [6] </t>
  </si>
  <si>
    <t>[9] Equals Column [7] + Column [8]</t>
  </si>
  <si>
    <t>Northwest Natural Gas Company</t>
  </si>
  <si>
    <t>NWN</t>
  </si>
  <si>
    <t>[3] Equals [1]/[2]</t>
  </si>
  <si>
    <t>[8] Equals average of [5], [6], [7]</t>
  </si>
  <si>
    <t>[10] Equals [4] + [8]</t>
  </si>
  <si>
    <t>BOND YIELD PLUS RISK PREMIUM</t>
  </si>
  <si>
    <t>Quarter</t>
  </si>
  <si>
    <t>U.S. Govt. 30-year Treasury</t>
  </si>
  <si>
    <t>MEDIAN</t>
  </si>
  <si>
    <t>[3] Equals Column [1] − Column [2]</t>
  </si>
  <si>
    <t>REGULATORY RISK ASSESSMENT</t>
  </si>
  <si>
    <t>Operating Subsidiary</t>
  </si>
  <si>
    <t>Test Year</t>
  </si>
  <si>
    <t>Kansas</t>
  </si>
  <si>
    <t>Gas</t>
  </si>
  <si>
    <t>No</t>
  </si>
  <si>
    <t>Yes</t>
  </si>
  <si>
    <t>Kentucky</t>
  </si>
  <si>
    <t>Louisiana</t>
  </si>
  <si>
    <t>Mississippi</t>
  </si>
  <si>
    <t>Tennessee</t>
  </si>
  <si>
    <t>Indiana</t>
  </si>
  <si>
    <t>Electric</t>
  </si>
  <si>
    <t>Maryland</t>
  </si>
  <si>
    <t>Ohio</t>
  </si>
  <si>
    <t>Pennsylvania</t>
  </si>
  <si>
    <t>Virginia</t>
  </si>
  <si>
    <t>Oregon</t>
  </si>
  <si>
    <t>Washington</t>
  </si>
  <si>
    <t>Oklahoma</t>
  </si>
  <si>
    <t>Constant Growth DCF</t>
  </si>
  <si>
    <t>($ Millions)</t>
  </si>
  <si>
    <t>Cap. Ex. /</t>
  </si>
  <si>
    <t>Net Plant</t>
  </si>
  <si>
    <t>Capital Spending per Share</t>
  </si>
  <si>
    <t>Common Shares Outstanding</t>
  </si>
  <si>
    <t>Capital Expenditures</t>
  </si>
  <si>
    <t>Capital Expenditures [8]</t>
  </si>
  <si>
    <t>Net Plant [9]</t>
  </si>
  <si>
    <t>Proxy Group Median</t>
  </si>
  <si>
    <t xml:space="preserve">[7] Equals (Column [2] + [3] + [4] + [5] + [6]) /  Column [1] </t>
  </si>
  <si>
    <t>Constellation Energy Corp</t>
  </si>
  <si>
    <t>Cisco Systems Inc</t>
  </si>
  <si>
    <t>Nordson Corp</t>
  </si>
  <si>
    <t>[1] Value Line, dated December 26, 2013.</t>
  </si>
  <si>
    <t>[2] Value Line, dated December 31, 2014.</t>
  </si>
  <si>
    <t>[3] Value Line, dated December 30, 2015.</t>
  </si>
  <si>
    <t>BALL</t>
  </si>
  <si>
    <t>Crown Castle Inc</t>
  </si>
  <si>
    <t>Camden Property Trust</t>
  </si>
  <si>
    <t>CPT</t>
  </si>
  <si>
    <t>Salesforce Inc</t>
  </si>
  <si>
    <t>Elevance Health Inc</t>
  </si>
  <si>
    <t>ELV</t>
  </si>
  <si>
    <t>Jacobs Solutions Inc</t>
  </si>
  <si>
    <t>Keurig Dr Pepper Inc</t>
  </si>
  <si>
    <t>KDP</t>
  </si>
  <si>
    <t>META</t>
  </si>
  <si>
    <t>ON Semiconductor Corp</t>
  </si>
  <si>
    <t>ON</t>
  </si>
  <si>
    <t>VICI Properties Inc</t>
  </si>
  <si>
    <t>VICI</t>
  </si>
  <si>
    <t>Warner Bros Discovery Inc</t>
  </si>
  <si>
    <t>WBD</t>
  </si>
  <si>
    <t>[2] Estimate of the S&amp;P 500 Growth Rate</t>
  </si>
  <si>
    <t>[3] S&amp;P 500 Estimated Required Market Return</t>
  </si>
  <si>
    <t>[4] Value Line, dated December 29, 2016.</t>
  </si>
  <si>
    <t>[5] Value Line, dated December 28, 2017.</t>
  </si>
  <si>
    <t>[6] Value Line, dated December 27, 2018.</t>
  </si>
  <si>
    <t>[7] Value Line, dated December 26, 2019.</t>
  </si>
  <si>
    <t>[8] Value Line, dated December 30, 2020.</t>
  </si>
  <si>
    <t>[9] Value Line, dated December 29, 2021.</t>
  </si>
  <si>
    <t>Current 30-day average of 30-year U.S. Treasury bond yield</t>
  </si>
  <si>
    <t>Rank</t>
  </si>
  <si>
    <t>EQT Corp</t>
  </si>
  <si>
    <t>EQT</t>
  </si>
  <si>
    <t>PG&amp;E Corp</t>
  </si>
  <si>
    <t>PCG</t>
  </si>
  <si>
    <t>CoStar Group Inc</t>
  </si>
  <si>
    <t>CSGP</t>
  </si>
  <si>
    <t>Invitation Homes Inc</t>
  </si>
  <si>
    <t>INVH</t>
  </si>
  <si>
    <t>Historical</t>
  </si>
  <si>
    <t>Fully Forecast</t>
  </si>
  <si>
    <t>Partially Forecast</t>
  </si>
  <si>
    <t>Forecast</t>
  </si>
  <si>
    <t>Targa Resources Corp</t>
  </si>
  <si>
    <t>TRGP</t>
  </si>
  <si>
    <t>Minimum</t>
  </si>
  <si>
    <t>Maximum</t>
  </si>
  <si>
    <t>Current</t>
  </si>
  <si>
    <t>Near-Term</t>
  </si>
  <si>
    <t>Longer-Term</t>
  </si>
  <si>
    <t>30-Year</t>
  </si>
  <si>
    <t>Yield</t>
  </si>
  <si>
    <t>30-Day Avg. Stock Price</t>
  </si>
  <si>
    <t>90-Day Avg. Stock Price</t>
  </si>
  <si>
    <t>180-Day Avg. Stock Price</t>
  </si>
  <si>
    <t>Requested ROE</t>
  </si>
  <si>
    <t>[5] Value Line</t>
  </si>
  <si>
    <t>[11] Equals [3] x (1 + 0.5 x (max([5], [6], [7])) + (max([5], [6], [7])</t>
  </si>
  <si>
    <t>[9] Equals [3] x (1 + 0.5 x (min([5], [6], [7])) + (min([5], [6], [7])</t>
  </si>
  <si>
    <t>[4] Equals [3] x (1 + 0.5 x [8])</t>
  </si>
  <si>
    <t>Projected</t>
  </si>
  <si>
    <t>CAPEX /</t>
  </si>
  <si>
    <t>[8] Provided by the Company</t>
  </si>
  <si>
    <t>[9] Provided by the Company</t>
  </si>
  <si>
    <t>Illinois</t>
  </si>
  <si>
    <t xml:space="preserve">[2] Value Line </t>
  </si>
  <si>
    <t>[2] Value Line</t>
  </si>
  <si>
    <t>CAPITAL ASSET PRICING MODEL</t>
  </si>
  <si>
    <t>NEAR TERM PROJECTED RISK-FREE RATE AND VALUE LINE BETA</t>
  </si>
  <si>
    <t>LONG-TERM PROJECTED RISK-FREE RATE AND VALUE LINE BETA</t>
  </si>
  <si>
    <t xml:space="preserve">CURRENT RISK FREE RATE AND LONG-TERM VALUE LINE BETA </t>
  </si>
  <si>
    <t xml:space="preserve">NEAR-TERM PROJECTED RISK FREE RATE AND LONG-TERM VALUE LINE BETA </t>
  </si>
  <si>
    <t xml:space="preserve">LONG-TERM PROJECTED RISK FREE RATE AND LONG-TERM VALUE LINE BETA </t>
  </si>
  <si>
    <t>HISTORICAL VALUE LINE BETA</t>
  </si>
  <si>
    <t>Gen Digital Inc</t>
  </si>
  <si>
    <t>GEN</t>
  </si>
  <si>
    <t>Arch Capital Group Ltd</t>
  </si>
  <si>
    <t>ACGL</t>
  </si>
  <si>
    <t>Notes</t>
  </si>
  <si>
    <t>30-Day Avg.</t>
  </si>
  <si>
    <t>Southwest Gas Corporation</t>
  </si>
  <si>
    <t>SWX</t>
  </si>
  <si>
    <t>[10] Value Line, dated December 30, 2022.</t>
  </si>
  <si>
    <t>[11] Value Line, Dated December 29, 2023.</t>
  </si>
  <si>
    <t>[12] Value Line, Dated December 27, 2024.</t>
  </si>
  <si>
    <t>Texas Pacific Land Corp</t>
  </si>
  <si>
    <t>TPL</t>
  </si>
  <si>
    <t>Solventum Corp</t>
  </si>
  <si>
    <t>SOLV</t>
  </si>
  <si>
    <t>Corpay Inc</t>
  </si>
  <si>
    <t>CPAY</t>
  </si>
  <si>
    <t>Lululemon Athletica Inc</t>
  </si>
  <si>
    <t>LULU</t>
  </si>
  <si>
    <t>RTX Corp</t>
  </si>
  <si>
    <t>Cigna Group/The</t>
  </si>
  <si>
    <t>Super Micro Computer Inc</t>
  </si>
  <si>
    <t>SMCI</t>
  </si>
  <si>
    <t>Interactive Brokers Group Inc</t>
  </si>
  <si>
    <t>IBKR</t>
  </si>
  <si>
    <t>Lennox International Inc</t>
  </si>
  <si>
    <t>LII</t>
  </si>
  <si>
    <t>EMCOR Group Inc</t>
  </si>
  <si>
    <t>EME</t>
  </si>
  <si>
    <t>Axon Enterprise Inc</t>
  </si>
  <si>
    <t>AXON</t>
  </si>
  <si>
    <t>Becton Dickinson &amp; Co</t>
  </si>
  <si>
    <t>Builders FirstSource Inc</t>
  </si>
  <si>
    <t>BLDR</t>
  </si>
  <si>
    <t>Airbnb Inc</t>
  </si>
  <si>
    <t>ABNB</t>
  </si>
  <si>
    <t>GoDaddy Inc</t>
  </si>
  <si>
    <t>GDDY</t>
  </si>
  <si>
    <t>Williams-Sonoma Inc</t>
  </si>
  <si>
    <t>WSM</t>
  </si>
  <si>
    <t>Trade Desk Inc/The</t>
  </si>
  <si>
    <t>TTD</t>
  </si>
  <si>
    <t>Steel Dynamics Inc</t>
  </si>
  <si>
    <t>STLD</t>
  </si>
  <si>
    <t>Revvity Inc</t>
  </si>
  <si>
    <t>RVTY</t>
  </si>
  <si>
    <t>Dell Technologies Inc</t>
  </si>
  <si>
    <t>DELL</t>
  </si>
  <si>
    <t>Expand Energy Corp</t>
  </si>
  <si>
    <t>EXE</t>
  </si>
  <si>
    <t>DOC</t>
  </si>
  <si>
    <t>Insulet Corp</t>
  </si>
  <si>
    <t>PODD</t>
  </si>
  <si>
    <t>Hubbell Inc</t>
  </si>
  <si>
    <t>HUBB</t>
  </si>
  <si>
    <t>DoorDash Inc</t>
  </si>
  <si>
    <t>DASH</t>
  </si>
  <si>
    <t>Veralto Corp</t>
  </si>
  <si>
    <t>VLTO</t>
  </si>
  <si>
    <t>SLB Ltd</t>
  </si>
  <si>
    <t>Uber Technologies Inc</t>
  </si>
  <si>
    <t>UBER</t>
  </si>
  <si>
    <t>Blackstone Inc</t>
  </si>
  <si>
    <t>BX</t>
  </si>
  <si>
    <t>Labcorp Holdings Inc</t>
  </si>
  <si>
    <t>AppLovin Corp</t>
  </si>
  <si>
    <t>APP</t>
  </si>
  <si>
    <t>Vistra Corp</t>
  </si>
  <si>
    <t>VST</t>
  </si>
  <si>
    <t>Erie Indemnity Co</t>
  </si>
  <si>
    <t>ERIE</t>
  </si>
  <si>
    <t>Fair Isaac Corp</t>
  </si>
  <si>
    <t>FICO</t>
  </si>
  <si>
    <t>Crowdstrike Holdings Inc</t>
  </si>
  <si>
    <t>CRWD</t>
  </si>
  <si>
    <t>Jabil Inc</t>
  </si>
  <si>
    <t>JBL</t>
  </si>
  <si>
    <t>Cencora Inc</t>
  </si>
  <si>
    <t>COR</t>
  </si>
  <si>
    <t>Hartford Insurance Group Inc/The</t>
  </si>
  <si>
    <t>BXP Inc</t>
  </si>
  <si>
    <t>Sempra</t>
  </si>
  <si>
    <t>Datadog Inc</t>
  </si>
  <si>
    <t>DDOG</t>
  </si>
  <si>
    <t>SW</t>
  </si>
  <si>
    <t>TKO Group Holdings Inc</t>
  </si>
  <si>
    <t>TKO</t>
  </si>
  <si>
    <t>First Solar Inc</t>
  </si>
  <si>
    <t>FSLR</t>
  </si>
  <si>
    <t>Palantir Technologies Inc</t>
  </si>
  <si>
    <t>PLTR</t>
  </si>
  <si>
    <t>TE Connectivity PLC</t>
  </si>
  <si>
    <t>Palo Alto Networks Inc</t>
  </si>
  <si>
    <t>PANW</t>
  </si>
  <si>
    <t>GE HealthCare Technologies Inc</t>
  </si>
  <si>
    <t>GEHC</t>
  </si>
  <si>
    <t>Robinhood Markets Inc</t>
  </si>
  <si>
    <t>HOOD</t>
  </si>
  <si>
    <t>Block Inc</t>
  </si>
  <si>
    <t>XYZ</t>
  </si>
  <si>
    <t>Apollo Global Management Inc</t>
  </si>
  <si>
    <t>APO</t>
  </si>
  <si>
    <t>Blackrock Inc</t>
  </si>
  <si>
    <t>KKR &amp; Co Inc</t>
  </si>
  <si>
    <t>KKR</t>
  </si>
  <si>
    <t>Everest Group Ltd</t>
  </si>
  <si>
    <t>EG</t>
  </si>
  <si>
    <t>GE Vernova Inc</t>
  </si>
  <si>
    <t>GEV</t>
  </si>
  <si>
    <t>Kenvue Inc</t>
  </si>
  <si>
    <t>KVUE</t>
  </si>
  <si>
    <t>Bunge Global SA</t>
  </si>
  <si>
    <t>BG</t>
  </si>
  <si>
    <t>Deckers Outdoor Corp</t>
  </si>
  <si>
    <t>DECK</t>
  </si>
  <si>
    <t>Workday Inc</t>
  </si>
  <si>
    <t>WDAY</t>
  </si>
  <si>
    <t>Paramount Skydance Corp</t>
  </si>
  <si>
    <t>PSKY</t>
  </si>
  <si>
    <t>Coinbase Global Inc</t>
  </si>
  <si>
    <t>COIN</t>
  </si>
  <si>
    <t>[1] Estimated Weighted Average Dividend Yield</t>
  </si>
  <si>
    <t>1985.4</t>
  </si>
  <si>
    <t>ROE</t>
  </si>
  <si>
    <t>Arizona</t>
  </si>
  <si>
    <t>California</t>
  </si>
  <si>
    <t>Nevada</t>
  </si>
  <si>
    <t>PROXY GROUP SCREENING DATA AND RESULTS</t>
  </si>
  <si>
    <t>Dividends</t>
  </si>
  <si>
    <t>Announced Merger</t>
  </si>
  <si>
    <t>A-</t>
  </si>
  <si>
    <t>BBB+</t>
  </si>
  <si>
    <t>Bond Yield Risk Premium</t>
  </si>
  <si>
    <t>CAPM</t>
  </si>
  <si>
    <t>ECAPM</t>
  </si>
  <si>
    <t>Low End ROE Range</t>
  </si>
  <si>
    <t>High End ROE Range</t>
  </si>
  <si>
    <t>RRA JURISDICTIONAL RANKINGS</t>
  </si>
  <si>
    <t>RRA</t>
  </si>
  <si>
    <t>Numeric Rank</t>
  </si>
  <si>
    <t>Description</t>
  </si>
  <si>
    <t>Value</t>
  </si>
  <si>
    <t>Alabama</t>
  </si>
  <si>
    <t>Alaska</t>
  </si>
  <si>
    <t>Arkansas</t>
  </si>
  <si>
    <t>Louisiana — PSC</t>
  </si>
  <si>
    <t>Colorado</t>
  </si>
  <si>
    <t>Connecticut</t>
  </si>
  <si>
    <t>Texas — RRC</t>
  </si>
  <si>
    <t>Delaware</t>
  </si>
  <si>
    <t>District of Columbia</t>
  </si>
  <si>
    <t>Florida</t>
  </si>
  <si>
    <t>Georgia</t>
  </si>
  <si>
    <t>Hawaii</t>
  </si>
  <si>
    <t>Idaho</t>
  </si>
  <si>
    <t>Iowa</t>
  </si>
  <si>
    <t>Louisiana — NOCC</t>
  </si>
  <si>
    <t>Maine</t>
  </si>
  <si>
    <t>Massachusetts</t>
  </si>
  <si>
    <t>Michigan</t>
  </si>
  <si>
    <t>Minnesota</t>
  </si>
  <si>
    <t>Missouri</t>
  </si>
  <si>
    <t>Montana</t>
  </si>
  <si>
    <t>Proxy Group Average</t>
  </si>
  <si>
    <t>Average / 1 - Average / 2</t>
  </si>
  <si>
    <t>Nebraska</t>
  </si>
  <si>
    <t>New Hampshire</t>
  </si>
  <si>
    <t>New Jersey</t>
  </si>
  <si>
    <t>New Mexico</t>
  </si>
  <si>
    <t>New York</t>
  </si>
  <si>
    <t>North Carolina</t>
  </si>
  <si>
    <t xml:space="preserve">[2] AA/1= 1, AA/2= 2, AA/3= 3, A/1= 4, A/2= 5, A/3=6, BA/1= 7, BA/2= 8, BA/3= 9 </t>
  </si>
  <si>
    <t>North Dakota</t>
  </si>
  <si>
    <t>Rhode Island</t>
  </si>
  <si>
    <t>South Carolina</t>
  </si>
  <si>
    <t>South Dakota</t>
  </si>
  <si>
    <t>Texas — PUC</t>
  </si>
  <si>
    <t>Utah</t>
  </si>
  <si>
    <t>Vermont</t>
  </si>
  <si>
    <t>West Virginia</t>
  </si>
  <si>
    <t>Wisconsin</t>
  </si>
  <si>
    <t>Wyoming</t>
  </si>
  <si>
    <t>S&amp;P</t>
  </si>
  <si>
    <t>Credit Supportive</t>
  </si>
  <si>
    <t>More Credit Supportive</t>
  </si>
  <si>
    <t>Very Credit Supportive</t>
  </si>
  <si>
    <t>Highly Credit Supportive</t>
  </si>
  <si>
    <t>Most Credit Supportive</t>
  </si>
  <si>
    <t>Most credit supportive</t>
  </si>
  <si>
    <t>More credit supportive</t>
  </si>
  <si>
    <t>Very credit supportive</t>
  </si>
  <si>
    <t>Highly credit supportive</t>
  </si>
  <si>
    <t>Very Credit Supportive / 
Highly Credit Supportive</t>
  </si>
  <si>
    <t>[2] Most= 1, Highly= 2, Very= 3, More= 4, Credit Supportive= 5</t>
  </si>
  <si>
    <t>COST OF EQUITY ANALYSES</t>
  </si>
  <si>
    <t>CONSTANT GROWTH DCF</t>
  </si>
  <si>
    <t>30-DAY AVERAGE STOCK PRICES</t>
  </si>
  <si>
    <t>90-DAY AVERAGE STOCK PRICES</t>
  </si>
  <si>
    <t>180-DAY AVERAGE STOCK PRICES</t>
  </si>
  <si>
    <t>CURRENT RISK FREE RATE AND VALUE LINE BETA</t>
  </si>
  <si>
    <t>Market Risk Premium</t>
  </si>
  <si>
    <t>Beta</t>
  </si>
  <si>
    <t>Market Return</t>
  </si>
  <si>
    <t>Cost of Equity:  CAPM</t>
  </si>
  <si>
    <t>Cost of Equity:  ECAPM</t>
  </si>
  <si>
    <t>[12]</t>
  </si>
  <si>
    <t>[13]</t>
  </si>
  <si>
    <t>[2] S&amp;P Capital IQ Pro, quarterly bond yields are the average of each trading day in the quarter</t>
  </si>
  <si>
    <t>MARKET RETURN DERIVED FROM S&amp;P 500 INDEX</t>
  </si>
  <si>
    <t>Growth Rate</t>
  </si>
  <si>
    <r>
      <t xml:space="preserve">Current </t>
    </r>
    <r>
      <rPr>
        <i/>
        <sz val="10"/>
        <rFont val="Times New Roman"/>
        <family val="1"/>
      </rPr>
      <t>Value Line</t>
    </r>
    <r>
      <rPr>
        <sz val="10"/>
        <rFont val="Times New Roman"/>
        <family val="1"/>
      </rPr>
      <t xml:space="preserve"> Beta</t>
    </r>
  </si>
  <si>
    <r>
      <t xml:space="preserve">Long-term Avg. </t>
    </r>
    <r>
      <rPr>
        <i/>
        <sz val="10"/>
        <rFont val="Times New Roman"/>
        <family val="1"/>
      </rPr>
      <t>Value Line</t>
    </r>
    <r>
      <rPr>
        <sz val="10"/>
        <rFont val="Times New Roman"/>
        <family val="1"/>
      </rPr>
      <t xml:space="preserve"> Beta</t>
    </r>
  </si>
  <si>
    <t>Dividend</t>
  </si>
  <si>
    <t>Stock</t>
  </si>
  <si>
    <t>Expected</t>
  </si>
  <si>
    <t>Projected EPS Growth Rates</t>
  </si>
  <si>
    <t>Line</t>
  </si>
  <si>
    <t>Zacks</t>
  </si>
  <si>
    <t>Capital IQ</t>
  </si>
  <si>
    <t>Cost of Equity</t>
  </si>
  <si>
    <t>[6] Zacks</t>
  </si>
  <si>
    <t>[7] S&amp;P Capital IQ Pro</t>
  </si>
  <si>
    <t>Qnity Electronics Inc</t>
  </si>
  <si>
    <t>Q</t>
  </si>
  <si>
    <t>FISV</t>
  </si>
  <si>
    <t>SNDK</t>
  </si>
  <si>
    <t>SUMMARY OF RESULTS</t>
  </si>
  <si>
    <t>[14]</t>
  </si>
  <si>
    <t>[14] Average of Cols. [1] through [13]</t>
  </si>
  <si>
    <t>[13] Value Line, Dated December 26, 2025</t>
  </si>
  <si>
    <t>Positive Growth Rates from at least two sources (S&amp;P Capital IQ, Value Line, and Zacks)</t>
  </si>
  <si>
    <t>% Regulated Operating Income of Total Operating Income &gt; 70%</t>
  </si>
  <si>
    <t>[6] S&amp;P Capital IQ Pro Financial News Releases</t>
  </si>
  <si>
    <t>Chesapeake Utilities Corporation</t>
  </si>
  <si>
    <t>CPK</t>
  </si>
  <si>
    <t>% Regulated Natural Gas Operating Income of Total Regulated Operating Income &gt; 45%</t>
  </si>
  <si>
    <t>n/a</t>
  </si>
  <si>
    <t>Average Authorized NatGas ROE</t>
  </si>
  <si>
    <t>% Yes</t>
  </si>
  <si>
    <t>Formula-</t>
  </si>
  <si>
    <t>Straight Fixed</t>
  </si>
  <si>
    <t>Utility</t>
  </si>
  <si>
    <t>Revenue</t>
  </si>
  <si>
    <t>Based</t>
  </si>
  <si>
    <t>Variable</t>
  </si>
  <si>
    <t>Capital Cost</t>
  </si>
  <si>
    <t>State</t>
  </si>
  <si>
    <t>Type</t>
  </si>
  <si>
    <t>Convention</t>
  </si>
  <si>
    <t>Decoupling</t>
  </si>
  <si>
    <t>Rates</t>
  </si>
  <si>
    <t>Rate Design</t>
  </si>
  <si>
    <t>Recovery</t>
  </si>
  <si>
    <t>Atmos Energy Corp.</t>
  </si>
  <si>
    <t>Texas RRC</t>
  </si>
  <si>
    <t>Northern Indiana Public Service Co.</t>
  </si>
  <si>
    <t>Columbia Gas of Kentucky Inc.</t>
  </si>
  <si>
    <t>Columbia Gas of Maryland Inc.</t>
  </si>
  <si>
    <t>Columbia Gas of Ohio Inc.</t>
  </si>
  <si>
    <t>Columbia Gas of Pennsylvania Inc.</t>
  </si>
  <si>
    <t>Columbia Gas of Virginia Inc.</t>
  </si>
  <si>
    <t>Northwest Natural Gas Co.</t>
  </si>
  <si>
    <t>Kansas Gas Service Co.</t>
  </si>
  <si>
    <t>Oklahoma Natural Gas Co.</t>
  </si>
  <si>
    <t>Texas Gas Service Co.</t>
  </si>
  <si>
    <t>Southwest Gas Corp.</t>
  </si>
  <si>
    <t>Proxy Group Totals</t>
  </si>
  <si>
    <t>% Forecast</t>
  </si>
  <si>
    <t>[2] S&amp;P Global Market Intelligence, Adjustment clauses: a state-by-state overview, released September 2025. Operating subsidiaries not covered in this report were excluded from this exhibit.  A designation of "Yes" indicates full or partial decoupling</t>
  </si>
  <si>
    <t>[3] S&amp;P Capital IQ, Alternative Regulation</t>
  </si>
  <si>
    <t>[5] Equals "Yes" if either [2], [3], or [4] is "Yes"</t>
  </si>
  <si>
    <t>[6] S&amp;P Global Market Intelligence, Adjustment clauses: a state-by-state overview, released September 2025. Equals "Yes" if noted by S&amp;P as a having a capital tracker to recover either "Traditional generation", "Renewables/Non-traditional generation",</t>
  </si>
  <si>
    <t xml:space="preserve">     "Delivery infrastructure", or "Environmental compliance"</t>
  </si>
  <si>
    <t>[7] Data provided by Company</t>
  </si>
  <si>
    <t>Chesapeake Utilities Corp.</t>
  </si>
  <si>
    <t>CAPITAL STRUCTURE ANALYSIS</t>
  </si>
  <si>
    <t>COMMON EQUITY RATIO [1]</t>
  </si>
  <si>
    <t>LONG-TERM DEBT RATIO [1]</t>
  </si>
  <si>
    <t>PREFERRED EQUITY RATIO [1]</t>
  </si>
  <si>
    <t>Proxy Group Company</t>
  </si>
  <si>
    <t>3-yr Avg.</t>
  </si>
  <si>
    <t>Proxy Group</t>
  </si>
  <si>
    <t>MEAN</t>
  </si>
  <si>
    <t>HIGH</t>
  </si>
  <si>
    <t>COMMON EQUITY RATIO - UTILITY OPERATING COMPANIES</t>
  </si>
  <si>
    <t>LONG-TERM DEBT RATIO - UTILITY OPERATING COMPANIES</t>
  </si>
  <si>
    <t>PREFERRED EQUITY RATIO - UTILITY OPERATING COMPANIES</t>
  </si>
  <si>
    <t>Company Name</t>
  </si>
  <si>
    <t>Northern Indiana Public Service Company LLC</t>
  </si>
  <si>
    <t>Columbia Gas of Kentucky, Inc.</t>
  </si>
  <si>
    <t>Columbia Gas of Maryland, Inc.</t>
  </si>
  <si>
    <t>Columbia Gas of Ohio, Inc.</t>
  </si>
  <si>
    <t>Columbia Gas of Pennsylvania, Inc.</t>
  </si>
  <si>
    <t>Columbia Gas of Virginia, Inc.</t>
  </si>
  <si>
    <t>Kansas Gas Service Company, Inc.</t>
  </si>
  <si>
    <t>Oklahoma Natural Gas Company</t>
  </si>
  <si>
    <t>Texas Gas Service Company, Inc.</t>
  </si>
  <si>
    <t>30-Year Treasury Bond Yield</t>
  </si>
  <si>
    <t>CAPITAL EXPENDITURES AS A PERCENTAGE OF NET PLANT</t>
  </si>
  <si>
    <t>[2]  Bloomberg Professional; FitchRatings for CPK</t>
  </si>
  <si>
    <t>[1]  Bloomberg Professional</t>
  </si>
  <si>
    <t>[3]  Value Line, Zacks and S&amp;P Capital IQ</t>
  </si>
  <si>
    <t>Ares Management Corp</t>
  </si>
  <si>
    <t>ARES</t>
  </si>
  <si>
    <t>Ciena Corp</t>
  </si>
  <si>
    <t>CIEN</t>
  </si>
  <si>
    <t>CRH PLC</t>
  </si>
  <si>
    <t>CRH</t>
  </si>
  <si>
    <t>Carvana Co</t>
  </si>
  <si>
    <t>CVNA</t>
  </si>
  <si>
    <t>Comfort Systems USA Inc</t>
  </si>
  <si>
    <t>FIX</t>
  </si>
  <si>
    <t>MRSH</t>
  </si>
  <si>
    <t>Smurfit Westrock PLC</t>
  </si>
  <si>
    <t>[4] S&amp;P Global Market Intelligence, Adjustment clauses: a state-by-state overview, released September 2025</t>
  </si>
  <si>
    <t>Florida Public Utilities Co</t>
  </si>
  <si>
    <t>Credit Rating Between BBB- and AAA</t>
  </si>
  <si>
    <t>[4] - [5]  Form 10-K's for 2025, 2024, and 2023</t>
  </si>
  <si>
    <t>[3] Exhibit AEB 1.1, Schedule 7</t>
  </si>
  <si>
    <t>BNY</t>
  </si>
  <si>
    <t>Casey's General Stores Inc</t>
  </si>
  <si>
    <t>CASY</t>
  </si>
  <si>
    <t>Carnival Corp Ltd</t>
  </si>
  <si>
    <t>Coherent Corp</t>
  </si>
  <si>
    <t>COHR</t>
  </si>
  <si>
    <t>Fedex Freight Holding Co Inc</t>
  </si>
  <si>
    <t>FDXF</t>
  </si>
  <si>
    <t>Lumentum Holdings Inc</t>
  </si>
  <si>
    <t>LITE</t>
  </si>
  <si>
    <t>EchoStar Corp</t>
  </si>
  <si>
    <t>Veeva Systems Inc</t>
  </si>
  <si>
    <t>VEEV</t>
  </si>
  <si>
    <t>Vertiv Holdings Co</t>
  </si>
  <si>
    <t>VRT</t>
  </si>
  <si>
    <t>Longer-Term Projected 30-year U.S. Treasury bond yield (2028 - 2032)</t>
  </si>
  <si>
    <t>[1] Blue Chip Financial Forecasts, Vol. 45, No. 6, June 1, 2026, at 14</t>
  </si>
  <si>
    <t>[2] Exhibit AEB 1.1, Schedule 6</t>
  </si>
  <si>
    <t>[6] Blue Chip Financial Forecasts, Vol. 45, No. 6, June 1, 2026, at 14</t>
  </si>
  <si>
    <t>Blue Chip Near-Term Projected Forecast (Q3 2026 - Q3 2027) [5]</t>
  </si>
  <si>
    <t>Blue Chip Long-Term Projected Forecast (2028-2032) [6]</t>
  </si>
  <si>
    <t>MidAmerican</t>
  </si>
  <si>
    <t>MidAm</t>
  </si>
  <si>
    <t>[1] - [6] Value Line, dated May 22, 2026</t>
  </si>
  <si>
    <t>MidAmerican Capital Expenditure Total (2026-2030)</t>
  </si>
  <si>
    <t>MidAmerican Capital Expenditure Annual Average</t>
  </si>
  <si>
    <t>MidAmerican as % of Proxy Group Median</t>
  </si>
  <si>
    <t>Exhibit AEB 1.1, Schedule 9, p. 1, col. [7]</t>
  </si>
  <si>
    <t>MidAmerican [7]</t>
  </si>
  <si>
    <t>Above Average / 1</t>
  </si>
  <si>
    <t>Below Average / 2</t>
  </si>
  <si>
    <t>Below Average / 1</t>
  </si>
  <si>
    <t>Average / 1</t>
  </si>
  <si>
    <t>Below Average / 3</t>
  </si>
  <si>
    <t>Average / 2</t>
  </si>
  <si>
    <t>Above Average / 2</t>
  </si>
  <si>
    <t>Average / 3</t>
  </si>
  <si>
    <t>Above Average / 3</t>
  </si>
  <si>
    <t>[1] North American Utilities Regulatory Jurisdictions Update: Notable</t>
  </si>
  <si>
    <t xml:space="preserve">     Developments, Standard and Poor's Ratings Services, May 7, 2026.</t>
  </si>
  <si>
    <t>SIZE PREMIUM CALCULATION</t>
  </si>
  <si>
    <t>Proxy Group Market Capitalization</t>
  </si>
  <si>
    <t>($ billions)</t>
  </si>
  <si>
    <t>NiSource</t>
  </si>
  <si>
    <t>Test Year Rate Base ($millions)</t>
  </si>
  <si>
    <t xml:space="preserve">Proposed Common Equity Ratio </t>
  </si>
  <si>
    <t xml:space="preserve">Common Equity ($ millions) </t>
  </si>
  <si>
    <t>Market Capitalization of Proxy Group (median) ($millions)</t>
  </si>
  <si>
    <t>Kroll Cost of Capital Navigator -- Size Premium</t>
  </si>
  <si>
    <t>of Largest</t>
  </si>
  <si>
    <t>Size</t>
  </si>
  <si>
    <t>Breakdown of Deciles 1-10</t>
  </si>
  <si>
    <t>($ millions)</t>
  </si>
  <si>
    <t>1-Largest</t>
  </si>
  <si>
    <t>10-Smallest</t>
  </si>
  <si>
    <t>Proxy Group Market Capitalization (median)</t>
  </si>
  <si>
    <t>Size Premium</t>
  </si>
  <si>
    <t>[2] Data provided by the Company</t>
  </si>
  <si>
    <t>[3] Data provided by the Company</t>
  </si>
  <si>
    <t>[4] Equals [2] x [3]</t>
  </si>
  <si>
    <t>[5] Equals median market capitalization of proxy group x 1000</t>
  </si>
  <si>
    <t>[6]-[7] Kroll Cost of Capital Navigator - Size Premium: Annual Data as of December 31, 2025</t>
  </si>
  <si>
    <t>[8] Size Premium of the Company less Size Premium of Proxy Group</t>
  </si>
  <si>
    <t>MidAmerican South Dakota</t>
  </si>
  <si>
    <t>ECHO</t>
  </si>
  <si>
    <t>Flex Ltd</t>
  </si>
  <si>
    <t>FLEX</t>
  </si>
  <si>
    <t>Honeywell Aerospace Inc</t>
  </si>
  <si>
    <t>HONA</t>
  </si>
  <si>
    <t>Marvell Technology Inc</t>
  </si>
  <si>
    <t>MRVL</t>
  </si>
  <si>
    <t>Sandisk Corp</t>
  </si>
  <si>
    <t>[4] Bloomberg Professional, as of June 30, 2026</t>
  </si>
  <si>
    <t>[5] Bloomberg Professional, as of June 30, 2026</t>
  </si>
  <si>
    <t>[10] Bloomberg Professional and Value Line, as of June 30, 2026</t>
  </si>
  <si>
    <t>[8] Bloomberg Professional, as of June 30, 2026</t>
  </si>
  <si>
    <t>Near-term projected 30-year U.S. Treasury bond yield (Q4 2026 - Q4 2027)</t>
  </si>
  <si>
    <t>[1] Blue Chip Financial Forecasts, Vol. 45, No. 7, July 1, 2026, at 9</t>
  </si>
  <si>
    <t>[1] Regulatory Research Associates, rate cases through June 30, 2026</t>
  </si>
  <si>
    <t>[5] Blue Chip Financial Forecasts, Vol. 45, No. 7, July 1, 2026, at 9</t>
  </si>
  <si>
    <t>[1] Regulatory Research Associates, effective as of June 30, 2026</t>
  </si>
  <si>
    <t>[1] State Regulatory Evaluations, Regulatory Research Associates, June 5, 2026.</t>
  </si>
  <si>
    <t>[1] S&amp;P Capital IQ Pro, equals 30-day average as of June 30, 2026</t>
  </si>
  <si>
    <t>允䅁䑁䄸䅁䍁䅁䅁䅁乁䅁䅁䅋䅁䍁䅍兓佂䙁䅙兑䵂䕁䅫䅒杁䕁䅍睔乂䙁䅁兑佂䙁䅫䅉䩂䕁䅑䅁穁䅁䅁䅏䅁䍁䅍兓佂䙁䅙兑䵂䕁䅫䅒杁䕁䅙兖佂䕁䅍䅖䩂䕁䄸杔杁䙁䅁兑卂䕁䅅兔䙂䙁䅑兒卂䅁䅁兏䅁䍁䅯䅁潁䕁䅫杢㉂䝁䅅䅢灂䝁䅑䅉䩂䝁䅑党畂䡁䅑兡浂䝁䅫党祂䍁䅫䅁䭁䅁䅁杉䅁䑁䅅杌㉁䑁䅑免㑁䑁䅍睍㍁䑁䅕䅎㑁䑁䅕兎㉁䑁䅫䅁䩁䅁䅁䅆䅁䑁䅅睌穁䑁䅅睌祁䑁䅁杍穁䅁䅁睎䅁䉁䅑䅁硁䑁䅅睌硁䍁䄸杍睁䑁䅉杍䅁䅁䅷䅁坁䅁䅁免硁䍁䄸免睁䍁䄸杍睁䑁䅉杍䅁䉁䅙䅁坁䅁䅁免硁䍁䄸免硁䍁䄸杍睁䑁䅉杍䅁䉁䅉䅁坁䅁䅁免硁䍁䄸免祁䍁䄸杍睁䑁䅉杍䅁䉁䅳䅁坁䅁䅁免硁䍁䄸免穁䍁䄸杍睁䑁䅉杍䅁䍁䅉䅁坁䅁䅁免硁䍁䄸免ぁ䍁䄸杍睁䑁䅉杍䅁䉁䅫䅁坁䅁䅁免硁䍁䄸免ㅁ䍁䄸杍睁䑁䅉杍䅁䍁䅣䅁坁䅁䅁免硁䍁䄸免㉁䍁䄸杍睁䑁䅉杍䅁䍁䄰䅁坁䅁䅁免硁䍁䄸免㍁䍁䄸杍睁䑁䅉杍䅁䍁䅯䅁坁䅁䅁免硁䍁䄸免㑁䍁䄸杍睁䑁䅉杍䅁䉁䅷䅁坁䅁䅁免硁䍁䄸免㕁䍁䄸杍睁䑁䅉杍䅁䉁䅅䅁啁䅁䅁免硁䍁䄸杍癁䑁䅉䅍祁䑁䅉䅁獁䅁䅁杆䅁䑁䅅免癁䑁䅉䅍癁䑁䅉䅍祁䑁䅉䅁塁䅁䅁杆䅁䑁䅅免癁䑁䅉免癁䑁䅉䅍祁䑁䅉䅁呁䅁䅁杆䅁䑁䅅免癁䑁䅉杍癁䑁䅉䅍祁䑁䅉䅁晁䅁䅁杆䅁䑁䅅免癁䑁䅉睍癁䑁䅉䅍祁䑁䅉䅁潁䅁䅁杆䅁䑁䅅免癁䑁䅉䅎癁䑁䅉䅍祁䑁䅉䅁牁䅁䅁杆䅁䑁䅅免癁䑁䅉兎癁䑁䅉䅍祁䑁䅉䅁佁䅁䅁杆䅁䑁䅅免癁䑁䅉李癁䑁䅉䅍祁䑁䅉䅁畁䅁䅁杆䅁䑁䅅免癁䑁䅉睎癁䑁䅉䅍祁䑁䅉䅁啁䅁䅁杆䅁䑁䅅免癁䑁䅉䅏癁䑁䅉䅍祁䑁䅉䅁摁䅁䅁杆䅁䑁䅅免癁䑁䅉兏癁䑁䅉䅍祁䑁䅉䅁橁䅁䅁䅆䅁䑁䅅免癁䑁䅍睌祁䑁䅁杍祁䅁䅁睄䅁䉁䅙䅁硁䑁䅅睌穁䑁䅁睌祁䑁䅁杍祁䅁䅁睃䅁䉁䅑䅁硁䑁䅅睌ぁ䍁䄸杍睁䑁䅉杍䅁䉁䅕䅁啁䅁䅁免硁䍁䄸兎癁䑁䅉䅍祁䑁䅉䅁杁䅁䅁䅆䅁䑁䅅免癁䑁䅙睌祁䑁䅁杍祁䅁䅁䅊䅁䉁䅑䅁硁䑁䅅睌㍁䍁䄸杍睁䑁䅉杍䅁䍁䅕䅁啁䅁䅁免硁䍁䄸䅏癁䑁䅉䅍祁䑁䅉䅁癁䅁䅁䅆䅁䑁䅅免癁䑁䅫睌祁䑁䅁杍祁䅁䅁杈䅁䉁䅑䅁硁䑁䅉睌硁䍁䄸杍睁䑁䅉杍䅁䑁䅕䅁坁䅁䅁免祁䍁䄸免㕁䍁䄸杍睁䑁䅉杍䅁䑁䅙䅁坁䅁䅁免祁䍁䄸睍硁䍁䄸杍睁䑁䅉杍䅁䅁䅉䅁啁䅁䅁䅎癁䑁䅍䅍癁䑁䅍䅍穁䑁䅙䅁㥁䅁䅁䅆䅁䑁䅕睌穁䑁䅁睌祁䑁䅁杍㉁䅁䅁䅐䅁䉁䅑䅁㉁䍁䄸睍睁䍁䄸杍睁䑁䅉李䅁䑁䅯䅁䥁䅁䅁兑啂䕁䄸䅁䅁䅁䅁䅃䅁䕁䅍䅕䱂䅁䅁䅏䅁䉁䅯䅁䩂䙁䅅睘乂䕁䅅杕䱂䕁䅕䅖䑂䕁䅅䅕䅁䅁䅅䅁䝁䅁䅁杔䉂䅁䅁材䅁䅁䅙䅁佂䕁䅫䅁䑁䅁䅁䅃䅁䕁䄴杓卂䅁䅁杂䅁䅁䅧䅁佂䙁䅣杔䅁䅁䅑䅁十䅁䅁杔婂䙁䅍兒㙁䕁䅅䅖偂䅁䅁䅍䅁䅁䅧䅁偂䕁䅣睕䅁䅁䅕䅁畁䅁䅁睔睂䡁䅑兡療䝁䄴督㙁䍁䅁睕あ䝁䅅䅤灂䡁䅍䅤灂䝁䅍児䉂䙁䅙睒䅁䑁䅉䅁慁䅁䅁睕兂䙁䄸兔䉂䙁䅉睓䙂䙁䅑睑䉂䙁䅁䅁硁䅁䅁杅䅁䙁䅍䅕時䙁䅁村坂䙁䄸䅗䅁䑁䅑䅁䝁䅁䅁睕卂䅁䅁睂䅁䅁䅧䅁呂䙁䅣䅗䅁䑁䅳䅁䥁䅁䅁兖呂䕁䅑䅁䥁䅁䅁䅃䅁䙁䅳睍摂䅁䅁杇䅁䅁䅧䅁扂䑁䅑兘䅁䍁䅅䅁䥁䅁䅁睗ㅁ䙁䄰䅁奁䅁䅁䅃䅁䙁䅳李摂䅁䅁杊䅁䅁䅧䅁扂䑁䅣兘䅁䍁䅫䅁䥁䅁䅁睗㑁䙁䄰䅁允䅁䅁䅁䅁䅁㴽</t>
  </si>
  <si>
    <t>Volumetric Risk</t>
  </si>
  <si>
    <t>Overall Volumetric</t>
  </si>
  <si>
    <t>Risk Stabilization</t>
  </si>
  <si>
    <t>MidAmerican as % of Median</t>
  </si>
  <si>
    <t>[2] Utility operating subsidiaries where data was unable to be obtained for 2025, 2024, and 2023 were removed from the analysis.</t>
  </si>
  <si>
    <t>[1] Ratios are weighted by actual common capital, preferred equity, and long-term debt of operating subsidiaries.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</si>
</sst>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_-;\-* #,##0.00_-;_-* &quot;-&quot;??_-;_-@_-"/>
    <numFmt numFmtId="165" formatCode="&quot;$&quot;#,##0.00"/>
    <numFmt numFmtId="166" formatCode="0.0"/>
    <numFmt numFmtId="167" formatCode="&quot;[&quot;#&quot;]&quot;"/>
    <numFmt numFmtId="168" formatCode="0.0%"/>
    <numFmt numFmtId="169" formatCode="_(&quot;$&quot;* #,##0_);_(&quot;$&quot;* \(#,##0\);_(&quot;$&quot;* &quot;-&quot;??_);_(@_)"/>
    <numFmt numFmtId="170" formatCode="_(* #,##0_);_(* \(#,##0\);_(* &quot;-&quot;??_);_(@_)"/>
    <numFmt numFmtId="171" formatCode="_(&quot;$&quot;* #,##0.00000_);_(&quot;$&quot;* \(#,##0.00000\);_(&quot;$&quot;* &quot;-&quot;?????_);_(@_)"/>
    <numFmt numFmtId="172" formatCode="0.00_);\(0.00\)"/>
    <numFmt numFmtId="173" formatCode="&quot;$&quot;* #,##0_);&quot;$&quot;* \(#,##0\)"/>
    <numFmt numFmtId="174" formatCode="_(* #,##0.00000_);_(* \(#,##0.00000\);_(* &quot;-&quot;?????_);_(@_)"/>
    <numFmt numFmtId="175" formatCode="0.00000%"/>
    <numFmt numFmtId="176" formatCode="0.0000"/>
    <numFmt numFmtId="177" formatCode="General_)"/>
    <numFmt numFmtId="178" formatCode="[$-409]mmmm\-yy;@"/>
    <numFmt numFmtId="179" formatCode="0.0000%"/>
    <numFmt numFmtId="180" formatCode="_(* #,##0.00_);_(* \(#,##0.00\);_(* &quot;-&quot;???_);_(@_)"/>
    <numFmt numFmtId="181" formatCode="0.000%"/>
  </numFmts>
  <fonts count="109">
    <font>
      <sz val="11"/>
      <color theme="1"/>
      <name val="Calibri"/>
      <family val="2"/>
      <scheme val="minor"/>
    </font>
    <font>
      <sz val="11"/>
      <color theme="1"/>
      <name val="Calibri"/>
      <family val="2"/>
      <scheme val="minor"/>
    </font>
    <font>
      <sz val="10"/>
      <color theme="1"/>
      <name val="Arial"/>
      <family val="2"/>
    </font>
    <font>
      <sz val="10"/>
      <name val="Arial"/>
      <family val="2"/>
    </font>
    <font>
      <b/>
      <sz val="10"/>
      <name val="Arial"/>
      <family val="2"/>
    </font>
    <font>
      <sz val="12"/>
      <color theme="1"/>
      <name val="Calibri"/>
      <family val="2"/>
      <scheme val="minor"/>
    </font>
    <font>
      <sz val="10"/>
      <name val="Arial"/>
      <family val="2"/>
    </font>
    <font>
      <b/>
      <sz val="11"/>
      <color theme="1"/>
      <name val="Calibri"/>
      <family val="2"/>
      <scheme val="minor"/>
    </font>
    <font>
      <sz val="11"/>
      <color theme="1"/>
      <name val="Arial"/>
      <family val="2"/>
    </font>
    <font>
      <sz val="10"/>
      <color indexed="8"/>
      <name val="Arial"/>
      <family val="2"/>
    </font>
    <font>
      <sz val="12"/>
      <name val="Times New Roman"/>
      <family val="1"/>
    </font>
    <font>
      <sz val="12"/>
      <color theme="1"/>
      <name val="Times New Roman"/>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rgb="FF0000FF"/>
      <name val="Arial"/>
      <family val="2"/>
    </font>
    <font>
      <sz val="10"/>
      <name val="Calibri"/>
      <family val="2"/>
      <scheme val="minor"/>
    </font>
    <font>
      <b/>
      <sz val="14"/>
      <name val="Arial"/>
      <family val="2"/>
    </font>
    <font>
      <b/>
      <sz val="12"/>
      <name val="Arial"/>
      <family val="2"/>
    </font>
    <font>
      <sz val="10"/>
      <color indexed="9"/>
      <name val="Arial"/>
      <family val="2"/>
    </font>
    <font>
      <sz val="10"/>
      <color rgb="FFFF6600"/>
      <name val="Arial"/>
      <family val="2"/>
    </font>
    <font>
      <sz val="10"/>
      <color indexed="20"/>
      <name val="Arial"/>
      <family val="2"/>
    </font>
    <font>
      <b/>
      <sz val="10"/>
      <color indexed="52"/>
      <name val="Arial"/>
      <family val="2"/>
    </font>
    <font>
      <b/>
      <sz val="10"/>
      <color indexed="9"/>
      <name val="Arial"/>
      <family val="2"/>
    </font>
    <font>
      <b/>
      <u val="singleAccounting"/>
      <sz val="8"/>
      <color indexed="8"/>
      <name val="Arial"/>
      <family val="2"/>
    </font>
    <font>
      <sz val="11"/>
      <color indexed="8"/>
      <name val="Calibri"/>
      <family val="2"/>
    </font>
    <font>
      <sz val="12"/>
      <color indexed="8"/>
      <name val="Arial"/>
      <family val="2"/>
    </font>
    <font>
      <sz val="11"/>
      <color theme="1"/>
      <name val="Calibri"/>
      <family val="2"/>
    </font>
    <font>
      <sz val="12"/>
      <name val="Arial"/>
      <family val="2"/>
    </font>
    <font>
      <sz val="10"/>
      <color rgb="FF000000"/>
      <name val="Times New Roman"/>
      <family val="1"/>
    </font>
    <font>
      <b/>
      <sz val="9"/>
      <name val="Arial"/>
      <family val="2"/>
    </font>
    <font>
      <sz val="10"/>
      <color theme="1"/>
      <name val="Ariel"/>
      <family val="2"/>
    </font>
    <font>
      <sz val="12"/>
      <name val="Tms Rmn"/>
    </font>
    <font>
      <sz val="24"/>
      <name val="Arial"/>
      <family val="2"/>
    </font>
    <font>
      <sz val="10"/>
      <name val="Helv"/>
    </font>
    <font>
      <i/>
      <sz val="10"/>
      <color indexed="23"/>
      <name val="Arial"/>
      <family val="2"/>
    </font>
    <font>
      <sz val="10"/>
      <color indexed="17"/>
      <name val="Arial"/>
      <family val="2"/>
    </font>
    <font>
      <sz val="10"/>
      <color rgb="FF660066"/>
      <name val="Arial"/>
      <family val="2"/>
    </font>
    <font>
      <b/>
      <sz val="11"/>
      <name val="Arial"/>
      <family val="2"/>
    </font>
    <font>
      <b/>
      <sz val="15"/>
      <color indexed="56"/>
      <name val="Arial"/>
      <family val="2"/>
    </font>
    <font>
      <b/>
      <sz val="13"/>
      <color indexed="56"/>
      <name val="Arial"/>
      <family val="2"/>
    </font>
    <font>
      <b/>
      <sz val="11"/>
      <color indexed="56"/>
      <name val="Arial"/>
      <family val="2"/>
    </font>
    <font>
      <u/>
      <sz val="8.5"/>
      <color theme="10"/>
      <name val="Arial"/>
      <family val="2"/>
    </font>
    <font>
      <u/>
      <sz val="11"/>
      <color theme="10"/>
      <name val="Calibri"/>
      <family val="2"/>
    </font>
    <font>
      <u/>
      <sz val="10"/>
      <color theme="10"/>
      <name val="Arial"/>
      <family val="2"/>
    </font>
    <font>
      <sz val="10"/>
      <color indexed="62"/>
      <name val="Arial"/>
      <family val="2"/>
    </font>
    <font>
      <b/>
      <sz val="12"/>
      <name val="Tms Rmn"/>
    </font>
    <font>
      <sz val="8"/>
      <name val="Arial"/>
      <family val="2"/>
    </font>
    <font>
      <sz val="10"/>
      <color indexed="52"/>
      <name val="Arial"/>
      <family val="2"/>
    </font>
    <font>
      <sz val="10"/>
      <color indexed="60"/>
      <name val="Arial"/>
      <family val="2"/>
    </font>
    <font>
      <sz val="12"/>
      <name val="Arial MT"/>
    </font>
    <font>
      <b/>
      <sz val="10"/>
      <color indexed="63"/>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9.75"/>
      <name val="Arial"/>
      <family val="2"/>
    </font>
    <font>
      <sz val="10"/>
      <name val="MS Sans Serif"/>
      <family val="2"/>
    </font>
    <font>
      <b/>
      <sz val="10"/>
      <name val="MS Sans Serif"/>
      <family val="2"/>
    </font>
    <font>
      <sz val="10"/>
      <color indexed="12"/>
      <name val="MS Sans Serif"/>
      <family val="2"/>
    </font>
    <font>
      <b/>
      <sz val="14"/>
      <color indexed="9"/>
      <name val="Arial"/>
      <family val="2"/>
    </font>
    <font>
      <b/>
      <sz val="12"/>
      <color indexed="9"/>
      <name val="Arial"/>
      <family val="2"/>
    </font>
    <font>
      <b/>
      <i/>
      <sz val="8"/>
      <color indexed="9"/>
      <name val="Arial"/>
      <family val="2"/>
    </font>
    <font>
      <b/>
      <sz val="8"/>
      <name val="Arial"/>
      <family val="2"/>
    </font>
    <font>
      <b/>
      <sz val="10"/>
      <color indexed="12"/>
      <name val="MS Sans Serif"/>
      <family val="2"/>
    </font>
    <font>
      <u/>
      <sz val="10"/>
      <name val="Arial"/>
      <family val="2"/>
    </font>
    <font>
      <sz val="8"/>
      <color indexed="8"/>
      <name val="Arial"/>
      <family val="2"/>
    </font>
    <font>
      <sz val="12"/>
      <color indexed="13"/>
      <name val="Tms Rmn"/>
    </font>
    <font>
      <b/>
      <sz val="18"/>
      <color indexed="56"/>
      <name val="Cambria"/>
      <family val="2"/>
    </font>
    <font>
      <b/>
      <sz val="14"/>
      <color indexed="56"/>
      <name val="Arial"/>
      <family val="2"/>
    </font>
    <font>
      <b/>
      <sz val="10"/>
      <color indexed="8"/>
      <name val="Arial"/>
      <family val="2"/>
    </font>
    <font>
      <sz val="12"/>
      <color indexed="8"/>
      <name val="Arial MT"/>
    </font>
    <font>
      <sz val="10"/>
      <color indexed="10"/>
      <name val="Arial"/>
      <family val="2"/>
    </font>
    <font>
      <b/>
      <sz val="12"/>
      <name val="Times New Roman"/>
      <family val="1"/>
    </font>
    <font>
      <sz val="12"/>
      <color theme="1"/>
      <name val="Times New Roman"/>
      <family val="1"/>
    </font>
    <font>
      <i/>
      <sz val="12"/>
      <name val="Times New Roman"/>
      <family val="1"/>
    </font>
    <font>
      <b/>
      <sz val="12"/>
      <color theme="1"/>
      <name val="Times New Roman"/>
      <family val="1"/>
    </font>
    <font>
      <i/>
      <sz val="12"/>
      <color theme="1"/>
      <name val="Times New Roman"/>
      <family val="1"/>
    </font>
    <font>
      <sz val="12"/>
      <color theme="0"/>
      <name val="Times New Roman"/>
      <family val="1"/>
    </font>
    <font>
      <b/>
      <sz val="12"/>
      <color rgb="FFFF0000"/>
      <name val="Times New Roman"/>
      <family val="1"/>
    </font>
    <font>
      <b/>
      <sz val="10"/>
      <name val="Times New Roman"/>
      <family val="1"/>
    </font>
    <font>
      <sz val="10"/>
      <name val="Times New Roman"/>
      <family val="1"/>
    </font>
    <font>
      <sz val="10"/>
      <color theme="1"/>
      <name val="Times New Roman"/>
      <family val="1"/>
    </font>
    <font>
      <sz val="9"/>
      <color theme="1"/>
      <name val="Times New Roman"/>
      <family val="1"/>
    </font>
    <font>
      <b/>
      <sz val="10"/>
      <color theme="1"/>
      <name val="Times New Roman"/>
      <family val="1"/>
    </font>
    <font>
      <sz val="11"/>
      <color theme="1"/>
      <name val="Times New Roman"/>
      <family val="1"/>
    </font>
    <font>
      <b/>
      <sz val="12"/>
      <color indexed="8"/>
      <name val="Times New Roman"/>
      <family val="1"/>
    </font>
    <font>
      <sz val="12"/>
      <color indexed="8"/>
      <name val="Times New Roman"/>
      <family val="1"/>
    </font>
    <font>
      <b/>
      <sz val="11"/>
      <color theme="1"/>
      <name val="Times New Roman"/>
      <family val="1"/>
    </font>
    <font>
      <i/>
      <sz val="10"/>
      <name val="Times New Roman"/>
      <family val="1"/>
    </font>
    <font>
      <b/>
      <i/>
      <sz val="10"/>
      <name val="Times New Roman"/>
      <family val="1"/>
    </font>
    <font>
      <b/>
      <sz val="10"/>
      <color rgb="FFFF0000"/>
      <name val="Times New Roman"/>
      <family val="1"/>
    </font>
    <font>
      <u/>
      <sz val="12"/>
      <color theme="1"/>
      <name val="Times New Roman"/>
      <family val="1"/>
    </font>
    <font>
      <i/>
      <sz val="11"/>
      <color theme="1"/>
      <name val="Times New Roman"/>
      <family val="1"/>
    </font>
    <font>
      <b/>
      <sz val="10"/>
      <color theme="0"/>
      <name val="Times New Roman"/>
      <family val="1"/>
    </font>
    <font>
      <u/>
      <sz val="11"/>
      <color theme="10"/>
      <name val="Calibri"/>
      <family val="2"/>
      <scheme val="minor"/>
    </font>
    <font>
      <sz val="12"/>
      <color rgb="FF000000"/>
      <name val="Times New Roman"/>
      <family val="1"/>
    </font>
    <font>
      <u/>
      <sz val="10"/>
      <name val="Times New Roman"/>
      <family val="1"/>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60"/>
        <bgColor indexed="64"/>
      </patternFill>
    </fill>
    <fill>
      <patternFill patternType="solid">
        <fgColor indexed="9"/>
        <bgColor indexed="64"/>
      </patternFill>
    </fill>
    <fill>
      <patternFill patternType="solid">
        <fgColor indexed="13"/>
      </patternFill>
    </fill>
    <fill>
      <patternFill patternType="solid">
        <fgColor indexed="22"/>
        <bgColor indexed="64"/>
      </patternFill>
    </fill>
    <fill>
      <patternFill patternType="solid">
        <fgColor indexed="43"/>
      </patternFill>
    </fill>
    <fill>
      <patternFill patternType="solid">
        <fgColor indexed="26"/>
      </patternFill>
    </fill>
    <fill>
      <patternFill patternType="mediumGray">
        <fgColor indexed="22"/>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12"/>
      </patternFill>
    </fill>
    <fill>
      <patternFill patternType="solid">
        <fgColor indexed="43"/>
        <bgColor indexed="64"/>
      </patternFill>
    </fill>
  </fills>
  <borders count="4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auto="1"/>
      </top>
      <bottom style="thin">
        <color auto="1"/>
      </bottom>
      <diagonal/>
    </border>
    <border>
      <left/>
      <right/>
      <top style="thin">
        <color indexed="64"/>
      </top>
      <bottom/>
      <diagonal/>
    </border>
    <border>
      <left/>
      <right/>
      <top/>
      <bottom style="thin">
        <color indexed="64"/>
      </bottom>
      <diagonal/>
    </border>
    <border>
      <left/>
      <right/>
      <top style="medium">
        <color auto="1"/>
      </top>
      <bottom/>
      <diagonal/>
    </border>
    <border>
      <left/>
      <right style="thin">
        <color indexed="64"/>
      </right>
      <top/>
      <bottom/>
      <diagonal/>
    </border>
    <border>
      <left/>
      <right/>
      <top/>
      <bottom style="medium">
        <color indexed="64"/>
      </bottom>
      <diagonal/>
    </border>
    <border>
      <left/>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right/>
      <top style="medium">
        <color indexed="8"/>
      </top>
      <bottom style="double">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12"/>
      </left>
      <right style="double">
        <color indexed="12"/>
      </right>
      <top style="double">
        <color indexed="12"/>
      </top>
      <bottom style="dotted">
        <color indexed="12"/>
      </bottom>
      <diagonal/>
    </border>
    <border>
      <left style="thick">
        <color indexed="12"/>
      </left>
      <right style="thick">
        <color indexed="12"/>
      </right>
      <top style="thick">
        <color indexed="12"/>
      </top>
      <bottom/>
      <diagonal/>
    </border>
    <border>
      <left/>
      <right/>
      <top style="thin">
        <color indexed="62"/>
      </top>
      <bottom style="double">
        <color indexed="62"/>
      </bottom>
      <diagonal/>
    </border>
    <border>
      <left style="thin">
        <color indexed="8"/>
      </left>
      <right style="thin">
        <color indexed="8"/>
      </right>
      <top style="double">
        <color indexed="8"/>
      </top>
      <bottom style="thin">
        <color indexed="8"/>
      </bottom>
      <diagonal/>
    </border>
    <border>
      <left/>
      <right/>
      <top/>
      <bottom style="medium">
        <color indexed="8"/>
      </bottom>
      <diagonal/>
    </border>
    <border>
      <left/>
      <right/>
      <top/>
      <bottom style="medium">
        <color auto="1"/>
      </bottom>
      <diagonal/>
    </border>
    <border>
      <left/>
      <right/>
      <top style="thin">
        <color auto="1"/>
      </top>
      <bottom/>
      <diagonal/>
    </border>
    <border>
      <left/>
      <right/>
      <top style="thin">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s>
  <cellStyleXfs count="9503">
    <xf numFmtId="0" fontId="0" fillId="0" borderId="0"/>
    <xf numFmtId="9" fontId="1" fillId="0" borderId="0" applyFont="0" applyFill="0" applyBorder="0" applyAlignment="0" applyProtection="0"/>
    <xf numFmtId="0" fontId="1" fillId="0" borderId="0" applyNumberFormat="0" applyBorder="0" applyProtection="0">
      <alignment vertical="center"/>
    </xf>
    <xf numFmtId="0" fontId="2" fillId="0" borderId="0"/>
    <xf numFmtId="0" fontId="2" fillId="0" borderId="0"/>
    <xf numFmtId="43" fontId="1" fillId="0" borderId="0" applyFont="0" applyFill="0" applyBorder="0" applyAlignment="0" applyProtection="0"/>
    <xf numFmtId="0" fontId="1" fillId="0" borderId="0" applyNumberFormat="0" applyBorder="0" applyProtection="0">
      <alignment vertical="center"/>
    </xf>
    <xf numFmtId="0" fontId="3" fillId="0" borderId="0"/>
    <xf numFmtId="0" fontId="3" fillId="0" borderId="0"/>
    <xf numFmtId="0" fontId="1" fillId="0" borderId="0" applyNumberFormat="0" applyBorder="0" applyProtection="0">
      <alignment vertical="center"/>
    </xf>
    <xf numFmtId="0" fontId="5" fillId="0" borderId="0"/>
    <xf numFmtId="0" fontId="3" fillId="0" borderId="0"/>
    <xf numFmtId="0" fontId="3" fillId="0" borderId="0"/>
    <xf numFmtId="9" fontId="3" fillId="0" borderId="0" applyFont="0" applyFill="0" applyBorder="0" applyAlignment="0" applyProtection="0"/>
    <xf numFmtId="0" fontId="3" fillId="0" borderId="0"/>
    <xf numFmtId="43" fontId="1" fillId="0" borderId="0" applyFont="0" applyFill="0" applyBorder="0" applyAlignment="0" applyProtection="0"/>
    <xf numFmtId="0" fontId="6" fillId="0" borderId="0"/>
    <xf numFmtId="43" fontId="3" fillId="0" borderId="0" applyFont="0" applyFill="0" applyBorder="0" applyAlignment="0" applyProtection="0"/>
    <xf numFmtId="0" fontId="3" fillId="0" borderId="0"/>
    <xf numFmtId="0" fontId="2" fillId="0" borderId="0"/>
    <xf numFmtId="0" fontId="2" fillId="0" borderId="0"/>
    <xf numFmtId="0" fontId="2" fillId="0" borderId="0"/>
    <xf numFmtId="0" fontId="2" fillId="0" borderId="0"/>
    <xf numFmtId="9" fontId="1" fillId="0" borderId="0" applyFont="0" applyFill="0" applyBorder="0" applyAlignment="0" applyProtection="0"/>
    <xf numFmtId="0" fontId="3" fillId="0" borderId="0"/>
    <xf numFmtId="0" fontId="2" fillId="0" borderId="0"/>
    <xf numFmtId="0" fontId="2" fillId="0" borderId="0"/>
    <xf numFmtId="43" fontId="2"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0" fontId="1" fillId="0" borderId="0" applyNumberFormat="0" applyBorder="0" applyProtection="0">
      <alignment vertical="center"/>
    </xf>
    <xf numFmtId="0" fontId="1" fillId="0" borderId="0" applyNumberFormat="0" applyBorder="0" applyProtection="0">
      <alignment vertical="center"/>
    </xf>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applyNumberFormat="0" applyBorder="0" applyProtection="0">
      <alignment vertical="center"/>
    </xf>
    <xf numFmtId="43" fontId="2" fillId="0" borderId="0" applyFont="0" applyFill="0" applyBorder="0" applyAlignment="0" applyProtection="0"/>
    <xf numFmtId="44" fontId="2" fillId="0" borderId="0" applyFont="0" applyFill="0" applyBorder="0" applyAlignment="0" applyProtection="0"/>
    <xf numFmtId="9" fontId="1" fillId="0" borderId="0" applyFont="0" applyFill="0" applyBorder="0" applyAlignment="0" applyProtection="0"/>
    <xf numFmtId="0" fontId="1" fillId="0" borderId="0"/>
    <xf numFmtId="0" fontId="1" fillId="0" borderId="0" applyNumberFormat="0" applyBorder="0" applyProtection="0">
      <alignment vertical="center"/>
    </xf>
    <xf numFmtId="0" fontId="3"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applyNumberFormat="0" applyBorder="0" applyProtection="0">
      <alignment vertical="center"/>
    </xf>
    <xf numFmtId="0" fontId="2" fillId="0" borderId="0"/>
    <xf numFmtId="0" fontId="1" fillId="0" borderId="0"/>
    <xf numFmtId="0" fontId="1" fillId="0" borderId="0"/>
    <xf numFmtId="0" fontId="10" fillId="0" borderId="0"/>
    <xf numFmtId="0" fontId="1" fillId="0" borderId="0"/>
    <xf numFmtId="9" fontId="11" fillId="0" borderId="0" applyFont="0" applyFill="0" applyBorder="0" applyAlignment="0" applyProtection="0"/>
    <xf numFmtId="0" fontId="2" fillId="0" borderId="0"/>
    <xf numFmtId="0" fontId="2" fillId="0" borderId="0"/>
    <xf numFmtId="9" fontId="1" fillId="0" borderId="0" applyFont="0" applyFill="0" applyBorder="0" applyAlignment="0" applyProtection="0"/>
    <xf numFmtId="0" fontId="2" fillId="0" borderId="0"/>
    <xf numFmtId="9" fontId="1" fillId="0" borderId="0" applyFon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 fillId="0" borderId="0"/>
    <xf numFmtId="9" fontId="3"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3" fillId="0" borderId="0"/>
    <xf numFmtId="0" fontId="2" fillId="0" borderId="0"/>
    <xf numFmtId="0" fontId="2" fillId="0" borderId="0"/>
    <xf numFmtId="42" fontId="3" fillId="0" borderId="0" applyFill="0" applyBorder="0" applyProtection="0">
      <alignment horizontal="left"/>
    </xf>
    <xf numFmtId="42" fontId="26" fillId="0" borderId="0" applyFill="0" applyBorder="0" applyAlignment="0" applyProtection="0"/>
    <xf numFmtId="44" fontId="2" fillId="0" borderId="0">
      <alignment horizontal="left"/>
    </xf>
    <xf numFmtId="171" fontId="3" fillId="0" borderId="19" applyBorder="0">
      <alignment horizontal="center"/>
    </xf>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9"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9" fillId="3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9" fillId="3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9" fillId="3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9" fillId="3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9" fillId="3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9" fillId="40"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9" fillId="41"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9" fillId="42"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9" fillId="3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9"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9" fillId="4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30" fillId="44"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30" fillId="4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30" fillId="42"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30" fillId="45"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30" fillId="46"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30" fillId="47"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30" fillId="48"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30" fillId="49"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30" fillId="50"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30" fillId="45"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30" fillId="46"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30" fillId="51" borderId="0" applyNumberFormat="0" applyBorder="0" applyAlignment="0" applyProtection="0"/>
    <xf numFmtId="43" fontId="2" fillId="0" borderId="0">
      <alignment horizontal="left"/>
    </xf>
    <xf numFmtId="172" fontId="2" fillId="0" borderId="0">
      <alignment horizontal="left"/>
    </xf>
    <xf numFmtId="37" fontId="3" fillId="0" borderId="0" applyNumberFormat="0" applyBorder="0" applyAlignment="0"/>
    <xf numFmtId="38" fontId="31" fillId="0" borderId="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32" fillId="35" borderId="0" applyNumberFormat="0" applyBorder="0" applyAlignment="0" applyProtection="0"/>
    <xf numFmtId="0" fontId="20" fillId="7" borderId="13" applyNumberFormat="0" applyAlignment="0" applyProtection="0"/>
    <xf numFmtId="0" fontId="20" fillId="7" borderId="13" applyNumberFormat="0" applyAlignment="0" applyProtection="0"/>
    <xf numFmtId="0" fontId="20" fillId="7" borderId="13" applyNumberFormat="0" applyAlignment="0" applyProtection="0"/>
    <xf numFmtId="0" fontId="20" fillId="7" borderId="13" applyNumberFormat="0" applyAlignment="0" applyProtection="0"/>
    <xf numFmtId="0" fontId="33" fillId="52" borderId="20" applyNumberFormat="0" applyAlignment="0" applyProtection="0"/>
    <xf numFmtId="0" fontId="33" fillId="52" borderId="20" applyNumberFormat="0" applyAlignment="0" applyProtection="0"/>
    <xf numFmtId="0" fontId="22" fillId="8" borderId="16" applyNumberFormat="0" applyAlignment="0" applyProtection="0"/>
    <xf numFmtId="0" fontId="22" fillId="8" borderId="16" applyNumberFormat="0" applyAlignment="0" applyProtection="0"/>
    <xf numFmtId="0" fontId="22" fillId="8" borderId="16" applyNumberFormat="0" applyAlignment="0" applyProtection="0"/>
    <xf numFmtId="0" fontId="22" fillId="8" borderId="16" applyNumberFormat="0" applyAlignment="0" applyProtection="0"/>
    <xf numFmtId="0" fontId="34" fillId="53" borderId="21" applyNumberFormat="0" applyAlignment="0" applyProtection="0"/>
    <xf numFmtId="37" fontId="2" fillId="0" borderId="0">
      <alignment horizontal="center"/>
    </xf>
    <xf numFmtId="37" fontId="3" fillId="0" borderId="0" applyNumberFormat="0" applyFill="0" applyBorder="0" applyProtection="0">
      <alignment horizontal="centerContinuous"/>
    </xf>
    <xf numFmtId="37" fontId="2" fillId="0" borderId="5">
      <alignment horizontal="center"/>
    </xf>
    <xf numFmtId="37" fontId="2" fillId="0" borderId="5">
      <alignment horizontal="center"/>
    </xf>
    <xf numFmtId="0" fontId="35" fillId="54" borderId="0" applyAlignment="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36"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7"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 fillId="0" borderId="0" applyNumberFormat="0" applyFill="0" applyBorder="0" applyAlignment="0" applyProtection="0"/>
    <xf numFmtId="43" fontId="3"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8" fillId="0" borderId="0" applyFont="0" applyFill="0" applyBorder="0" applyAlignment="0" applyProtection="0"/>
    <xf numFmtId="43" fontId="3"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3" fontId="3" fillId="0" borderId="0" applyFont="0" applyFill="0" applyBorder="0" applyAlignment="0" applyProtection="0"/>
    <xf numFmtId="37" fontId="3" fillId="0" borderId="0" applyFill="0" applyBorder="0" applyAlignment="0" applyProtection="0"/>
    <xf numFmtId="0" fontId="3" fillId="0" borderId="0" applyNumberFormat="0" applyFill="0" applyBorder="0" applyAlignment="0" applyProtection="0"/>
    <xf numFmtId="4" fontId="41" fillId="0" borderId="8" applyFill="0" applyProtection="0">
      <alignment horizontal="center" vertical="center" wrapText="1"/>
    </xf>
    <xf numFmtId="0" fontId="3" fillId="0" borderId="0" applyNumberForma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7"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applyNumberFormat="0" applyFill="0" applyBorder="0" applyAlignment="0" applyProtection="0"/>
    <xf numFmtId="44" fontId="2"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0" fontId="3" fillId="0" borderId="0" applyNumberFormat="0" applyFill="0" applyBorder="0" applyAlignment="0" applyProtection="0"/>
    <xf numFmtId="44" fontId="2"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44" fontId="2" fillId="0" borderId="0" applyFont="0" applyFill="0" applyBorder="0" applyAlignment="0" applyProtection="0"/>
    <xf numFmtId="0" fontId="3" fillId="0" borderId="0" applyNumberForma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applyNumberForma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 fillId="0" borderId="0" applyNumberForma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9" fillId="0" borderId="0" applyFont="0" applyFill="0" applyBorder="0" applyAlignment="0" applyProtection="0"/>
    <xf numFmtId="44" fontId="42" fillId="0" borderId="0" applyFont="0" applyFill="0" applyBorder="0" applyAlignment="0" applyProtection="0"/>
    <xf numFmtId="44" fontId="3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6" fillId="0" borderId="0" applyFont="0" applyFill="0" applyBorder="0" applyAlignment="0" applyProtection="0"/>
    <xf numFmtId="44" fontId="2"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2"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6" fillId="0" borderId="0" applyFont="0" applyFill="0" applyBorder="0" applyAlignment="0" applyProtection="0"/>
    <xf numFmtId="44" fontId="3" fillId="0" borderId="0" applyFont="0" applyFill="0" applyBorder="0" applyAlignment="0" applyProtection="0"/>
    <xf numFmtId="44" fontId="36"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1" fontId="3" fillId="0" borderId="0" applyFill="0" applyBorder="0" applyAlignment="0" applyProtection="0"/>
    <xf numFmtId="42" fontId="3" fillId="0" borderId="4"/>
    <xf numFmtId="42" fontId="3" fillId="0" borderId="4"/>
    <xf numFmtId="43" fontId="3" fillId="0" borderId="0" applyBorder="0">
      <alignment horizontal="left"/>
    </xf>
    <xf numFmtId="5" fontId="3" fillId="0" borderId="0" applyFill="0" applyBorder="0" applyAlignment="0" applyProtection="0"/>
    <xf numFmtId="0" fontId="43" fillId="0" borderId="0"/>
    <xf numFmtId="0" fontId="43" fillId="0" borderId="0"/>
    <xf numFmtId="0" fontId="43" fillId="0" borderId="22"/>
    <xf numFmtId="0" fontId="3" fillId="0" borderId="0" applyFont="0" applyFill="0" applyBorder="0" applyAlignment="0" applyProtection="0"/>
    <xf numFmtId="173" fontId="3" fillId="0" borderId="0"/>
    <xf numFmtId="7" fontId="44" fillId="0" borderId="23"/>
    <xf numFmtId="7" fontId="44" fillId="0" borderId="23"/>
    <xf numFmtId="7" fontId="44" fillId="0" borderId="23"/>
    <xf numFmtId="7" fontId="44" fillId="0" borderId="23"/>
    <xf numFmtId="4" fontId="45" fillId="0" borderId="0" applyFont="0" applyBorder="0">
      <alignment horizontal="justify"/>
    </xf>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46" fillId="0" borderId="0" applyNumberFormat="0" applyFill="0" applyBorder="0" applyAlignment="0" applyProtection="0"/>
    <xf numFmtId="2" fontId="3" fillId="0" borderId="0" applyFont="0" applyFill="0" applyBorder="0" applyAlignment="0" applyProtection="0"/>
    <xf numFmtId="38" fontId="26" fillId="0" borderId="0"/>
    <xf numFmtId="174" fontId="3" fillId="0" borderId="0">
      <alignment horizontal="center"/>
    </xf>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47" fillId="36" borderId="0" applyNumberFormat="0" applyBorder="0" applyAlignment="0" applyProtection="0"/>
    <xf numFmtId="38" fontId="48" fillId="0" borderId="0"/>
    <xf numFmtId="49" fontId="49" fillId="0" borderId="0" applyNumberFormat="0" applyFill="0" applyBorder="0" applyProtection="0">
      <alignment horizontal="centerContinuous"/>
    </xf>
    <xf numFmtId="0" fontId="12" fillId="0" borderId="10" applyNumberFormat="0" applyFill="0" applyAlignment="0" applyProtection="0"/>
    <xf numFmtId="0" fontId="12" fillId="0" borderId="10" applyNumberFormat="0" applyFill="0" applyAlignment="0" applyProtection="0"/>
    <xf numFmtId="0" fontId="12" fillId="0" borderId="10" applyNumberFormat="0" applyFill="0" applyAlignment="0" applyProtection="0"/>
    <xf numFmtId="0" fontId="12" fillId="0" borderId="10" applyNumberFormat="0" applyFill="0" applyAlignment="0" applyProtection="0"/>
    <xf numFmtId="0" fontId="50" fillId="0" borderId="24"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51" fillId="0" borderId="25"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52" fillId="0" borderId="26"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52" fillId="0" borderId="0" applyNumberFormat="0" applyFill="0" applyBorder="0" applyAlignment="0" applyProtection="0"/>
    <xf numFmtId="0" fontId="3" fillId="0" borderId="0" applyNumberFormat="0" applyFill="0" applyBorder="0" applyProtection="0">
      <alignment wrapText="1"/>
    </xf>
    <xf numFmtId="0" fontId="3" fillId="0" borderId="0" applyNumberFormat="0" applyFill="0" applyBorder="0" applyProtection="0">
      <alignment wrapText="1"/>
    </xf>
    <xf numFmtId="0" fontId="3" fillId="0" borderId="0" applyNumberFormat="0" applyFill="0" applyBorder="0" applyProtection="0">
      <alignment wrapText="1"/>
    </xf>
    <xf numFmtId="0" fontId="3" fillId="0" borderId="0" applyNumberFormat="0" applyFill="0" applyBorder="0" applyProtection="0">
      <alignment wrapText="1"/>
    </xf>
    <xf numFmtId="0" fontId="3" fillId="0" borderId="0" applyNumberFormat="0" applyFill="0" applyBorder="0" applyProtection="0">
      <alignment wrapText="1"/>
    </xf>
    <xf numFmtId="0" fontId="3" fillId="0" borderId="0" applyNumberFormat="0" applyFill="0" applyBorder="0" applyProtection="0">
      <alignment wrapText="1"/>
    </xf>
    <xf numFmtId="0" fontId="3" fillId="0" borderId="0" applyNumberFormat="0" applyFill="0" applyBorder="0" applyProtection="0">
      <alignment wrapText="1"/>
    </xf>
    <xf numFmtId="0" fontId="3" fillId="0" borderId="0" applyNumberFormat="0" applyFill="0" applyBorder="0" applyProtection="0">
      <alignment wrapText="1"/>
    </xf>
    <xf numFmtId="0" fontId="3" fillId="0" borderId="0" applyNumberFormat="0" applyFill="0" applyBorder="0" applyProtection="0">
      <alignment wrapText="1"/>
    </xf>
    <xf numFmtId="0" fontId="3" fillId="0" borderId="0" applyNumberFormat="0" applyFill="0" applyBorder="0" applyProtection="0">
      <alignment wrapText="1"/>
    </xf>
    <xf numFmtId="0" fontId="3" fillId="0" borderId="0" applyNumberFormat="0" applyFill="0" applyBorder="0" applyProtection="0">
      <alignment wrapText="1"/>
    </xf>
    <xf numFmtId="0" fontId="3" fillId="0" borderId="0" applyNumberFormat="0" applyFill="0" applyBorder="0" applyProtection="0">
      <alignment wrapText="1"/>
    </xf>
    <xf numFmtId="0" fontId="3" fillId="0" borderId="0" applyNumberFormat="0" applyFill="0" applyBorder="0" applyProtection="0">
      <alignment wrapText="1"/>
    </xf>
    <xf numFmtId="0" fontId="3" fillId="0" borderId="0" applyNumberFormat="0" applyFill="0" applyBorder="0" applyProtection="0">
      <alignment wrapText="1"/>
    </xf>
    <xf numFmtId="0" fontId="3" fillId="0" borderId="0" applyNumberFormat="0" applyFill="0" applyBorder="0" applyProtection="0">
      <alignment wrapText="1"/>
    </xf>
    <xf numFmtId="0" fontId="3" fillId="0" borderId="0" applyNumberFormat="0" applyFill="0" applyBorder="0" applyProtection="0">
      <alignment wrapText="1"/>
    </xf>
    <xf numFmtId="0" fontId="3" fillId="0" borderId="0" applyNumberFormat="0" applyFill="0" applyBorder="0" applyProtection="0">
      <alignment horizontal="justify" vertical="top" wrapText="1"/>
    </xf>
    <xf numFmtId="0" fontId="3" fillId="0" borderId="0" applyNumberFormat="0" applyFill="0" applyBorder="0" applyProtection="0">
      <alignment horizontal="justify" vertical="top" wrapText="1"/>
    </xf>
    <xf numFmtId="0" fontId="3" fillId="0" borderId="0" applyNumberFormat="0" applyFill="0" applyBorder="0" applyProtection="0">
      <alignment horizontal="justify" vertical="top" wrapText="1"/>
    </xf>
    <xf numFmtId="0" fontId="3" fillId="0" borderId="0" applyNumberFormat="0" applyFill="0" applyBorder="0" applyProtection="0">
      <alignment horizontal="justify" vertical="top" wrapText="1"/>
    </xf>
    <xf numFmtId="0" fontId="3" fillId="0" borderId="0" applyNumberFormat="0" applyFill="0" applyBorder="0" applyProtection="0">
      <alignment horizontal="justify" vertical="top" wrapText="1"/>
    </xf>
    <xf numFmtId="0" fontId="3" fillId="0" borderId="0" applyNumberFormat="0" applyFill="0" applyBorder="0" applyProtection="0">
      <alignment horizontal="justify" vertical="top" wrapText="1"/>
    </xf>
    <xf numFmtId="0" fontId="3" fillId="0" borderId="0" applyNumberFormat="0" applyFill="0" applyBorder="0" applyProtection="0">
      <alignment horizontal="justify" vertical="top" wrapText="1"/>
    </xf>
    <xf numFmtId="0" fontId="3" fillId="0" borderId="0" applyNumberFormat="0" applyFill="0" applyBorder="0" applyProtection="0">
      <alignment horizontal="justify" vertical="top" wrapText="1"/>
    </xf>
    <xf numFmtId="0" fontId="3" fillId="0" borderId="0" applyNumberFormat="0" applyFill="0" applyBorder="0" applyProtection="0">
      <alignment horizontal="justify" vertical="top" wrapText="1"/>
    </xf>
    <xf numFmtId="0" fontId="3" fillId="0" borderId="0" applyNumberFormat="0" applyFill="0" applyBorder="0" applyProtection="0">
      <alignment horizontal="justify" vertical="top" wrapText="1"/>
    </xf>
    <xf numFmtId="0" fontId="3" fillId="0" borderId="0" applyNumberFormat="0" applyFill="0" applyBorder="0" applyProtection="0">
      <alignment horizontal="justify" vertical="top" wrapText="1"/>
    </xf>
    <xf numFmtId="0" fontId="3" fillId="0" borderId="0" applyNumberFormat="0" applyFill="0" applyBorder="0" applyProtection="0">
      <alignment horizontal="justify" vertical="top" wrapText="1"/>
    </xf>
    <xf numFmtId="0" fontId="3" fillId="0" borderId="0" applyNumberFormat="0" applyFill="0" applyBorder="0" applyProtection="0">
      <alignment horizontal="justify" vertical="top" wrapText="1"/>
    </xf>
    <xf numFmtId="0" fontId="3" fillId="0" borderId="0" applyNumberFormat="0" applyFill="0" applyBorder="0" applyProtection="0">
      <alignment horizontal="justify" vertical="top" wrapText="1"/>
    </xf>
    <xf numFmtId="0" fontId="3" fillId="0" borderId="0" applyNumberFormat="0" applyFill="0" applyBorder="0" applyProtection="0">
      <alignment horizontal="justify" vertical="top" wrapText="1"/>
    </xf>
    <xf numFmtId="0" fontId="3" fillId="0" borderId="0" applyNumberFormat="0" applyFill="0" applyBorder="0" applyProtection="0">
      <alignment horizontal="justify" vertical="top" wrapText="1"/>
    </xf>
    <xf numFmtId="0" fontId="53"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37" fillId="55" borderId="0"/>
    <xf numFmtId="0" fontId="37" fillId="55" borderId="0"/>
    <xf numFmtId="0" fontId="18" fillId="6" borderId="13" applyNumberFormat="0" applyAlignment="0" applyProtection="0"/>
    <xf numFmtId="0" fontId="18" fillId="6" borderId="13" applyNumberFormat="0" applyAlignment="0" applyProtection="0"/>
    <xf numFmtId="0" fontId="18" fillId="6" borderId="13" applyNumberFormat="0" applyAlignment="0" applyProtection="0"/>
    <xf numFmtId="0" fontId="18" fillId="6" borderId="13" applyNumberFormat="0" applyAlignment="0" applyProtection="0"/>
    <xf numFmtId="0" fontId="56" fillId="39" borderId="20" applyNumberFormat="0" applyAlignment="0" applyProtection="0"/>
    <xf numFmtId="0" fontId="56" fillId="39" borderId="20" applyNumberFormat="0" applyAlignment="0" applyProtection="0"/>
    <xf numFmtId="0" fontId="57" fillId="56" borderId="22"/>
    <xf numFmtId="37" fontId="58" fillId="0" borderId="0" applyBorder="0" applyAlignment="0" applyProtection="0"/>
    <xf numFmtId="0" fontId="58" fillId="57" borderId="0"/>
    <xf numFmtId="41" fontId="26" fillId="0" borderId="0" applyFill="0" applyBorder="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59" fillId="0" borderId="27" applyNumberFormat="0" applyFill="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60" fillId="58"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2" fillId="0" borderId="0"/>
    <xf numFmtId="0" fontId="2" fillId="0" borderId="0"/>
    <xf numFmtId="0" fontId="1" fillId="0" borderId="0"/>
    <xf numFmtId="0" fontId="2" fillId="0" borderId="0"/>
    <xf numFmtId="0" fontId="3"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1" fillId="0" borderId="0"/>
    <xf numFmtId="0" fontId="3"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2"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xf numFmtId="0" fontId="1" fillId="0" borderId="0"/>
    <xf numFmtId="0" fontId="2"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1" fillId="0" borderId="0"/>
    <xf numFmtId="0" fontId="1" fillId="0" borderId="0"/>
    <xf numFmtId="0" fontId="2" fillId="0" borderId="0"/>
    <xf numFmtId="0" fontId="3" fillId="0" borderId="0"/>
    <xf numFmtId="0" fontId="3" fillId="0" borderId="0"/>
    <xf numFmtId="0" fontId="1" fillId="0" borderId="0"/>
    <xf numFmtId="0" fontId="1" fillId="0" borderId="0"/>
    <xf numFmtId="0" fontId="2" fillId="0" borderId="0"/>
    <xf numFmtId="0" fontId="3" fillId="0" borderId="0"/>
    <xf numFmtId="0" fontId="3"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3" fillId="0" borderId="0"/>
    <xf numFmtId="0" fontId="3" fillId="0" borderId="0"/>
    <xf numFmtId="0" fontId="1" fillId="0" borderId="0"/>
    <xf numFmtId="0" fontId="3" fillId="0" borderId="0"/>
    <xf numFmtId="0" fontId="3" fillId="0" borderId="0"/>
    <xf numFmtId="0" fontId="1" fillId="0" borderId="0"/>
    <xf numFmtId="0" fontId="3" fillId="0" borderId="0"/>
    <xf numFmtId="0" fontId="1" fillId="0" borderId="0"/>
    <xf numFmtId="0" fontId="38"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8" fillId="0" borderId="0"/>
    <xf numFmtId="0" fontId="38"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3"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 fillId="0" borderId="0"/>
    <xf numFmtId="0" fontId="3" fillId="0" borderId="0"/>
    <xf numFmtId="0" fontId="3" fillId="0" borderId="0"/>
    <xf numFmtId="0" fontId="1" fillId="0" borderId="0"/>
    <xf numFmtId="0" fontId="1" fillId="0" borderId="0"/>
    <xf numFmtId="0" fontId="1" fillId="0" borderId="0"/>
    <xf numFmtId="0" fontId="3" fillId="0" borderId="0"/>
    <xf numFmtId="0" fontId="2" fillId="0" borderId="0"/>
    <xf numFmtId="0" fontId="1"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 fillId="0" borderId="0"/>
    <xf numFmtId="0" fontId="3" fillId="0" borderId="0"/>
    <xf numFmtId="0" fontId="38" fillId="0" borderId="0"/>
    <xf numFmtId="0" fontId="38" fillId="0" borderId="0"/>
    <xf numFmtId="0" fontId="38"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3" fillId="0" borderId="0"/>
    <xf numFmtId="0" fontId="3"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2"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3" fillId="0" borderId="0"/>
    <xf numFmtId="0" fontId="3" fillId="0" borderId="0"/>
    <xf numFmtId="0" fontId="1" fillId="0" borderId="0"/>
    <xf numFmtId="0" fontId="1"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1" fillId="0" borderId="0"/>
    <xf numFmtId="0" fontId="1" fillId="0" borderId="0"/>
    <xf numFmtId="0" fontId="3" fillId="0" borderId="0"/>
    <xf numFmtId="0" fontId="3"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1" fillId="0" borderId="0"/>
    <xf numFmtId="0" fontId="1" fillId="0" borderId="0"/>
    <xf numFmtId="0" fontId="3" fillId="0" borderId="0"/>
    <xf numFmtId="0" fontId="3"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1" fillId="0" borderId="0"/>
    <xf numFmtId="0" fontId="1" fillId="0" borderId="0"/>
    <xf numFmtId="0" fontId="1" fillId="0" borderId="0"/>
    <xf numFmtId="0" fontId="3" fillId="0" borderId="0"/>
    <xf numFmtId="0" fontId="2" fillId="0" borderId="0"/>
    <xf numFmtId="0" fontId="2" fillId="0" borderId="0"/>
    <xf numFmtId="0" fontId="2" fillId="0" borderId="0"/>
    <xf numFmtId="0" fontId="39" fillId="0" borderId="0"/>
    <xf numFmtId="0" fontId="3" fillId="0" borderId="0"/>
    <xf numFmtId="0" fontId="3" fillId="0" borderId="0"/>
    <xf numFmtId="0" fontId="40" fillId="0" borderId="0"/>
    <xf numFmtId="0" fontId="1" fillId="0" borderId="0"/>
    <xf numFmtId="0" fontId="1" fillId="0" borderId="0"/>
    <xf numFmtId="0" fontId="1" fillId="0" borderId="0"/>
    <xf numFmtId="0" fontId="42" fillId="0" borderId="0"/>
    <xf numFmtId="0" fontId="3"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3"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3" fillId="0" borderId="0" applyNumberFormat="0" applyFill="0" applyBorder="0" applyAlignment="0" applyProtection="0"/>
    <xf numFmtId="0" fontId="1" fillId="0" borderId="0"/>
    <xf numFmtId="0" fontId="1" fillId="0" borderId="0"/>
    <xf numFmtId="0" fontId="8" fillId="0" borderId="0"/>
    <xf numFmtId="0" fontId="1" fillId="0" borderId="0"/>
    <xf numFmtId="0" fontId="1" fillId="0" borderId="0"/>
    <xf numFmtId="0" fontId="2" fillId="0" borderId="0"/>
    <xf numFmtId="0" fontId="3"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175" fontId="3" fillId="0" borderId="0"/>
    <xf numFmtId="0" fontId="1" fillId="0" borderId="0"/>
    <xf numFmtId="0" fontId="1" fillId="0" borderId="0"/>
    <xf numFmtId="0" fontId="1"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applyNumberFormat="0" applyFill="0" applyBorder="0" applyAlignment="0" applyProtection="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applyNumberFormat="0" applyFill="0" applyBorder="0" applyAlignment="0" applyProtection="0"/>
    <xf numFmtId="0" fontId="2" fillId="0" borderId="0"/>
    <xf numFmtId="0" fontId="2" fillId="0" borderId="0"/>
    <xf numFmtId="0" fontId="2" fillId="0" borderId="0"/>
    <xf numFmtId="0" fontId="3" fillId="0" borderId="0" applyNumberFormat="0" applyFill="0" applyBorder="0" applyAlignment="0" applyProtection="0"/>
    <xf numFmtId="0" fontId="2" fillId="0" borderId="0"/>
    <xf numFmtId="0" fontId="2" fillId="0" borderId="0"/>
    <xf numFmtId="0" fontId="2" fillId="0" borderId="0"/>
    <xf numFmtId="0" fontId="3" fillId="0" borderId="0" applyNumberFormat="0" applyFill="0" applyBorder="0" applyAlignment="0" applyProtection="0"/>
    <xf numFmtId="0" fontId="2" fillId="0" borderId="0"/>
    <xf numFmtId="0" fontId="2" fillId="0" borderId="0"/>
    <xf numFmtId="0" fontId="2" fillId="0" borderId="0"/>
    <xf numFmtId="0" fontId="3" fillId="0" borderId="0" applyNumberForma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38" fillId="0" borderId="0"/>
    <xf numFmtId="0" fontId="2" fillId="0" borderId="0"/>
    <xf numFmtId="0" fontId="2" fillId="0" borderId="0"/>
    <xf numFmtId="0" fontId="2" fillId="0" borderId="0"/>
    <xf numFmtId="0" fontId="3"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3"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 fillId="0" borderId="0"/>
    <xf numFmtId="0" fontId="38" fillId="0" borderId="0"/>
    <xf numFmtId="0" fontId="2" fillId="0" borderId="0"/>
    <xf numFmtId="0" fontId="3" fillId="0" borderId="0"/>
    <xf numFmtId="0" fontId="3" fillId="0" borderId="0"/>
    <xf numFmtId="0" fontId="38" fillId="0" borderId="0"/>
    <xf numFmtId="0" fontId="38" fillId="0" borderId="0"/>
    <xf numFmtId="0" fontId="38" fillId="0" borderId="0"/>
    <xf numFmtId="0" fontId="38" fillId="0" borderId="0"/>
    <xf numFmtId="0" fontId="38" fillId="0" borderId="0"/>
    <xf numFmtId="0" fontId="3" fillId="0" borderId="0"/>
    <xf numFmtId="0" fontId="3" fillId="0" borderId="0"/>
    <xf numFmtId="0" fontId="3" fillId="0" borderId="0"/>
    <xf numFmtId="0" fontId="3" fillId="0" borderId="0"/>
    <xf numFmtId="0" fontId="38" fillId="0" borderId="0"/>
    <xf numFmtId="0" fontId="3" fillId="0" borderId="0"/>
    <xf numFmtId="0" fontId="3"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 fillId="0" borderId="0" applyNumberFormat="0" applyFill="0" applyBorder="0" applyAlignment="0" applyProtection="0"/>
    <xf numFmtId="0" fontId="2"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applyNumberFormat="0" applyFill="0" applyBorder="0" applyAlignment="0" applyProtection="0"/>
    <xf numFmtId="0" fontId="3" fillId="0" borderId="0" applyNumberFormat="0" applyFill="0" applyBorder="0" applyAlignment="0" applyProtection="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2"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applyNumberFormat="0" applyFill="0" applyBorder="0" applyAlignment="0" applyProtection="0"/>
    <xf numFmtId="0" fontId="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3" fillId="0" borderId="0" applyNumberFormat="0" applyFill="0" applyBorder="0" applyAlignment="0" applyProtection="0"/>
    <xf numFmtId="0" fontId="37" fillId="0" borderId="0"/>
    <xf numFmtId="0" fontId="3"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3" fillId="0" borderId="0"/>
    <xf numFmtId="0" fontId="3" fillId="0" borderId="0"/>
    <xf numFmtId="0" fontId="2"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3" fillId="0" borderId="0"/>
    <xf numFmtId="0" fontId="61" fillId="0" borderId="0"/>
    <xf numFmtId="0" fontId="61" fillId="0" borderId="0"/>
    <xf numFmtId="0" fontId="2" fillId="0" borderId="0"/>
    <xf numFmtId="0" fontId="61" fillId="0" borderId="0"/>
    <xf numFmtId="0" fontId="61" fillId="0" borderId="0"/>
    <xf numFmtId="0" fontId="61" fillId="0" borderId="0"/>
    <xf numFmtId="0" fontId="6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3" fillId="0" borderId="0"/>
    <xf numFmtId="0" fontId="3" fillId="0" borderId="0"/>
    <xf numFmtId="0" fontId="3" fillId="0" borderId="0"/>
    <xf numFmtId="0" fontId="2" fillId="0" borderId="0"/>
    <xf numFmtId="0" fontId="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3" fillId="0" borderId="0"/>
    <xf numFmtId="0" fontId="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3" fillId="0" borderId="0"/>
    <xf numFmtId="0" fontId="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3" fillId="0" borderId="0"/>
    <xf numFmtId="0" fontId="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3" fillId="0" borderId="0"/>
    <xf numFmtId="0" fontId="2" fillId="0" borderId="0"/>
    <xf numFmtId="0" fontId="3" fillId="0" borderId="0"/>
    <xf numFmtId="0" fontId="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applyNumberFormat="0" applyFill="0" applyBorder="0" applyAlignment="0" applyProtection="0"/>
    <xf numFmtId="0" fontId="3" fillId="0" borderId="0"/>
    <xf numFmtId="0" fontId="3" fillId="0" borderId="0"/>
    <xf numFmtId="0" fontId="3" fillId="0" borderId="0"/>
    <xf numFmtId="0" fontId="3" fillId="0" borderId="0" applyNumberFormat="0" applyFill="0" applyBorder="0" applyAlignment="0" applyProtection="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2" fillId="0" borderId="0"/>
    <xf numFmtId="0" fontId="2" fillId="0" borderId="0"/>
    <xf numFmtId="0" fontId="2" fillId="0" borderId="0"/>
    <xf numFmtId="0" fontId="2" fillId="0" borderId="0"/>
    <xf numFmtId="0" fontId="3" fillId="0" borderId="0"/>
    <xf numFmtId="0" fontId="1" fillId="0" borderId="0"/>
    <xf numFmtId="0" fontId="1" fillId="0" borderId="0"/>
    <xf numFmtId="0" fontId="3" fillId="0" borderId="0"/>
    <xf numFmtId="0" fontId="3" fillId="0" borderId="0"/>
    <xf numFmtId="0" fontId="1" fillId="0" borderId="0"/>
    <xf numFmtId="0" fontId="3" fillId="0" borderId="0"/>
    <xf numFmtId="0" fontId="3" fillId="0" borderId="0"/>
    <xf numFmtId="0" fontId="1"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3" fillId="0" borderId="0"/>
    <xf numFmtId="0" fontId="38" fillId="0" borderId="0"/>
    <xf numFmtId="0" fontId="38" fillId="0" borderId="0"/>
    <xf numFmtId="0" fontId="38" fillId="0" borderId="0"/>
    <xf numFmtId="0" fontId="38" fillId="0" borderId="0"/>
    <xf numFmtId="0" fontId="38" fillId="0" borderId="0"/>
    <xf numFmtId="0" fontId="3" fillId="0" borderId="0"/>
    <xf numFmtId="0" fontId="3" fillId="0" borderId="0"/>
    <xf numFmtId="0" fontId="3" fillId="0" borderId="0"/>
    <xf numFmtId="0" fontId="38"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applyNumberFormat="0" applyFill="0" applyBorder="0" applyAlignment="0" applyProtection="0"/>
    <xf numFmtId="0" fontId="2" fillId="0" borderId="0"/>
    <xf numFmtId="0" fontId="2" fillId="0" borderId="0"/>
    <xf numFmtId="0" fontId="2" fillId="0" borderId="0"/>
    <xf numFmtId="0" fontId="2" fillId="0" borderId="0"/>
    <xf numFmtId="0" fontId="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3" fillId="0" borderId="0"/>
    <xf numFmtId="0" fontId="2" fillId="0" borderId="0"/>
    <xf numFmtId="0" fontId="2"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3" fillId="0" borderId="0"/>
    <xf numFmtId="0" fontId="3" fillId="0" borderId="0"/>
    <xf numFmtId="0" fontId="38" fillId="0" borderId="0"/>
    <xf numFmtId="0" fontId="3" fillId="0" borderId="0"/>
    <xf numFmtId="0" fontId="3" fillId="0" borderId="0"/>
    <xf numFmtId="0" fontId="3" fillId="0" borderId="0"/>
    <xf numFmtId="0" fontId="3" fillId="0" borderId="0"/>
    <xf numFmtId="0" fontId="3" fillId="0" borderId="0"/>
    <xf numFmtId="0" fontId="3" fillId="0" borderId="0" applyNumberFormat="0" applyFill="0" applyBorder="0" applyAlignment="0" applyProtection="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3" fillId="0" borderId="0" applyFill="0" applyBorder="0" applyAlignment="0" applyProtection="0"/>
    <xf numFmtId="37" fontId="3" fillId="0" borderId="0" applyFill="0" applyBorder="0" applyProtection="0"/>
    <xf numFmtId="37" fontId="3" fillId="0" borderId="0" applyBorder="0" applyAlignment="0" applyProtection="0"/>
    <xf numFmtId="0" fontId="36" fillId="9" borderId="17" applyNumberFormat="0" applyFont="0" applyAlignment="0" applyProtection="0"/>
    <xf numFmtId="0" fontId="1" fillId="9" borderId="17" applyNumberFormat="0" applyFont="0" applyAlignment="0" applyProtection="0"/>
    <xf numFmtId="0" fontId="1" fillId="9" borderId="17" applyNumberFormat="0" applyFont="0" applyAlignment="0" applyProtection="0"/>
    <xf numFmtId="0" fontId="1" fillId="9" borderId="17" applyNumberFormat="0" applyFont="0" applyAlignment="0" applyProtection="0"/>
    <xf numFmtId="0" fontId="1" fillId="9" borderId="17" applyNumberFormat="0" applyFont="0" applyAlignment="0" applyProtection="0"/>
    <xf numFmtId="0" fontId="1" fillId="9" borderId="17" applyNumberFormat="0" applyFont="0" applyAlignment="0" applyProtection="0"/>
    <xf numFmtId="0" fontId="1" fillId="9" borderId="17" applyNumberFormat="0" applyFont="0" applyAlignment="0" applyProtection="0"/>
    <xf numFmtId="0" fontId="1" fillId="9" borderId="17" applyNumberFormat="0" applyFont="0" applyAlignment="0" applyProtection="0"/>
    <xf numFmtId="0" fontId="1" fillId="9" borderId="17" applyNumberFormat="0" applyFont="0" applyAlignment="0" applyProtection="0"/>
    <xf numFmtId="0" fontId="1" fillId="9" borderId="17" applyNumberFormat="0" applyFont="0" applyAlignment="0" applyProtection="0"/>
    <xf numFmtId="0" fontId="1" fillId="9" borderId="17" applyNumberFormat="0" applyFont="0" applyAlignment="0" applyProtection="0"/>
    <xf numFmtId="0" fontId="1" fillId="9" borderId="17" applyNumberFormat="0" applyFont="0" applyAlignment="0" applyProtection="0"/>
    <xf numFmtId="0" fontId="1" fillId="9" borderId="17" applyNumberFormat="0" applyFont="0" applyAlignment="0" applyProtection="0"/>
    <xf numFmtId="0" fontId="1" fillId="9" borderId="17" applyNumberFormat="0" applyFont="0" applyAlignment="0" applyProtection="0"/>
    <xf numFmtId="0" fontId="1" fillId="9" borderId="17" applyNumberFormat="0" applyFont="0" applyAlignment="0" applyProtection="0"/>
    <xf numFmtId="0" fontId="3" fillId="59" borderId="28" applyNumberFormat="0" applyFont="0" applyAlignment="0" applyProtection="0"/>
    <xf numFmtId="0" fontId="19" fillId="7" borderId="14" applyNumberFormat="0" applyAlignment="0" applyProtection="0"/>
    <xf numFmtId="0" fontId="19" fillId="7" borderId="14" applyNumberFormat="0" applyAlignment="0" applyProtection="0"/>
    <xf numFmtId="0" fontId="19" fillId="7" borderId="14" applyNumberFormat="0" applyAlignment="0" applyProtection="0"/>
    <xf numFmtId="0" fontId="19" fillId="7" borderId="14" applyNumberFormat="0" applyAlignment="0" applyProtection="0"/>
    <xf numFmtId="0" fontId="62" fillId="52" borderId="29" applyNumberFormat="0" applyAlignment="0" applyProtection="0"/>
    <xf numFmtId="0" fontId="62" fillId="52" borderId="29" applyNumberFormat="0" applyAlignment="0" applyProtection="0"/>
    <xf numFmtId="40" fontId="63" fillId="55" borderId="0">
      <alignment horizontal="right"/>
    </xf>
    <xf numFmtId="0" fontId="64" fillId="55" borderId="0">
      <alignment horizontal="right"/>
    </xf>
    <xf numFmtId="0" fontId="65" fillId="55" borderId="7"/>
    <xf numFmtId="0" fontId="65" fillId="0" borderId="0" applyBorder="0">
      <alignment horizontal="centerContinuous"/>
    </xf>
    <xf numFmtId="0" fontId="66" fillId="0" borderId="0" applyBorder="0">
      <alignment horizontal="centerContinuous"/>
    </xf>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6"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2" fillId="0" borderId="0" applyFont="0" applyFill="0" applyBorder="0" applyAlignment="0" applyProtection="0"/>
    <xf numFmtId="9" fontId="6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7" fillId="0" borderId="0" applyFont="0" applyFill="0" applyBorder="0" applyAlignment="0" applyProtection="0"/>
    <xf numFmtId="9" fontId="2" fillId="0" borderId="0" applyFont="0" applyFill="0" applyBorder="0" applyAlignment="0" applyProtection="0"/>
    <xf numFmtId="9" fontId="67" fillId="0" borderId="0" applyFont="0" applyFill="0" applyBorder="0" applyAlignment="0" applyProtection="0"/>
    <xf numFmtId="9" fontId="2" fillId="0" borderId="0" applyFont="0" applyFill="0" applyBorder="0" applyAlignment="0" applyProtection="0"/>
    <xf numFmtId="9" fontId="6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3" fontId="41" fillId="0" borderId="8" applyFill="0" applyProtection="0">
      <alignment horizontal="center" vertical="center" wrapText="1"/>
    </xf>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1" fillId="0" borderId="0" applyFont="0" applyFill="0" applyBorder="0" applyAlignment="0" applyProtection="0"/>
    <xf numFmtId="9" fontId="3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1" fillId="0" borderId="0" applyFont="0" applyFill="0" applyBorder="0" applyAlignment="0" applyProtection="0"/>
    <xf numFmtId="9" fontId="36" fillId="0" borderId="0" applyFont="0" applyFill="0" applyBorder="0" applyAlignment="0" applyProtection="0"/>
    <xf numFmtId="9" fontId="1" fillId="0" borderId="0" applyFont="0" applyFill="0" applyBorder="0" applyAlignment="0" applyProtection="0"/>
    <xf numFmtId="9" fontId="3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8" fillId="0" borderId="0" applyFont="0" applyFill="0" applyBorder="0" applyAlignment="0" applyProtection="0"/>
    <xf numFmtId="9" fontId="36" fillId="0" borderId="0" applyFont="0" applyFill="0" applyBorder="0" applyAlignment="0" applyProtection="0"/>
    <xf numFmtId="9" fontId="38"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9"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8" fillId="0" borderId="0" applyFont="0" applyFill="0" applyBorder="0" applyAlignment="0" applyProtection="0"/>
    <xf numFmtId="37" fontId="58" fillId="0" borderId="0" applyNumberFormat="0" applyBorder="0" applyAlignment="0"/>
    <xf numFmtId="0" fontId="68" fillId="0" borderId="0" applyNumberFormat="0" applyFont="0" applyFill="0" applyBorder="0" applyAlignment="0" applyProtection="0">
      <alignment horizontal="left"/>
    </xf>
    <xf numFmtId="15" fontId="68" fillId="0" borderId="0" applyFont="0" applyFill="0" applyBorder="0" applyAlignment="0" applyProtection="0"/>
    <xf numFmtId="4" fontId="68" fillId="0" borderId="0" applyFont="0" applyFill="0" applyBorder="0" applyAlignment="0" applyProtection="0"/>
    <xf numFmtId="0" fontId="69" fillId="0" borderId="8">
      <alignment horizontal="center"/>
    </xf>
    <xf numFmtId="3" fontId="68" fillId="0" borderId="0" applyFont="0" applyFill="0" applyBorder="0" applyAlignment="0" applyProtection="0"/>
    <xf numFmtId="0" fontId="68" fillId="60" borderId="0" applyNumberFormat="0" applyFont="0" applyBorder="0" applyAlignment="0" applyProtection="0"/>
    <xf numFmtId="0" fontId="70" fillId="0" borderId="30"/>
    <xf numFmtId="0" fontId="43" fillId="0" borderId="0"/>
    <xf numFmtId="0" fontId="43" fillId="0" borderId="0"/>
    <xf numFmtId="49" fontId="3" fillId="0" borderId="0">
      <alignment horizontal="left" wrapText="1"/>
    </xf>
    <xf numFmtId="0" fontId="71" fillId="61" borderId="0" applyNumberFormat="0" applyBorder="0" applyAlignment="0" applyProtection="0"/>
    <xf numFmtId="0" fontId="71" fillId="61" borderId="0" applyNumberFormat="0" applyBorder="0" applyAlignment="0" applyProtection="0"/>
    <xf numFmtId="0" fontId="71" fillId="61" borderId="0" applyNumberFormat="0" applyBorder="0" applyAlignment="0" applyProtection="0"/>
    <xf numFmtId="0" fontId="71" fillId="61" borderId="0" applyNumberFormat="0" applyBorder="0" applyAlignment="0" applyProtection="0"/>
    <xf numFmtId="0" fontId="71" fillId="61" borderId="0" applyNumberFormat="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72" fillId="61" borderId="0" applyNumberFormat="0" applyBorder="0" applyAlignment="0" applyProtection="0"/>
    <xf numFmtId="0" fontId="72" fillId="61" borderId="0" applyNumberFormat="0" applyBorder="0" applyAlignment="0" applyProtection="0"/>
    <xf numFmtId="0" fontId="72" fillId="61" borderId="0" applyNumberFormat="0" applyBorder="0" applyAlignment="0" applyProtection="0"/>
    <xf numFmtId="0" fontId="72" fillId="61" borderId="0" applyNumberFormat="0" applyBorder="0" applyAlignment="0" applyProtection="0"/>
    <xf numFmtId="0" fontId="72" fillId="61"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34" fillId="62" borderId="0" applyNumberFormat="0" applyBorder="0" applyAlignment="0" applyProtection="0"/>
    <xf numFmtId="0" fontId="34" fillId="62" borderId="0" applyNumberFormat="0" applyBorder="0" applyAlignment="0" applyProtection="0"/>
    <xf numFmtId="0" fontId="34" fillId="62" borderId="0" applyNumberFormat="0" applyBorder="0" applyAlignment="0" applyProtection="0"/>
    <xf numFmtId="0" fontId="34" fillId="62" borderId="0" applyNumberFormat="0" applyBorder="0" applyAlignment="0" applyProtection="0"/>
    <xf numFmtId="0" fontId="34" fillId="62" borderId="0" applyNumberFormat="0" applyBorder="0" applyAlignment="0" applyProtection="0"/>
    <xf numFmtId="0" fontId="34" fillId="62" borderId="0" applyNumberFormat="0" applyBorder="0" applyAlignment="0" applyProtection="0"/>
    <xf numFmtId="0" fontId="34" fillId="62" borderId="0" applyNumberFormat="0" applyBorder="0" applyAlignment="0" applyProtection="0"/>
    <xf numFmtId="0" fontId="34" fillId="62" borderId="0" applyNumberFormat="0" applyBorder="0" applyAlignment="0" applyProtection="0">
      <alignment wrapText="1"/>
    </xf>
    <xf numFmtId="0" fontId="34" fillId="62" borderId="0" applyNumberFormat="0" applyBorder="0" applyAlignment="0" applyProtection="0"/>
    <xf numFmtId="0" fontId="34" fillId="62" borderId="0" applyNumberFormat="0" applyBorder="0" applyProtection="0">
      <alignment horizontal="center"/>
    </xf>
    <xf numFmtId="0" fontId="34" fillId="62" borderId="0" applyNumberFormat="0" applyBorder="0" applyProtection="0">
      <alignment horizontal="center"/>
    </xf>
    <xf numFmtId="0" fontId="34" fillId="62" borderId="0" applyNumberFormat="0" applyBorder="0" applyProtection="0">
      <alignment horizontal="center"/>
    </xf>
    <xf numFmtId="0" fontId="34" fillId="62" borderId="0" applyNumberFormat="0" applyBorder="0" applyProtection="0">
      <alignment horizontal="center"/>
    </xf>
    <xf numFmtId="0" fontId="34" fillId="62" borderId="0" applyNumberFormat="0" applyBorder="0" applyProtection="0">
      <alignment horizontal="center"/>
    </xf>
    <xf numFmtId="0" fontId="73" fillId="62" borderId="0" applyNumberFormat="0" applyBorder="0" applyAlignment="0" applyProtection="0"/>
    <xf numFmtId="0" fontId="73" fillId="62" borderId="0" applyNumberFormat="0" applyBorder="0" applyAlignment="0" applyProtection="0"/>
    <xf numFmtId="0" fontId="73" fillId="62" borderId="0" applyNumberFormat="0" applyBorder="0" applyAlignment="0" applyProtection="0"/>
    <xf numFmtId="0" fontId="73" fillId="62" borderId="0" applyNumberFormat="0" applyBorder="0" applyAlignment="0" applyProtection="0"/>
    <xf numFmtId="0" fontId="73" fillId="62" borderId="0" applyNumberFormat="0" applyBorder="0" applyAlignment="0" applyProtection="0"/>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3" fillId="0" borderId="0" applyNumberFormat="0" applyFont="0" applyFill="0" applyBorder="0" applyProtection="0">
      <alignment horizontal="left"/>
    </xf>
    <xf numFmtId="0" fontId="3" fillId="0" borderId="0" applyNumberFormat="0" applyFont="0" applyFill="0" applyBorder="0" applyProtection="0">
      <alignment horizontal="left"/>
    </xf>
    <xf numFmtId="0" fontId="3" fillId="0" borderId="0" applyNumberFormat="0" applyFont="0" applyFill="0" applyBorder="0" applyProtection="0">
      <alignment horizontal="left"/>
    </xf>
    <xf numFmtId="0" fontId="3" fillId="0" borderId="0" applyNumberFormat="0" applyFont="0" applyFill="0" applyBorder="0" applyProtection="0">
      <alignment horizontal="left"/>
    </xf>
    <xf numFmtId="0" fontId="3" fillId="0" borderId="0" applyNumberFormat="0" applyFont="0" applyFill="0" applyBorder="0" applyProtection="0">
      <alignment horizontal="left"/>
    </xf>
    <xf numFmtId="0" fontId="3" fillId="0" borderId="0" applyNumberFormat="0" applyFont="0" applyFill="0" applyBorder="0" applyProtection="0">
      <alignment horizontal="left"/>
    </xf>
    <xf numFmtId="0" fontId="3" fillId="0" borderId="0" applyNumberFormat="0" applyFont="0" applyFill="0" applyBorder="0" applyProtection="0">
      <alignment horizontal="left"/>
    </xf>
    <xf numFmtId="0" fontId="3" fillId="0" borderId="0" applyNumberFormat="0" applyFont="0" applyFill="0" applyBorder="0" applyProtection="0">
      <alignment horizontal="left"/>
    </xf>
    <xf numFmtId="0" fontId="3" fillId="0" borderId="0" applyNumberFormat="0" applyFont="0" applyFill="0" applyBorder="0" applyProtection="0">
      <alignment horizontal="left"/>
    </xf>
    <xf numFmtId="0" fontId="3" fillId="0" borderId="0" applyNumberFormat="0" applyFont="0" applyFill="0" applyBorder="0" applyProtection="0">
      <alignment horizontal="left"/>
    </xf>
    <xf numFmtId="0" fontId="3" fillId="0" borderId="0" applyNumberFormat="0" applyFont="0" applyFill="0" applyBorder="0" applyProtection="0">
      <alignment horizontal="left"/>
    </xf>
    <xf numFmtId="0" fontId="3" fillId="0" borderId="0" applyNumberFormat="0" applyFont="0" applyFill="0" applyBorder="0" applyProtection="0">
      <alignment horizontal="left"/>
    </xf>
    <xf numFmtId="0" fontId="3" fillId="0" borderId="0" applyNumberFormat="0" applyFont="0" applyFill="0" applyBorder="0" applyProtection="0">
      <alignment horizontal="left"/>
    </xf>
    <xf numFmtId="0" fontId="3" fillId="0" borderId="0" applyNumberFormat="0" applyFont="0" applyFill="0" applyBorder="0" applyProtection="0">
      <alignment horizontal="left"/>
    </xf>
    <xf numFmtId="0" fontId="3" fillId="0" borderId="0" applyNumberFormat="0" applyFont="0" applyFill="0" applyBorder="0" applyProtection="0">
      <alignment horizontal="left"/>
    </xf>
    <xf numFmtId="0" fontId="3" fillId="0" borderId="0" applyNumberFormat="0" applyFont="0" applyFill="0" applyBorder="0" applyProtection="0">
      <alignment horizontal="left"/>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3" fillId="63" borderId="0" applyNumberFormat="0" applyFont="0" applyBorder="0" applyAlignment="0" applyProtection="0"/>
    <xf numFmtId="0" fontId="3" fillId="63" borderId="0" applyNumberFormat="0" applyFont="0" applyBorder="0" applyAlignment="0" applyProtection="0"/>
    <xf numFmtId="0" fontId="3" fillId="63" borderId="0" applyNumberFormat="0" applyFont="0" applyBorder="0" applyAlignment="0" applyProtection="0"/>
    <xf numFmtId="0" fontId="3" fillId="63" borderId="0" applyNumberFormat="0" applyFont="0" applyBorder="0" applyAlignment="0" applyProtection="0"/>
    <xf numFmtId="0" fontId="3" fillId="63" borderId="0" applyNumberFormat="0" applyFont="0" applyBorder="0" applyAlignment="0" applyProtection="0"/>
    <xf numFmtId="0" fontId="3" fillId="63" borderId="0" applyNumberFormat="0" applyFont="0" applyBorder="0" applyAlignment="0" applyProtection="0"/>
    <xf numFmtId="0" fontId="3" fillId="63" borderId="0" applyNumberFormat="0" applyFont="0" applyBorder="0" applyAlignment="0" applyProtection="0"/>
    <xf numFmtId="0" fontId="3" fillId="63" borderId="0" applyNumberFormat="0" applyFont="0" applyBorder="0" applyAlignment="0" applyProtection="0"/>
    <xf numFmtId="0" fontId="3" fillId="63" borderId="0" applyNumberFormat="0" applyFont="0" applyBorder="0" applyAlignment="0" applyProtection="0"/>
    <xf numFmtId="0" fontId="3" fillId="63" borderId="0" applyNumberFormat="0" applyFont="0" applyBorder="0" applyAlignment="0" applyProtection="0"/>
    <xf numFmtId="0" fontId="3" fillId="63" borderId="0" applyNumberFormat="0" applyFont="0" applyBorder="0" applyAlignment="0" applyProtection="0"/>
    <xf numFmtId="0" fontId="3" fillId="63" borderId="0" applyNumberFormat="0" applyFont="0" applyBorder="0" applyAlignment="0" applyProtection="0"/>
    <xf numFmtId="0" fontId="3" fillId="63" borderId="0" applyNumberFormat="0" applyFont="0" applyBorder="0" applyAlignment="0" applyProtection="0"/>
    <xf numFmtId="0" fontId="3" fillId="63" borderId="0" applyNumberFormat="0" applyFont="0" applyBorder="0" applyAlignment="0" applyProtection="0"/>
    <xf numFmtId="0" fontId="3" fillId="63" borderId="0" applyNumberFormat="0" applyFont="0" applyBorder="0" applyAlignment="0" applyProtection="0"/>
    <xf numFmtId="0" fontId="3" fillId="63" borderId="0" applyNumberFormat="0" applyFont="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3" fillId="0" borderId="8" applyNumberFormat="0" applyFont="0" applyFill="0" applyAlignment="0" applyProtection="0"/>
    <xf numFmtId="0" fontId="3" fillId="0" borderId="8" applyNumberFormat="0" applyFont="0" applyFill="0" applyAlignment="0" applyProtection="0"/>
    <xf numFmtId="0" fontId="3" fillId="0" borderId="8" applyNumberFormat="0" applyFont="0" applyFill="0" applyAlignment="0" applyProtection="0"/>
    <xf numFmtId="0" fontId="3" fillId="0" borderId="8" applyNumberFormat="0" applyFont="0" applyFill="0" applyAlignment="0" applyProtection="0"/>
    <xf numFmtId="0" fontId="3" fillId="0" borderId="8" applyNumberFormat="0" applyFont="0" applyFill="0" applyAlignment="0" applyProtection="0"/>
    <xf numFmtId="0" fontId="3" fillId="0" borderId="8" applyNumberFormat="0" applyFont="0" applyFill="0" applyAlignment="0" applyProtection="0"/>
    <xf numFmtId="0" fontId="3" fillId="0" borderId="8" applyNumberFormat="0" applyFont="0" applyFill="0" applyAlignment="0" applyProtection="0"/>
    <xf numFmtId="0" fontId="3" fillId="0" borderId="8" applyNumberFormat="0" applyFont="0" applyFill="0" applyAlignment="0" applyProtection="0"/>
    <xf numFmtId="0" fontId="3" fillId="0" borderId="8" applyNumberFormat="0" applyFont="0" applyFill="0" applyAlignment="0" applyProtection="0"/>
    <xf numFmtId="0" fontId="3" fillId="0" borderId="8" applyNumberFormat="0" applyFont="0" applyFill="0" applyAlignment="0" applyProtection="0"/>
    <xf numFmtId="0" fontId="3" fillId="0" borderId="8" applyNumberFormat="0" applyFont="0" applyFill="0" applyAlignment="0" applyProtection="0"/>
    <xf numFmtId="0" fontId="3" fillId="0" borderId="8" applyNumberFormat="0" applyFont="0" applyFill="0" applyAlignment="0" applyProtection="0"/>
    <xf numFmtId="0" fontId="3" fillId="0" borderId="8" applyNumberFormat="0" applyFont="0" applyFill="0" applyAlignment="0" applyProtection="0"/>
    <xf numFmtId="0" fontId="3" fillId="0" borderId="8" applyNumberFormat="0" applyFont="0" applyFill="0" applyAlignment="0" applyProtection="0"/>
    <xf numFmtId="0" fontId="3" fillId="0" borderId="8" applyNumberFormat="0" applyFont="0" applyFill="0" applyAlignment="0" applyProtection="0"/>
    <xf numFmtId="0" fontId="3" fillId="0" borderId="8" applyNumberFormat="0" applyFont="0" applyFill="0" applyAlignment="0" applyProtection="0"/>
    <xf numFmtId="0" fontId="3" fillId="0" borderId="8" applyNumberFormat="0" applyFont="0" applyFill="0" applyAlignment="0" applyProtection="0"/>
    <xf numFmtId="0" fontId="75" fillId="0" borderId="31"/>
    <xf numFmtId="0" fontId="43" fillId="0" borderId="22"/>
    <xf numFmtId="0" fontId="43" fillId="0" borderId="22"/>
    <xf numFmtId="37" fontId="76" fillId="0" borderId="0">
      <alignment horizontal="left"/>
    </xf>
    <xf numFmtId="37" fontId="3" fillId="0" borderId="0">
      <alignment horizontal="left" indent="1"/>
    </xf>
    <xf numFmtId="37" fontId="3" fillId="0" borderId="0">
      <alignment horizontal="left" indent="2"/>
    </xf>
    <xf numFmtId="37" fontId="3" fillId="0" borderId="0">
      <alignment horizontal="left" indent="3"/>
    </xf>
    <xf numFmtId="37" fontId="76" fillId="0" borderId="0">
      <alignment horizontal="left"/>
    </xf>
    <xf numFmtId="37" fontId="76" fillId="0" borderId="0">
      <alignment horizontal="left" indent="1"/>
    </xf>
    <xf numFmtId="49" fontId="2" fillId="0" borderId="0">
      <alignment horizontal="left" vertical="center" wrapText="1" indent="1"/>
    </xf>
    <xf numFmtId="0" fontId="77" fillId="0" borderId="0" applyAlignment="0"/>
    <xf numFmtId="0" fontId="3" fillId="0" borderId="0"/>
    <xf numFmtId="0" fontId="78" fillId="64" borderId="0"/>
    <xf numFmtId="0" fontId="78" fillId="64" borderId="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80" fillId="0" borderId="0">
      <alignment horizontal="left" vertical="center"/>
    </xf>
    <xf numFmtId="0" fontId="7" fillId="0" borderId="18" applyNumberFormat="0" applyFill="0" applyAlignment="0" applyProtection="0"/>
    <xf numFmtId="0" fontId="7" fillId="0" borderId="18" applyNumberFormat="0" applyFill="0" applyAlignment="0" applyProtection="0"/>
    <xf numFmtId="0" fontId="7" fillId="0" borderId="18" applyNumberFormat="0" applyFill="0" applyAlignment="0" applyProtection="0"/>
    <xf numFmtId="0" fontId="7" fillId="0" borderId="18" applyNumberFormat="0" applyFill="0" applyAlignment="0" applyProtection="0"/>
    <xf numFmtId="0" fontId="81" fillId="0" borderId="32" applyNumberFormat="0" applyFill="0" applyAlignment="0" applyProtection="0"/>
    <xf numFmtId="0" fontId="81" fillId="0" borderId="32" applyNumberFormat="0" applyFill="0" applyAlignment="0" applyProtection="0"/>
    <xf numFmtId="0" fontId="57" fillId="0" borderId="33"/>
    <xf numFmtId="0" fontId="57" fillId="0" borderId="33"/>
    <xf numFmtId="0" fontId="57" fillId="0" borderId="22"/>
    <xf numFmtId="0" fontId="57" fillId="0" borderId="22"/>
    <xf numFmtId="177" fontId="82" fillId="0" borderId="0"/>
    <xf numFmtId="39" fontId="44" fillId="0" borderId="34"/>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83" fillId="0" borderId="0" applyNumberForma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3" fillId="0" borderId="0"/>
    <xf numFmtId="0" fontId="2"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2" fillId="0" borderId="0"/>
    <xf numFmtId="9"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 fontId="41" fillId="0" borderId="35" applyFill="0" applyProtection="0">
      <alignment horizontal="center" vertical="center" wrapText="1"/>
    </xf>
    <xf numFmtId="3" fontId="41" fillId="0" borderId="35" applyFill="0" applyProtection="0">
      <alignment horizontal="center" vertical="center" wrapText="1"/>
    </xf>
    <xf numFmtId="0" fontId="69" fillId="0" borderId="35">
      <alignment horizontal="center"/>
    </xf>
    <xf numFmtId="43" fontId="1" fillId="0" borderId="0" applyFont="0" applyFill="0" applyBorder="0" applyAlignment="0" applyProtection="0"/>
    <xf numFmtId="0" fontId="1" fillId="0" borderId="0"/>
    <xf numFmtId="0" fontId="5" fillId="0" borderId="0"/>
    <xf numFmtId="0" fontId="3" fillId="0" borderId="35" applyNumberFormat="0" applyFont="0" applyFill="0" applyAlignment="0" applyProtection="0"/>
    <xf numFmtId="0" fontId="3" fillId="0" borderId="35" applyNumberFormat="0" applyFont="0" applyFill="0" applyAlignment="0" applyProtection="0"/>
    <xf numFmtId="0" fontId="3" fillId="0" borderId="35" applyNumberFormat="0" applyFont="0" applyFill="0" applyAlignment="0" applyProtection="0"/>
    <xf numFmtId="0" fontId="3" fillId="0" borderId="35" applyNumberFormat="0" applyFont="0" applyFill="0" applyAlignment="0" applyProtection="0"/>
    <xf numFmtId="0" fontId="3" fillId="0" borderId="35" applyNumberFormat="0" applyFont="0" applyFill="0" applyAlignment="0" applyProtection="0"/>
    <xf numFmtId="0" fontId="3" fillId="0" borderId="35" applyNumberFormat="0" applyFont="0" applyFill="0" applyAlignment="0" applyProtection="0"/>
    <xf numFmtId="0" fontId="3" fillId="0" borderId="35" applyNumberFormat="0" applyFont="0" applyFill="0" applyAlignment="0" applyProtection="0"/>
    <xf numFmtId="0" fontId="3" fillId="0" borderId="35" applyNumberFormat="0" applyFont="0" applyFill="0" applyAlignment="0" applyProtection="0"/>
    <xf numFmtId="0" fontId="3" fillId="0" borderId="35" applyNumberFormat="0" applyFont="0" applyFill="0" applyAlignment="0" applyProtection="0"/>
    <xf numFmtId="0" fontId="3" fillId="0" borderId="35" applyNumberFormat="0" applyFont="0" applyFill="0" applyAlignment="0" applyProtection="0"/>
    <xf numFmtId="0" fontId="3" fillId="0" borderId="35" applyNumberFormat="0" applyFont="0" applyFill="0" applyAlignment="0" applyProtection="0"/>
    <xf numFmtId="0" fontId="3" fillId="0" borderId="35" applyNumberFormat="0" applyFont="0" applyFill="0" applyAlignment="0" applyProtection="0"/>
    <xf numFmtId="0" fontId="3" fillId="0" borderId="35" applyNumberFormat="0" applyFont="0" applyFill="0" applyAlignment="0" applyProtection="0"/>
    <xf numFmtId="0" fontId="3" fillId="0" borderId="35" applyNumberFormat="0" applyFont="0" applyFill="0" applyAlignment="0" applyProtection="0"/>
    <xf numFmtId="0" fontId="3" fillId="0" borderId="35" applyNumberFormat="0" applyFont="0" applyFill="0" applyAlignment="0" applyProtection="0"/>
    <xf numFmtId="0" fontId="3" fillId="0" borderId="35" applyNumberFormat="0" applyFont="0" applyFill="0" applyAlignment="0" applyProtection="0"/>
    <xf numFmtId="0" fontId="3" fillId="0" borderId="35" applyNumberFormat="0" applyFont="0" applyFill="0" applyAlignment="0" applyProtection="0"/>
    <xf numFmtId="44" fontId="5" fillId="0" borderId="0" applyFont="0" applyFill="0" applyBorder="0" applyAlignment="0" applyProtection="0"/>
    <xf numFmtId="9" fontId="5" fillId="0" borderId="0" applyFont="0" applyFill="0" applyBorder="0" applyAlignment="0" applyProtection="0"/>
    <xf numFmtId="0" fontId="5" fillId="0" borderId="0"/>
    <xf numFmtId="0" fontId="1" fillId="0" borderId="0" applyNumberFormat="0" applyBorder="0" applyProtection="0">
      <alignment vertical="center"/>
    </xf>
    <xf numFmtId="0" fontId="1" fillId="0" borderId="0" applyNumberFormat="0" applyBorder="0" applyProtection="0">
      <alignment vertical="center"/>
    </xf>
    <xf numFmtId="9" fontId="1" fillId="0" borderId="0" applyFont="0" applyFill="0" applyBorder="0" applyAlignment="0" applyProtection="0"/>
    <xf numFmtId="9" fontId="1" fillId="0" borderId="0" applyFont="0" applyFill="0" applyBorder="0" applyAlignment="0" applyProtection="0"/>
    <xf numFmtId="0" fontId="1" fillId="0" borderId="0" applyNumberFormat="0" applyBorder="0" applyProtection="0">
      <alignment vertical="center"/>
    </xf>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applyNumberFormat="0" applyBorder="0" applyProtection="0">
      <alignment vertical="center"/>
    </xf>
    <xf numFmtId="9" fontId="1" fillId="0" borderId="0" applyFont="0" applyFill="0" applyBorder="0" applyAlignment="0" applyProtection="0"/>
    <xf numFmtId="0" fontId="1" fillId="0" borderId="0" applyNumberFormat="0" applyBorder="0" applyProtection="0">
      <alignment vertical="center"/>
    </xf>
    <xf numFmtId="9" fontId="1" fillId="0" borderId="0" applyFont="0" applyFill="0" applyBorder="0" applyAlignment="0" applyProtection="0"/>
    <xf numFmtId="0" fontId="1" fillId="0" borderId="0" applyNumberFormat="0" applyBorder="0" applyProtection="0">
      <alignment vertical="center"/>
    </xf>
    <xf numFmtId="178" fontId="5" fillId="0" borderId="0"/>
    <xf numFmtId="178" fontId="5" fillId="0" borderId="0"/>
    <xf numFmtId="178" fontId="2" fillId="0" borderId="0"/>
    <xf numFmtId="0" fontId="1" fillId="0" borderId="0" applyNumberFormat="0" applyBorder="0" applyProtection="0">
      <alignment vertical="center"/>
    </xf>
    <xf numFmtId="42" fontId="3" fillId="0" borderId="36"/>
    <xf numFmtId="42" fontId="3" fillId="0" borderId="36"/>
    <xf numFmtId="0" fontId="2" fillId="0" borderId="0"/>
    <xf numFmtId="0" fontId="1" fillId="0" borderId="0" applyNumberFormat="0" applyBorder="0" applyProtection="0">
      <alignment vertical="center"/>
    </xf>
    <xf numFmtId="9" fontId="1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applyNumberFormat="0" applyBorder="0" applyProtection="0">
      <alignment vertical="center"/>
    </xf>
    <xf numFmtId="0" fontId="55" fillId="0" borderId="0" applyNumberFormat="0" applyFill="0" applyBorder="0" applyAlignment="0" applyProtection="0"/>
    <xf numFmtId="0" fontId="106" fillId="0" borderId="0" applyNumberFormat="0" applyFill="0" applyBorder="0" applyAlignment="0" applyProtection="0"/>
    <xf numFmtId="0" fontId="1" fillId="0" borderId="0"/>
    <xf numFmtId="0" fontId="29" fillId="65" borderId="41">
      <alignment horizontal="center" vertical="center"/>
    </xf>
    <xf numFmtId="164" fontId="3" fillId="0" borderId="0" applyFont="0" applyFill="0" applyBorder="0" applyAlignment="0" applyProtection="0"/>
  </cellStyleXfs>
  <cellXfs count="376">
    <xf numFmtId="0" fontId="0" fillId="0" borderId="0" xfId="0"/>
    <xf numFmtId="0" fontId="85" fillId="0" borderId="0" xfId="6" applyFont="1">
      <alignment vertical="center"/>
    </xf>
    <xf numFmtId="0" fontId="10" fillId="0" borderId="0" xfId="7" applyFont="1" applyAlignment="1">
      <alignment horizontal="center" wrapText="1"/>
    </xf>
    <xf numFmtId="0" fontId="10" fillId="0" borderId="0" xfId="7" applyFont="1" applyAlignment="1">
      <alignment horizontal="center" vertical="center" wrapText="1"/>
    </xf>
    <xf numFmtId="0" fontId="10" fillId="0" borderId="0" xfId="8" applyFont="1" applyAlignment="1">
      <alignment horizontal="center" vertical="center" wrapText="1"/>
    </xf>
    <xf numFmtId="0" fontId="10" fillId="0" borderId="0" xfId="8" applyFont="1" applyAlignment="1">
      <alignment horizontal="right" vertical="center"/>
    </xf>
    <xf numFmtId="10" fontId="10" fillId="0" borderId="0" xfId="8" applyNumberFormat="1" applyFont="1" applyAlignment="1">
      <alignment horizontal="center" vertical="center" wrapText="1"/>
    </xf>
    <xf numFmtId="166" fontId="10" fillId="0" borderId="0" xfId="8" applyNumberFormat="1" applyFont="1" applyAlignment="1">
      <alignment horizontal="center" vertical="center" wrapText="1"/>
    </xf>
    <xf numFmtId="10" fontId="10" fillId="0" borderId="0" xfId="8" applyNumberFormat="1" applyFont="1" applyAlignment="1">
      <alignment horizontal="right" vertical="center"/>
    </xf>
    <xf numFmtId="0" fontId="85" fillId="0" borderId="0" xfId="6" applyFont="1" applyAlignment="1">
      <alignment horizontal="right" vertical="center"/>
    </xf>
    <xf numFmtId="10" fontId="85" fillId="0" borderId="0" xfId="6" applyNumberFormat="1" applyFont="1">
      <alignment vertical="center"/>
    </xf>
    <xf numFmtId="0" fontId="85" fillId="0" borderId="0" xfId="4" applyFont="1"/>
    <xf numFmtId="0" fontId="85" fillId="0" borderId="0" xfId="31" applyFont="1">
      <alignment vertical="center"/>
    </xf>
    <xf numFmtId="0" fontId="86" fillId="0" borderId="0" xfId="21" applyFont="1"/>
    <xf numFmtId="0" fontId="10" fillId="0" borderId="0" xfId="21" applyFont="1"/>
    <xf numFmtId="0" fontId="10" fillId="0" borderId="0" xfId="21" applyFont="1" applyAlignment="1">
      <alignment horizontal="center"/>
    </xf>
    <xf numFmtId="0" fontId="10" fillId="0" borderId="5" xfId="21" applyFont="1" applyBorder="1"/>
    <xf numFmtId="0" fontId="10" fillId="0" borderId="5" xfId="21" applyFont="1" applyBorder="1" applyAlignment="1">
      <alignment horizontal="center"/>
    </xf>
    <xf numFmtId="0" fontId="85" fillId="0" borderId="0" xfId="31" applyFont="1" applyAlignment="1">
      <alignment horizontal="center" vertical="center"/>
    </xf>
    <xf numFmtId="0" fontId="85" fillId="0" borderId="5" xfId="31" applyFont="1" applyBorder="1">
      <alignment vertical="center"/>
    </xf>
    <xf numFmtId="169" fontId="85" fillId="0" borderId="0" xfId="29" applyNumberFormat="1" applyFont="1" applyAlignment="1">
      <alignment vertical="center"/>
    </xf>
    <xf numFmtId="0" fontId="85" fillId="0" borderId="0" xfId="46" applyFont="1">
      <alignment vertical="center"/>
    </xf>
    <xf numFmtId="170" fontId="85" fillId="0" borderId="0" xfId="44" applyNumberFormat="1" applyFont="1" applyAlignment="1">
      <alignment vertical="center"/>
    </xf>
    <xf numFmtId="9" fontId="85" fillId="0" borderId="0" xfId="1" applyFont="1" applyAlignment="1">
      <alignment vertical="center"/>
    </xf>
    <xf numFmtId="9" fontId="85" fillId="0" borderId="0" xfId="31" applyNumberFormat="1" applyFont="1">
      <alignment vertical="center"/>
    </xf>
    <xf numFmtId="0" fontId="85" fillId="0" borderId="0" xfId="2" applyFont="1">
      <alignment vertical="center"/>
    </xf>
    <xf numFmtId="0" fontId="85" fillId="0" borderId="0" xfId="2" applyFont="1" applyBorder="1" applyAlignment="1">
      <alignment horizontal="left" vertical="center"/>
    </xf>
    <xf numFmtId="0" fontId="85" fillId="0" borderId="0" xfId="2" applyFont="1" applyBorder="1" applyAlignment="1">
      <alignment horizontal="center" vertical="center"/>
    </xf>
    <xf numFmtId="10" fontId="85" fillId="0" borderId="0" xfId="2" applyNumberFormat="1" applyFont="1" applyBorder="1" applyAlignment="1">
      <alignment horizontal="center" vertical="center"/>
    </xf>
    <xf numFmtId="10" fontId="85" fillId="0" borderId="0" xfId="2" applyNumberFormat="1" applyFont="1">
      <alignment vertical="center"/>
    </xf>
    <xf numFmtId="0" fontId="85" fillId="0" borderId="5" xfId="2" applyFont="1" applyBorder="1">
      <alignment vertical="center"/>
    </xf>
    <xf numFmtId="2" fontId="85" fillId="0" borderId="5" xfId="1" applyNumberFormat="1" applyFont="1" applyBorder="1" applyAlignment="1">
      <alignment horizontal="center" vertical="center"/>
    </xf>
    <xf numFmtId="0" fontId="85" fillId="0" borderId="5" xfId="4" applyFont="1" applyBorder="1"/>
    <xf numFmtId="0" fontId="89" fillId="0" borderId="0" xfId="2" applyFont="1" applyAlignment="1">
      <alignment horizontal="center" vertical="center"/>
    </xf>
    <xf numFmtId="0" fontId="89" fillId="0" borderId="0" xfId="4" applyFont="1"/>
    <xf numFmtId="0" fontId="89" fillId="0" borderId="0" xfId="2" applyFont="1">
      <alignment vertical="center"/>
    </xf>
    <xf numFmtId="10" fontId="89" fillId="0" borderId="0" xfId="2" applyNumberFormat="1" applyFont="1">
      <alignment vertical="center"/>
    </xf>
    <xf numFmtId="0" fontId="87" fillId="0" borderId="35" xfId="2" applyFont="1" applyBorder="1">
      <alignment vertical="center"/>
    </xf>
    <xf numFmtId="0" fontId="90" fillId="0" borderId="0" xfId="2" applyFont="1">
      <alignment vertical="center"/>
    </xf>
    <xf numFmtId="169" fontId="85" fillId="0" borderId="0" xfId="29" applyNumberFormat="1" applyFont="1" applyFill="1" applyAlignment="1">
      <alignment vertical="center"/>
    </xf>
    <xf numFmtId="0" fontId="92" fillId="0" borderId="0" xfId="3" applyFont="1"/>
    <xf numFmtId="0" fontId="92" fillId="0" borderId="0" xfId="3" applyFont="1" applyAlignment="1">
      <alignment horizontal="center"/>
    </xf>
    <xf numFmtId="0" fontId="92" fillId="0" borderId="0" xfId="4" applyFont="1"/>
    <xf numFmtId="0" fontId="92" fillId="0" borderId="0" xfId="4" applyFont="1" applyAlignment="1">
      <alignment horizontal="center"/>
    </xf>
    <xf numFmtId="10" fontId="92" fillId="0" borderId="0" xfId="1" applyNumberFormat="1" applyFont="1" applyFill="1" applyBorder="1" applyAlignment="1">
      <alignment horizontal="center"/>
    </xf>
    <xf numFmtId="10" fontId="92" fillId="0" borderId="0" xfId="1" applyNumberFormat="1" applyFont="1" applyAlignment="1">
      <alignment horizontal="center"/>
    </xf>
    <xf numFmtId="10" fontId="92" fillId="0" borderId="0" xfId="1" applyNumberFormat="1" applyFont="1"/>
    <xf numFmtId="10" fontId="92" fillId="0" borderId="0" xfId="3" applyNumberFormat="1" applyFont="1"/>
    <xf numFmtId="10" fontId="92" fillId="0" borderId="0" xfId="1" applyNumberFormat="1" applyFont="1" applyFill="1"/>
    <xf numFmtId="0" fontId="92" fillId="0" borderId="5" xfId="3" applyFont="1" applyBorder="1"/>
    <xf numFmtId="10" fontId="92" fillId="0" borderId="0" xfId="1" applyNumberFormat="1" applyFont="1" applyFill="1" applyAlignment="1">
      <alignment horizontal="center"/>
    </xf>
    <xf numFmtId="0" fontId="85" fillId="0" borderId="0" xfId="6" applyFont="1" applyBorder="1">
      <alignment vertical="center"/>
    </xf>
    <xf numFmtId="0" fontId="93" fillId="0" borderId="0" xfId="20" applyFont="1"/>
    <xf numFmtId="0" fontId="94" fillId="0" borderId="0" xfId="20" applyFont="1"/>
    <xf numFmtId="0" fontId="92" fillId="0" borderId="0" xfId="18" applyFont="1"/>
    <xf numFmtId="0" fontId="92" fillId="0" borderId="0" xfId="18" applyFont="1" applyAlignment="1">
      <alignment horizontal="center"/>
    </xf>
    <xf numFmtId="0" fontId="92" fillId="0" borderId="6" xfId="18" applyFont="1" applyBorder="1"/>
    <xf numFmtId="0" fontId="92" fillId="0" borderId="5" xfId="18" applyFont="1" applyBorder="1"/>
    <xf numFmtId="0" fontId="93" fillId="0" borderId="5" xfId="18" applyFont="1" applyBorder="1" applyAlignment="1">
      <alignment horizontal="center"/>
    </xf>
    <xf numFmtId="0" fontId="92" fillId="0" borderId="5" xfId="18" applyFont="1" applyBorder="1" applyAlignment="1">
      <alignment horizontal="center"/>
    </xf>
    <xf numFmtId="0" fontId="92" fillId="0" borderId="5" xfId="18" applyFont="1" applyBorder="1" applyAlignment="1">
      <alignment horizontal="center" wrapText="1"/>
    </xf>
    <xf numFmtId="0" fontId="95" fillId="0" borderId="0" xfId="20" applyFont="1" applyAlignment="1">
      <alignment horizontal="center"/>
    </xf>
    <xf numFmtId="0" fontId="93" fillId="0" borderId="0" xfId="9492" applyFont="1" applyAlignment="1">
      <alignment vertical="center"/>
    </xf>
    <xf numFmtId="0" fontId="93" fillId="0" borderId="0" xfId="18" applyFont="1" applyAlignment="1">
      <alignment horizontal="center"/>
    </xf>
    <xf numFmtId="0" fontId="92" fillId="0" borderId="0" xfId="18" applyFont="1" applyAlignment="1">
      <alignment horizontal="center" wrapText="1"/>
    </xf>
    <xf numFmtId="0" fontId="93" fillId="0" borderId="0" xfId="20" applyFont="1" applyAlignment="1">
      <alignment horizontal="center"/>
    </xf>
    <xf numFmtId="0" fontId="92" fillId="0" borderId="37" xfId="24" applyFont="1" applyBorder="1" applyAlignment="1">
      <alignment vertical="center"/>
    </xf>
    <xf numFmtId="0" fontId="93" fillId="0" borderId="37" xfId="25" applyFont="1" applyBorder="1" applyAlignment="1">
      <alignment vertical="center"/>
    </xf>
    <xf numFmtId="2" fontId="93" fillId="0" borderId="37" xfId="25" applyNumberFormat="1" applyFont="1" applyBorder="1" applyAlignment="1">
      <alignment horizontal="center" vertical="center" wrapText="1"/>
    </xf>
    <xf numFmtId="2" fontId="92" fillId="0" borderId="37" xfId="25" applyNumberFormat="1" applyFont="1" applyBorder="1" applyAlignment="1">
      <alignment horizontal="center" vertical="center"/>
    </xf>
    <xf numFmtId="0" fontId="93" fillId="0" borderId="9" xfId="24" applyFont="1" applyBorder="1"/>
    <xf numFmtId="0" fontId="92" fillId="0" borderId="9" xfId="25" applyFont="1" applyBorder="1"/>
    <xf numFmtId="2" fontId="93" fillId="0" borderId="9" xfId="25" applyNumberFormat="1" applyFont="1" applyBorder="1" applyAlignment="1">
      <alignment horizontal="center" vertical="center" wrapText="1"/>
    </xf>
    <xf numFmtId="2" fontId="93" fillId="0" borderId="9" xfId="20" applyNumberFormat="1" applyFont="1" applyBorder="1" applyAlignment="1">
      <alignment horizontal="center"/>
    </xf>
    <xf numFmtId="0" fontId="92" fillId="0" borderId="5" xfId="26" applyFont="1" applyBorder="1"/>
    <xf numFmtId="0" fontId="93" fillId="0" borderId="0" xfId="18" applyFont="1"/>
    <xf numFmtId="0" fontId="93" fillId="0" borderId="5" xfId="9492" applyFont="1" applyBorder="1" applyAlignment="1">
      <alignment vertical="center"/>
    </xf>
    <xf numFmtId="0" fontId="93" fillId="0" borderId="0" xfId="21" applyFont="1"/>
    <xf numFmtId="0" fontId="93" fillId="0" borderId="0" xfId="49" applyFont="1"/>
    <xf numFmtId="0" fontId="92" fillId="0" borderId="0" xfId="20" applyFont="1"/>
    <xf numFmtId="0" fontId="92" fillId="0" borderId="0" xfId="20" applyFont="1" applyAlignment="1">
      <alignment horizontal="center"/>
    </xf>
    <xf numFmtId="0" fontId="92" fillId="0" borderId="0" xfId="9492" applyFont="1" applyAlignment="1">
      <alignment vertical="center"/>
    </xf>
    <xf numFmtId="0" fontId="93" fillId="0" borderId="0" xfId="4" applyFont="1" applyAlignment="1">
      <alignment horizontal="center"/>
    </xf>
    <xf numFmtId="0" fontId="92" fillId="0" borderId="9" xfId="25" applyFont="1" applyBorder="1" applyAlignment="1">
      <alignment horizontal="center"/>
    </xf>
    <xf numFmtId="2" fontId="92" fillId="0" borderId="9" xfId="25" applyNumberFormat="1" applyFont="1" applyBorder="1" applyAlignment="1">
      <alignment horizontal="center"/>
    </xf>
    <xf numFmtId="0" fontId="93" fillId="0" borderId="0" xfId="0" applyFont="1"/>
    <xf numFmtId="0" fontId="93" fillId="0" borderId="0" xfId="0" applyFont="1" applyAlignment="1">
      <alignment horizontal="center"/>
    </xf>
    <xf numFmtId="0" fontId="92" fillId="0" borderId="0" xfId="0" applyFont="1"/>
    <xf numFmtId="0" fontId="95" fillId="0" borderId="0" xfId="0" applyFont="1"/>
    <xf numFmtId="167" fontId="92" fillId="0" borderId="0" xfId="0" applyNumberFormat="1" applyFont="1" applyAlignment="1">
      <alignment horizontal="center"/>
    </xf>
    <xf numFmtId="0" fontId="92" fillId="0" borderId="0" xfId="0" applyFont="1" applyAlignment="1">
      <alignment horizontal="center"/>
    </xf>
    <xf numFmtId="10" fontId="93" fillId="0" borderId="0" xfId="1" applyNumberFormat="1" applyFont="1" applyFill="1" applyBorder="1" applyAlignment="1">
      <alignment horizontal="center"/>
    </xf>
    <xf numFmtId="0" fontId="93" fillId="0" borderId="5" xfId="0" applyFont="1" applyBorder="1"/>
    <xf numFmtId="10" fontId="93" fillId="0" borderId="0" xfId="1" applyNumberFormat="1" applyFont="1" applyFill="1" applyAlignment="1">
      <alignment horizontal="center"/>
    </xf>
    <xf numFmtId="0" fontId="93" fillId="0" borderId="0" xfId="2" applyFont="1">
      <alignment vertical="center"/>
    </xf>
    <xf numFmtId="0" fontId="95" fillId="0" borderId="0" xfId="0" applyFont="1" applyAlignment="1">
      <alignment horizontal="center"/>
    </xf>
    <xf numFmtId="0" fontId="92" fillId="0" borderId="3" xfId="0" applyFont="1" applyBorder="1" applyAlignment="1">
      <alignment horizontal="center"/>
    </xf>
    <xf numFmtId="0" fontId="92" fillId="0" borderId="4" xfId="0" applyFont="1" applyBorder="1"/>
    <xf numFmtId="2" fontId="92" fillId="0" borderId="0" xfId="0" applyNumberFormat="1" applyFont="1" applyAlignment="1">
      <alignment horizontal="center"/>
    </xf>
    <xf numFmtId="167" fontId="93" fillId="0" borderId="8" xfId="0" applyNumberFormat="1" applyFont="1" applyBorder="1" applyAlignment="1">
      <alignment horizontal="center"/>
    </xf>
    <xf numFmtId="0" fontId="92" fillId="0" borderId="3" xfId="0" applyFont="1" applyBorder="1" applyAlignment="1">
      <alignment horizontal="centerContinuous"/>
    </xf>
    <xf numFmtId="14" fontId="92" fillId="0" borderId="3" xfId="0" applyNumberFormat="1" applyFont="1" applyBorder="1" applyAlignment="1">
      <alignment horizontal="center"/>
    </xf>
    <xf numFmtId="14" fontId="92" fillId="0" borderId="5" xfId="0" applyNumberFormat="1" applyFont="1" applyBorder="1" applyAlignment="1">
      <alignment horizontal="center"/>
    </xf>
    <xf numFmtId="14" fontId="92" fillId="0" borderId="5" xfId="0" applyNumberFormat="1" applyFont="1" applyBorder="1" applyAlignment="1">
      <alignment horizontal="center" wrapText="1"/>
    </xf>
    <xf numFmtId="2" fontId="93" fillId="0" borderId="0" xfId="2" applyNumberFormat="1" applyFont="1" applyAlignment="1">
      <alignment horizontal="center" vertical="center"/>
    </xf>
    <xf numFmtId="0" fontId="93" fillId="0" borderId="9" xfId="2" applyFont="1" applyBorder="1">
      <alignment vertical="center"/>
    </xf>
    <xf numFmtId="2" fontId="93" fillId="0" borderId="9" xfId="2" applyNumberFormat="1" applyFont="1" applyBorder="1" applyAlignment="1">
      <alignment horizontal="center" vertical="center"/>
    </xf>
    <xf numFmtId="0" fontId="10" fillId="0" borderId="0" xfId="2" applyFont="1">
      <alignment vertical="center"/>
    </xf>
    <xf numFmtId="0" fontId="10" fillId="0" borderId="0" xfId="0" applyFont="1"/>
    <xf numFmtId="10" fontId="98" fillId="0" borderId="0" xfId="1" applyNumberFormat="1" applyFont="1" applyFill="1" applyAlignment="1">
      <alignment horizontal="center"/>
    </xf>
    <xf numFmtId="10" fontId="98" fillId="0" borderId="0" xfId="9479" applyNumberFormat="1" applyFont="1" applyFill="1" applyAlignment="1">
      <alignment horizontal="center"/>
    </xf>
    <xf numFmtId="0" fontId="96" fillId="0" borderId="0" xfId="6" applyFont="1">
      <alignment vertical="center"/>
    </xf>
    <xf numFmtId="0" fontId="99" fillId="0" borderId="0" xfId="6" applyFont="1" applyAlignment="1">
      <alignment vertical="center" wrapText="1"/>
    </xf>
    <xf numFmtId="0" fontId="92" fillId="0" borderId="0" xfId="12" applyFont="1"/>
    <xf numFmtId="0" fontId="92" fillId="0" borderId="0" xfId="12" applyFont="1" applyAlignment="1">
      <alignment horizontal="center"/>
    </xf>
    <xf numFmtId="0" fontId="92" fillId="0" borderId="3" xfId="12" applyFont="1" applyBorder="1" applyAlignment="1">
      <alignment horizontal="center"/>
    </xf>
    <xf numFmtId="0" fontId="92" fillId="0" borderId="3" xfId="12" applyFont="1" applyBorder="1" applyAlignment="1">
      <alignment horizontal="center" wrapText="1"/>
    </xf>
    <xf numFmtId="0" fontId="92" fillId="0" borderId="0" xfId="12" quotePrefix="1" applyFont="1" applyAlignment="1">
      <alignment horizontal="center"/>
    </xf>
    <xf numFmtId="10" fontId="92" fillId="0" borderId="36" xfId="13" applyNumberFormat="1" applyFont="1" applyBorder="1" applyAlignment="1">
      <alignment horizontal="center"/>
    </xf>
    <xf numFmtId="10" fontId="92" fillId="0" borderId="0" xfId="13" applyNumberFormat="1" applyFont="1" applyAlignment="1">
      <alignment horizontal="center"/>
    </xf>
    <xf numFmtId="10" fontId="92" fillId="0" borderId="0" xfId="13" applyNumberFormat="1" applyFont="1" applyBorder="1" applyAlignment="1">
      <alignment horizontal="center"/>
    </xf>
    <xf numFmtId="0" fontId="92" fillId="0" borderId="0" xfId="11" applyFont="1"/>
    <xf numFmtId="0" fontId="96" fillId="0" borderId="0" xfId="6" applyFont="1" applyBorder="1">
      <alignment vertical="center"/>
    </xf>
    <xf numFmtId="10" fontId="92" fillId="0" borderId="0" xfId="13" applyNumberFormat="1" applyFont="1" applyFill="1" applyBorder="1" applyAlignment="1">
      <alignment horizontal="center"/>
    </xf>
    <xf numFmtId="10" fontId="92" fillId="0" borderId="5" xfId="13" applyNumberFormat="1" applyFont="1" applyFill="1" applyBorder="1" applyAlignment="1">
      <alignment horizontal="center"/>
    </xf>
    <xf numFmtId="10" fontId="96" fillId="0" borderId="0" xfId="6" applyNumberFormat="1" applyFont="1">
      <alignment vertical="center"/>
    </xf>
    <xf numFmtId="0" fontId="92" fillId="0" borderId="36" xfId="12" applyFont="1" applyBorder="1" applyAlignment="1">
      <alignment horizontal="center"/>
    </xf>
    <xf numFmtId="10" fontId="93" fillId="0" borderId="36" xfId="12" applyNumberFormat="1" applyFont="1" applyBorder="1" applyAlignment="1">
      <alignment horizontal="center"/>
    </xf>
    <xf numFmtId="0" fontId="92" fillId="0" borderId="35" xfId="12" applyFont="1" applyBorder="1" applyAlignment="1">
      <alignment horizontal="center"/>
    </xf>
    <xf numFmtId="10" fontId="93" fillId="0" borderId="35" xfId="12" applyNumberFormat="1" applyFont="1" applyBorder="1" applyAlignment="1">
      <alignment horizontal="center"/>
    </xf>
    <xf numFmtId="0" fontId="93" fillId="0" borderId="0" xfId="49" applyFont="1" applyAlignment="1">
      <alignment horizontal="center"/>
    </xf>
    <xf numFmtId="0" fontId="93" fillId="0" borderId="0" xfId="49" applyFont="1" applyAlignment="1">
      <alignment horizontal="left"/>
    </xf>
    <xf numFmtId="0" fontId="92" fillId="0" borderId="0" xfId="21" applyFont="1" applyAlignment="1">
      <alignment horizontal="center"/>
    </xf>
    <xf numFmtId="0" fontId="92" fillId="0" borderId="0" xfId="21" applyFont="1"/>
    <xf numFmtId="0" fontId="93" fillId="0" borderId="0" xfId="22" applyFont="1"/>
    <xf numFmtId="0" fontId="93" fillId="0" borderId="0" xfId="22" applyFont="1" applyAlignment="1">
      <alignment wrapText="1"/>
    </xf>
    <xf numFmtId="0" fontId="93" fillId="0" borderId="0" xfId="22" applyFont="1" applyAlignment="1">
      <alignment horizontal="left"/>
    </xf>
    <xf numFmtId="0" fontId="87" fillId="0" borderId="0" xfId="31" applyFont="1" applyAlignment="1">
      <alignment horizontal="centerContinuous" vertical="center"/>
    </xf>
    <xf numFmtId="44" fontId="85" fillId="0" borderId="0" xfId="45" applyFont="1" applyFill="1" applyAlignment="1">
      <alignment vertical="center"/>
    </xf>
    <xf numFmtId="1" fontId="85" fillId="0" borderId="5" xfId="45" applyNumberFormat="1" applyFont="1" applyFill="1" applyBorder="1" applyAlignment="1">
      <alignment vertical="center"/>
    </xf>
    <xf numFmtId="44" fontId="85" fillId="0" borderId="0" xfId="29" applyFont="1" applyFill="1" applyAlignment="1">
      <alignment vertical="center"/>
    </xf>
    <xf numFmtId="10" fontId="85" fillId="0" borderId="36" xfId="1" applyNumberFormat="1" applyFont="1" applyFill="1" applyBorder="1" applyAlignment="1">
      <alignment vertical="center"/>
    </xf>
    <xf numFmtId="169" fontId="85" fillId="0" borderId="0" xfId="45" applyNumberFormat="1" applyFont="1" applyFill="1" applyAlignment="1">
      <alignment vertical="center"/>
    </xf>
    <xf numFmtId="0" fontId="85" fillId="0" borderId="5" xfId="2" applyFont="1" applyBorder="1" applyAlignment="1">
      <alignment horizontal="center" vertical="center"/>
    </xf>
    <xf numFmtId="0" fontId="101" fillId="0" borderId="0" xfId="7" applyFont="1" applyAlignment="1">
      <alignment horizontal="centerContinuous" vertical="center"/>
    </xf>
    <xf numFmtId="0" fontId="91" fillId="0" borderId="0" xfId="7" applyFont="1" applyAlignment="1">
      <alignment horizontal="center" vertical="center" wrapText="1"/>
    </xf>
    <xf numFmtId="0" fontId="92" fillId="0" borderId="0" xfId="7" applyFont="1" applyAlignment="1">
      <alignment horizontal="center" vertical="center" wrapText="1"/>
    </xf>
    <xf numFmtId="0" fontId="92" fillId="0" borderId="5" xfId="7" applyFont="1" applyBorder="1" applyAlignment="1">
      <alignment horizontal="center" vertical="center" wrapText="1"/>
    </xf>
    <xf numFmtId="10" fontId="92" fillId="2" borderId="0" xfId="8" applyNumberFormat="1" applyFont="1" applyFill="1" applyAlignment="1">
      <alignment horizontal="center" vertical="center" wrapText="1"/>
    </xf>
    <xf numFmtId="0" fontId="92" fillId="0" borderId="0" xfId="8" applyFont="1" applyAlignment="1">
      <alignment horizontal="center" vertical="center" wrapText="1"/>
    </xf>
    <xf numFmtId="10" fontId="92" fillId="0" borderId="36" xfId="8" applyNumberFormat="1" applyFont="1" applyBorder="1" applyAlignment="1">
      <alignment horizontal="center" vertical="center" wrapText="1"/>
    </xf>
    <xf numFmtId="10" fontId="92" fillId="0" borderId="0" xfId="8" applyNumberFormat="1" applyFont="1" applyAlignment="1">
      <alignment horizontal="center" vertical="center" wrapText="1"/>
    </xf>
    <xf numFmtId="0" fontId="101" fillId="2" borderId="0" xfId="7" applyFont="1" applyFill="1" applyAlignment="1">
      <alignment horizontal="center" vertical="center" wrapText="1"/>
    </xf>
    <xf numFmtId="10" fontId="92" fillId="0" borderId="0" xfId="7" applyNumberFormat="1" applyFont="1" applyAlignment="1">
      <alignment horizontal="center" vertical="center" wrapText="1"/>
    </xf>
    <xf numFmtId="0" fontId="91" fillId="0" borderId="0" xfId="0" applyFont="1"/>
    <xf numFmtId="0" fontId="95" fillId="0" borderId="5" xfId="0" applyFont="1" applyBorder="1" applyAlignment="1">
      <alignment horizontal="centerContinuous"/>
    </xf>
    <xf numFmtId="0" fontId="91" fillId="0" borderId="35" xfId="0" applyFont="1" applyBorder="1"/>
    <xf numFmtId="0" fontId="95" fillId="0" borderId="35" xfId="0" applyFont="1" applyBorder="1" applyAlignment="1">
      <alignment horizontal="center"/>
    </xf>
    <xf numFmtId="0" fontId="93" fillId="0" borderId="0" xfId="0" applyFont="1" applyAlignment="1">
      <alignment horizontal="left"/>
    </xf>
    <xf numFmtId="0" fontId="87" fillId="0" borderId="0" xfId="2" applyFont="1" applyAlignment="1">
      <alignment horizontal="center" vertical="center"/>
    </xf>
    <xf numFmtId="0" fontId="87" fillId="0" borderId="0" xfId="2" applyFont="1">
      <alignment vertical="center"/>
    </xf>
    <xf numFmtId="0" fontId="93" fillId="0" borderId="0" xfId="22" applyFont="1" applyAlignment="1">
      <alignment horizontal="left" wrapText="1"/>
    </xf>
    <xf numFmtId="0" fontId="92" fillId="0" borderId="39" xfId="3" applyFont="1" applyBorder="1"/>
    <xf numFmtId="0" fontId="92" fillId="0" borderId="39" xfId="3" applyFont="1" applyBorder="1" applyAlignment="1">
      <alignment horizontal="center"/>
    </xf>
    <xf numFmtId="0" fontId="93" fillId="0" borderId="39" xfId="3" applyFont="1" applyBorder="1" applyAlignment="1">
      <alignment horizontal="center"/>
    </xf>
    <xf numFmtId="0" fontId="93" fillId="0" borderId="39" xfId="3" applyFont="1" applyBorder="1" applyAlignment="1">
      <alignment horizontal="center" wrapText="1"/>
    </xf>
    <xf numFmtId="10" fontId="92" fillId="0" borderId="36" xfId="1" applyNumberFormat="1" applyFont="1" applyFill="1" applyBorder="1" applyAlignment="1">
      <alignment horizontal="center"/>
    </xf>
    <xf numFmtId="0" fontId="92" fillId="0" borderId="5" xfId="4" applyFont="1" applyBorder="1"/>
    <xf numFmtId="0" fontId="92" fillId="0" borderId="5" xfId="4" applyFont="1" applyBorder="1" applyAlignment="1">
      <alignment horizontal="center"/>
    </xf>
    <xf numFmtId="0" fontId="92" fillId="0" borderId="5" xfId="3" applyFont="1" applyBorder="1" applyAlignment="1">
      <alignment horizontal="center"/>
    </xf>
    <xf numFmtId="10" fontId="92" fillId="0" borderId="5" xfId="1" applyNumberFormat="1" applyFont="1" applyFill="1" applyBorder="1" applyAlignment="1">
      <alignment horizontal="center"/>
    </xf>
    <xf numFmtId="0" fontId="86" fillId="0" borderId="38" xfId="21" applyFont="1" applyBorder="1"/>
    <xf numFmtId="0" fontId="10" fillId="0" borderId="38" xfId="21" applyFont="1" applyBorder="1"/>
    <xf numFmtId="0" fontId="10" fillId="0" borderId="38" xfId="21" applyFont="1" applyBorder="1" applyAlignment="1">
      <alignment horizontal="center"/>
    </xf>
    <xf numFmtId="44" fontId="85" fillId="0" borderId="36" xfId="29" applyFont="1" applyFill="1" applyBorder="1" applyAlignment="1">
      <alignment vertical="center"/>
    </xf>
    <xf numFmtId="10" fontId="85" fillId="0" borderId="36" xfId="1" applyNumberFormat="1" applyFont="1" applyBorder="1" applyAlignment="1">
      <alignment vertical="center"/>
    </xf>
    <xf numFmtId="0" fontId="87" fillId="0" borderId="35" xfId="2" applyFont="1" applyBorder="1" applyAlignment="1">
      <alignment horizontal="center" vertical="center"/>
    </xf>
    <xf numFmtId="0" fontId="85" fillId="0" borderId="38" xfId="2" applyFont="1" applyBorder="1" applyAlignment="1">
      <alignment horizontal="center" vertical="center"/>
    </xf>
    <xf numFmtId="10" fontId="85" fillId="0" borderId="38" xfId="2" applyNumberFormat="1" applyFont="1" applyBorder="1" applyAlignment="1">
      <alignment horizontal="center" vertical="center"/>
    </xf>
    <xf numFmtId="0" fontId="85" fillId="0" borderId="36" xfId="2" applyFont="1" applyBorder="1" applyAlignment="1">
      <alignment horizontal="center" vertical="center"/>
    </xf>
    <xf numFmtId="0" fontId="85" fillId="0" borderId="36" xfId="2" applyFont="1" applyBorder="1">
      <alignment vertical="center"/>
    </xf>
    <xf numFmtId="10" fontId="85" fillId="0" borderId="36" xfId="2" applyNumberFormat="1" applyFont="1" applyBorder="1" applyAlignment="1">
      <alignment horizontal="center" vertical="center"/>
    </xf>
    <xf numFmtId="0" fontId="95" fillId="0" borderId="0" xfId="49" applyFont="1" applyAlignment="1">
      <alignment horizontal="centerContinuous"/>
    </xf>
    <xf numFmtId="0" fontId="95" fillId="0" borderId="0" xfId="49" applyFont="1"/>
    <xf numFmtId="0" fontId="95" fillId="0" borderId="0" xfId="18" applyFont="1" applyAlignment="1">
      <alignment horizontal="centerContinuous"/>
    </xf>
    <xf numFmtId="0" fontId="95" fillId="0" borderId="0" xfId="18" applyFont="1"/>
    <xf numFmtId="0" fontId="93" fillId="0" borderId="0" xfId="49" applyFont="1" applyAlignment="1">
      <alignment horizontal="centerContinuous"/>
    </xf>
    <xf numFmtId="0" fontId="95" fillId="0" borderId="5" xfId="49" applyFont="1" applyBorder="1" applyAlignment="1">
      <alignment horizontal="centerContinuous" vertical="center"/>
    </xf>
    <xf numFmtId="0" fontId="95" fillId="0" borderId="0" xfId="49" applyFont="1" applyAlignment="1">
      <alignment vertical="center"/>
    </xf>
    <xf numFmtId="0" fontId="95" fillId="0" borderId="0" xfId="49" applyFont="1" applyAlignment="1">
      <alignment horizontal="center" vertical="center"/>
    </xf>
    <xf numFmtId="0" fontId="95" fillId="0" borderId="0" xfId="49" applyFont="1" applyAlignment="1">
      <alignment horizontal="center"/>
    </xf>
    <xf numFmtId="0" fontId="91" fillId="0" borderId="0" xfId="50" applyFont="1"/>
    <xf numFmtId="0" fontId="91" fillId="0" borderId="0" xfId="50" applyFont="1" applyAlignment="1">
      <alignment horizontal="center"/>
    </xf>
    <xf numFmtId="0" fontId="95" fillId="0" borderId="0" xfId="49" applyFont="1" applyAlignment="1">
      <alignment horizontal="centerContinuous" vertical="center"/>
    </xf>
    <xf numFmtId="0" fontId="91" fillId="0" borderId="35" xfId="50" applyFont="1" applyBorder="1" applyAlignment="1">
      <alignment horizontal="center"/>
    </xf>
    <xf numFmtId="0" fontId="95" fillId="0" borderId="35" xfId="49" applyFont="1" applyBorder="1" applyAlignment="1">
      <alignment horizontal="centerContinuous"/>
    </xf>
    <xf numFmtId="0" fontId="91" fillId="0" borderId="35" xfId="50" applyFont="1" applyBorder="1" applyAlignment="1">
      <alignment horizontal="centerContinuous" vertical="center"/>
    </xf>
    <xf numFmtId="0" fontId="91" fillId="0" borderId="35" xfId="50" applyFont="1" applyBorder="1" applyAlignment="1">
      <alignment vertical="center"/>
    </xf>
    <xf numFmtId="0" fontId="91" fillId="0" borderId="0" xfId="50" applyFont="1" applyAlignment="1">
      <alignment horizontal="center" vertical="center"/>
    </xf>
    <xf numFmtId="0" fontId="92" fillId="0" borderId="0" xfId="21" applyFont="1" applyAlignment="1">
      <alignment horizontal="left"/>
    </xf>
    <xf numFmtId="0" fontId="93" fillId="0" borderId="0" xfId="49" applyFont="1" applyAlignment="1">
      <alignment horizontal="center" vertical="center"/>
    </xf>
    <xf numFmtId="0" fontId="92" fillId="0" borderId="35" xfId="21" applyFont="1" applyBorder="1" applyAlignment="1">
      <alignment horizontal="center"/>
    </xf>
    <xf numFmtId="168" fontId="93" fillId="0" borderId="38" xfId="9491" applyNumberFormat="1" applyFont="1" applyFill="1" applyBorder="1" applyAlignment="1">
      <alignment horizontal="center"/>
    </xf>
    <xf numFmtId="0" fontId="92" fillId="0" borderId="0" xfId="50" applyFont="1"/>
    <xf numFmtId="0" fontId="93" fillId="0" borderId="0" xfId="49" applyFont="1" applyAlignment="1">
      <alignment horizontal="right"/>
    </xf>
    <xf numFmtId="0" fontId="93" fillId="0" borderId="0" xfId="20" applyFont="1" applyAlignment="1">
      <alignment horizontal="right"/>
    </xf>
    <xf numFmtId="10" fontId="93" fillId="0" borderId="0" xfId="9491" applyNumberFormat="1" applyFont="1" applyFill="1" applyBorder="1" applyAlignment="1">
      <alignment horizontal="center"/>
    </xf>
    <xf numFmtId="168" fontId="93" fillId="0" borderId="0" xfId="9491" applyNumberFormat="1" applyFont="1" applyFill="1" applyBorder="1" applyAlignment="1">
      <alignment horizontal="center"/>
    </xf>
    <xf numFmtId="0" fontId="93" fillId="0" borderId="35" xfId="49" applyFont="1" applyBorder="1"/>
    <xf numFmtId="0" fontId="93" fillId="0" borderId="35" xfId="49" applyFont="1" applyBorder="1" applyAlignment="1">
      <alignment horizontal="center"/>
    </xf>
    <xf numFmtId="0" fontId="102" fillId="0" borderId="0" xfId="49" applyFont="1"/>
    <xf numFmtId="0" fontId="93" fillId="0" borderId="5" xfId="21" applyFont="1" applyBorder="1"/>
    <xf numFmtId="0" fontId="93" fillId="0" borderId="40" xfId="49" applyFont="1" applyBorder="1"/>
    <xf numFmtId="0" fontId="93" fillId="0" borderId="40" xfId="49" applyFont="1" applyBorder="1" applyAlignment="1">
      <alignment horizontal="center"/>
    </xf>
    <xf numFmtId="0" fontId="96" fillId="0" borderId="0" xfId="9496" applyFont="1" applyAlignment="1">
      <alignment horizontal="center" vertical="center"/>
    </xf>
    <xf numFmtId="0" fontId="87" fillId="0" borderId="0" xfId="0" applyFont="1" applyAlignment="1">
      <alignment horizontal="center" wrapText="1"/>
    </xf>
    <xf numFmtId="0" fontId="85" fillId="0" borderId="0" xfId="0" applyFont="1" applyAlignment="1">
      <alignment horizontal="center"/>
    </xf>
    <xf numFmtId="0" fontId="85" fillId="0" borderId="0" xfId="0" applyFont="1" applyAlignment="1">
      <alignment horizontal="left" wrapText="1"/>
    </xf>
    <xf numFmtId="0" fontId="85" fillId="0" borderId="0" xfId="47" applyFont="1" applyAlignment="1">
      <alignment horizontal="center"/>
    </xf>
    <xf numFmtId="10" fontId="10" fillId="0" borderId="0" xfId="43" applyNumberFormat="1" applyFont="1" applyFill="1" applyBorder="1" applyAlignment="1">
      <alignment horizontal="center"/>
    </xf>
    <xf numFmtId="10" fontId="85" fillId="0" borderId="0" xfId="0" applyNumberFormat="1" applyFont="1" applyAlignment="1">
      <alignment horizontal="center"/>
    </xf>
    <xf numFmtId="1" fontId="85" fillId="0" borderId="0" xfId="0" applyNumberFormat="1" applyFont="1" applyAlignment="1">
      <alignment horizontal="left"/>
    </xf>
    <xf numFmtId="0" fontId="92" fillId="2" borderId="5" xfId="7" applyFont="1" applyFill="1" applyBorder="1" applyAlignment="1">
      <alignment horizontal="centerContinuous" vertical="center"/>
    </xf>
    <xf numFmtId="0" fontId="92" fillId="2" borderId="0" xfId="7" applyFont="1" applyFill="1" applyAlignment="1">
      <alignment horizontal="center" vertical="center" wrapText="1"/>
    </xf>
    <xf numFmtId="0" fontId="92" fillId="2" borderId="35" xfId="7" applyFont="1" applyFill="1" applyBorder="1" applyAlignment="1">
      <alignment horizontal="center" vertical="center" wrapText="1"/>
    </xf>
    <xf numFmtId="0" fontId="95" fillId="0" borderId="5" xfId="20" applyFont="1" applyBorder="1" applyAlignment="1">
      <alignment horizontal="center"/>
    </xf>
    <xf numFmtId="0" fontId="87" fillId="0" borderId="0" xfId="2" applyFont="1" applyAlignment="1">
      <alignment horizontal="centerContinuous" vertical="center"/>
    </xf>
    <xf numFmtId="0" fontId="85" fillId="0" borderId="0" xfId="0" applyFont="1" applyAlignment="1">
      <alignment horizontal="left" vertical="top"/>
    </xf>
    <xf numFmtId="0" fontId="85" fillId="0" borderId="0" xfId="4" applyFont="1" applyAlignment="1">
      <alignment horizontal="left"/>
    </xf>
    <xf numFmtId="14" fontId="105" fillId="0" borderId="0" xfId="0" applyNumberFormat="1" applyFont="1" applyAlignment="1">
      <alignment horizontal="left"/>
    </xf>
    <xf numFmtId="44" fontId="85" fillId="0" borderId="0" xfId="31" applyNumberFormat="1" applyFont="1">
      <alignment vertical="center"/>
    </xf>
    <xf numFmtId="10" fontId="85" fillId="0" borderId="0" xfId="1" applyNumberFormat="1" applyFont="1" applyAlignment="1">
      <alignment vertical="center"/>
    </xf>
    <xf numFmtId="2" fontId="85" fillId="0" borderId="0" xfId="31" applyNumberFormat="1" applyFont="1">
      <alignment vertical="center"/>
    </xf>
    <xf numFmtId="0" fontId="85" fillId="0" borderId="5" xfId="25" applyFont="1" applyBorder="1" applyAlignment="1">
      <alignment horizontal="centerContinuous"/>
    </xf>
    <xf numFmtId="0" fontId="85" fillId="0" borderId="0" xfId="0" applyFont="1" applyAlignment="1">
      <alignment vertical="center"/>
    </xf>
    <xf numFmtId="0" fontId="85" fillId="0" borderId="0" xfId="25" applyFont="1" applyAlignment="1">
      <alignment horizontal="center"/>
    </xf>
    <xf numFmtId="0" fontId="85" fillId="0" borderId="6" xfId="25" applyFont="1" applyBorder="1"/>
    <xf numFmtId="0" fontId="85" fillId="0" borderId="0" xfId="25" applyFont="1" applyAlignment="1">
      <alignment horizontal="centerContinuous"/>
    </xf>
    <xf numFmtId="0" fontId="85" fillId="0" borderId="0" xfId="32" applyFont="1" applyAlignment="1">
      <alignment horizontal="center"/>
    </xf>
    <xf numFmtId="0" fontId="87" fillId="0" borderId="0" xfId="25" applyFont="1" applyAlignment="1">
      <alignment horizontal="centerContinuous"/>
    </xf>
    <xf numFmtId="0" fontId="85" fillId="0" borderId="6" xfId="25" applyFont="1" applyBorder="1" applyAlignment="1">
      <alignment horizontal="center"/>
    </xf>
    <xf numFmtId="0" fontId="85" fillId="0" borderId="0" xfId="25" applyFont="1"/>
    <xf numFmtId="0" fontId="85" fillId="0" borderId="5" xfId="25" applyFont="1" applyBorder="1" applyAlignment="1">
      <alignment horizontal="center"/>
    </xf>
    <xf numFmtId="44" fontId="85" fillId="0" borderId="4" xfId="29" applyFont="1" applyBorder="1" applyAlignment="1">
      <alignment horizontal="center"/>
    </xf>
    <xf numFmtId="44" fontId="85" fillId="0" borderId="0" xfId="29" applyFont="1" applyAlignment="1">
      <alignment horizontal="center"/>
    </xf>
    <xf numFmtId="0" fontId="10" fillId="0" borderId="0" xfId="32" applyFont="1" applyAlignment="1">
      <alignment horizontal="center"/>
    </xf>
    <xf numFmtId="0" fontId="85" fillId="0" borderId="0" xfId="25" applyFont="1" applyAlignment="1">
      <alignment horizontal="left"/>
    </xf>
    <xf numFmtId="2" fontId="85" fillId="0" borderId="0" xfId="25" applyNumberFormat="1" applyFont="1" applyAlignment="1">
      <alignment horizontal="center"/>
    </xf>
    <xf numFmtId="0" fontId="85" fillId="0" borderId="35" xfId="25" applyFont="1" applyBorder="1" applyAlignment="1">
      <alignment horizontal="centerContinuous"/>
    </xf>
    <xf numFmtId="0" fontId="85" fillId="0" borderId="35" xfId="25" applyFont="1" applyBorder="1"/>
    <xf numFmtId="44" fontId="85" fillId="0" borderId="35" xfId="29" applyFont="1" applyBorder="1" applyAlignment="1">
      <alignment horizontal="center"/>
    </xf>
    <xf numFmtId="43" fontId="85" fillId="0" borderId="0" xfId="44" applyFont="1" applyAlignment="1">
      <alignment vertical="center"/>
    </xf>
    <xf numFmtId="44" fontId="85" fillId="0" borderId="0" xfId="25" applyNumberFormat="1" applyFont="1"/>
    <xf numFmtId="0" fontId="85" fillId="0" borderId="0" xfId="32" applyFont="1" applyAlignment="1">
      <alignment horizontal="left" indent="1"/>
    </xf>
    <xf numFmtId="10" fontId="85" fillId="0" borderId="0" xfId="25" applyNumberFormat="1" applyFont="1"/>
    <xf numFmtId="0" fontId="85" fillId="0" borderId="6" xfId="32" applyFont="1" applyBorder="1" applyAlignment="1">
      <alignment horizontal="center"/>
    </xf>
    <xf numFmtId="0" fontId="85" fillId="0" borderId="5" xfId="25" applyFont="1" applyBorder="1"/>
    <xf numFmtId="0" fontId="85" fillId="0" borderId="5" xfId="32" applyFont="1" applyBorder="1" applyAlignment="1">
      <alignment horizontal="center"/>
    </xf>
    <xf numFmtId="43" fontId="85" fillId="0" borderId="0" xfId="44" applyFont="1"/>
    <xf numFmtId="10" fontId="85" fillId="0" borderId="4" xfId="25" applyNumberFormat="1" applyFont="1" applyBorder="1"/>
    <xf numFmtId="0" fontId="85" fillId="0" borderId="5" xfId="25" applyFont="1" applyBorder="1" applyAlignment="1">
      <alignment horizontal="left"/>
    </xf>
    <xf numFmtId="43" fontId="85" fillId="0" borderId="5" xfId="44" applyFont="1" applyBorder="1"/>
    <xf numFmtId="10" fontId="85" fillId="0" borderId="5" xfId="25" applyNumberFormat="1" applyFont="1" applyBorder="1"/>
    <xf numFmtId="180" fontId="85" fillId="0" borderId="0" xfId="25" applyNumberFormat="1" applyFont="1"/>
    <xf numFmtId="10" fontId="85" fillId="0" borderId="42" xfId="25" applyNumberFormat="1" applyFont="1" applyBorder="1"/>
    <xf numFmtId="0" fontId="85" fillId="0" borderId="0" xfId="32" applyFont="1" applyAlignment="1">
      <alignment vertical="center"/>
    </xf>
    <xf numFmtId="0" fontId="107" fillId="0" borderId="5" xfId="32" applyFont="1" applyBorder="1"/>
    <xf numFmtId="0" fontId="107" fillId="0" borderId="0" xfId="32" applyFont="1"/>
    <xf numFmtId="0" fontId="85" fillId="0" borderId="0" xfId="9432" applyFont="1"/>
    <xf numFmtId="0" fontId="93" fillId="0" borderId="0" xfId="2" applyFont="1" applyBorder="1">
      <alignment vertical="center"/>
    </xf>
    <xf numFmtId="0" fontId="108" fillId="2" borderId="0" xfId="8" applyFont="1" applyFill="1" applyAlignment="1">
      <alignment horizontal="left" vertical="center"/>
    </xf>
    <xf numFmtId="0" fontId="92" fillId="2" borderId="0" xfId="7" applyFont="1" applyFill="1" applyAlignment="1">
      <alignment horizontal="left" vertical="center" wrapText="1" indent="2"/>
    </xf>
    <xf numFmtId="0" fontId="92" fillId="2" borderId="0" xfId="8" applyFont="1" applyFill="1" applyAlignment="1">
      <alignment horizontal="center" vertical="center" wrapText="1"/>
    </xf>
    <xf numFmtId="0" fontId="92" fillId="2" borderId="0" xfId="7" applyFont="1" applyFill="1" applyAlignment="1">
      <alignment horizontal="left" vertical="center" indent="2"/>
    </xf>
    <xf numFmtId="0" fontId="92" fillId="2" borderId="0" xfId="7" applyFont="1" applyFill="1" applyAlignment="1">
      <alignment horizontal="center" vertical="center"/>
    </xf>
    <xf numFmtId="4" fontId="85" fillId="0" borderId="0" xfId="0" applyNumberFormat="1" applyFont="1" applyAlignment="1">
      <alignment horizontal="right" vertical="center"/>
    </xf>
    <xf numFmtId="181" fontId="85" fillId="0" borderId="0" xfId="25" applyNumberFormat="1" applyFont="1"/>
    <xf numFmtId="44" fontId="85" fillId="0" borderId="0" xfId="9497" applyNumberFormat="1" applyFont="1">
      <alignment vertical="center"/>
    </xf>
    <xf numFmtId="0" fontId="85" fillId="0" borderId="0" xfId="0" applyFont="1" applyAlignment="1">
      <alignment horizontal="center" wrapText="1"/>
    </xf>
    <xf numFmtId="0" fontId="85" fillId="0" borderId="5" xfId="0" applyFont="1" applyBorder="1"/>
    <xf numFmtId="0" fontId="85" fillId="0" borderId="5" xfId="0" applyFont="1" applyBorder="1" applyAlignment="1">
      <alignment horizontal="center"/>
    </xf>
    <xf numFmtId="10" fontId="85" fillId="0" borderId="0" xfId="1" applyNumberFormat="1" applyFont="1" applyFill="1" applyAlignment="1">
      <alignment horizontal="center"/>
    </xf>
    <xf numFmtId="0" fontId="85" fillId="0" borderId="0" xfId="0" applyFont="1"/>
    <xf numFmtId="10" fontId="85" fillId="0" borderId="0" xfId="47" applyNumberFormat="1" applyFont="1" applyAlignment="1">
      <alignment horizontal="center"/>
    </xf>
    <xf numFmtId="0" fontId="85" fillId="0" borderId="0" xfId="12" applyFont="1"/>
    <xf numFmtId="0" fontId="85" fillId="0" borderId="0" xfId="12" applyFont="1" applyAlignment="1">
      <alignment horizontal="center"/>
    </xf>
    <xf numFmtId="0" fontId="85" fillId="0" borderId="36" xfId="12" applyFont="1" applyBorder="1"/>
    <xf numFmtId="0" fontId="85" fillId="0" borderId="36" xfId="12" applyFont="1" applyBorder="1" applyAlignment="1">
      <alignment horizontal="center"/>
    </xf>
    <xf numFmtId="10" fontId="85" fillId="0" borderId="36" xfId="9437" applyNumberFormat="1" applyFont="1" applyBorder="1" applyAlignment="1">
      <alignment horizontal="center"/>
    </xf>
    <xf numFmtId="10" fontId="85" fillId="0" borderId="0" xfId="9437" applyNumberFormat="1" applyFont="1" applyAlignment="1">
      <alignment horizontal="center"/>
    </xf>
    <xf numFmtId="0" fontId="85" fillId="0" borderId="35" xfId="12" applyFont="1" applyBorder="1"/>
    <xf numFmtId="0" fontId="85" fillId="0" borderId="35" xfId="12" applyFont="1" applyBorder="1" applyAlignment="1">
      <alignment horizontal="center"/>
    </xf>
    <xf numFmtId="10" fontId="85" fillId="0" borderId="35" xfId="9437" applyNumberFormat="1" applyFont="1" applyBorder="1" applyAlignment="1">
      <alignment horizontal="center"/>
    </xf>
    <xf numFmtId="0" fontId="103" fillId="0" borderId="0" xfId="0" applyFont="1"/>
    <xf numFmtId="165" fontId="92" fillId="0" borderId="0" xfId="0" applyNumberFormat="1" applyFont="1" applyAlignment="1">
      <alignment horizontal="center"/>
    </xf>
    <xf numFmtId="10" fontId="92" fillId="0" borderId="0" xfId="0" applyNumberFormat="1" applyFont="1" applyAlignment="1">
      <alignment horizontal="center"/>
    </xf>
    <xf numFmtId="10" fontId="93" fillId="0" borderId="0" xfId="0" applyNumberFormat="1" applyFont="1" applyAlignment="1">
      <alignment horizontal="center"/>
    </xf>
    <xf numFmtId="0" fontId="92" fillId="0" borderId="0" xfId="0" applyFont="1" applyAlignment="1">
      <alignment horizontal="left" indent="1"/>
    </xf>
    <xf numFmtId="0" fontId="92" fillId="0" borderId="35" xfId="0" applyFont="1" applyBorder="1" applyAlignment="1">
      <alignment horizontal="left" indent="1"/>
    </xf>
    <xf numFmtId="0" fontId="93" fillId="0" borderId="35" xfId="0" applyFont="1" applyBorder="1"/>
    <xf numFmtId="0" fontId="93" fillId="0" borderId="35" xfId="0" applyFont="1" applyBorder="1" applyAlignment="1">
      <alignment horizontal="center"/>
    </xf>
    <xf numFmtId="10" fontId="93" fillId="0" borderId="35" xfId="0" applyNumberFormat="1" applyFont="1" applyBorder="1" applyAlignment="1">
      <alignment horizontal="center"/>
    </xf>
    <xf numFmtId="0" fontId="95" fillId="0" borderId="0" xfId="2" applyFont="1">
      <alignment vertical="center"/>
    </xf>
    <xf numFmtId="0" fontId="93" fillId="0" borderId="0" xfId="3" applyFont="1" applyAlignment="1">
      <alignment horizontal="center"/>
    </xf>
    <xf numFmtId="0" fontId="93" fillId="0" borderId="3" xfId="3" applyFont="1" applyBorder="1" applyAlignment="1">
      <alignment horizontal="center" wrapText="1"/>
    </xf>
    <xf numFmtId="0" fontId="92" fillId="0" borderId="3" xfId="3" applyFont="1" applyBorder="1" applyAlignment="1">
      <alignment horizontal="center" wrapText="1"/>
    </xf>
    <xf numFmtId="10" fontId="93" fillId="0" borderId="0" xfId="9468" applyNumberFormat="1" applyFont="1" applyFill="1" applyAlignment="1">
      <alignment horizontal="center"/>
    </xf>
    <xf numFmtId="10" fontId="92" fillId="0" borderId="0" xfId="3" applyNumberFormat="1" applyFont="1" applyAlignment="1">
      <alignment horizontal="center" wrapText="1"/>
    </xf>
    <xf numFmtId="0" fontId="92" fillId="0" borderId="5" xfId="0" applyFont="1" applyBorder="1"/>
    <xf numFmtId="0" fontId="92" fillId="0" borderId="5" xfId="0" applyFont="1" applyBorder="1" applyAlignment="1">
      <alignment horizontal="center"/>
    </xf>
    <xf numFmtId="10" fontId="93" fillId="0" borderId="5" xfId="1" applyNumberFormat="1" applyFont="1" applyFill="1" applyBorder="1" applyAlignment="1">
      <alignment horizontal="center"/>
    </xf>
    <xf numFmtId="2" fontId="92" fillId="0" borderId="5" xfId="0" applyNumberFormat="1" applyFont="1" applyBorder="1" applyAlignment="1">
      <alignment horizontal="center"/>
    </xf>
    <xf numFmtId="10" fontId="93" fillId="0" borderId="5" xfId="0" applyNumberFormat="1" applyFont="1" applyBorder="1" applyAlignment="1">
      <alignment horizontal="center"/>
    </xf>
    <xf numFmtId="10" fontId="92" fillId="0" borderId="5" xfId="3" applyNumberFormat="1" applyFont="1" applyBorder="1" applyAlignment="1">
      <alignment horizontal="center" wrapText="1"/>
    </xf>
    <xf numFmtId="0" fontId="92" fillId="0" borderId="8" xfId="0" applyFont="1" applyBorder="1"/>
    <xf numFmtId="0" fontId="93" fillId="0" borderId="8" xfId="0" applyFont="1" applyBorder="1"/>
    <xf numFmtId="2" fontId="92" fillId="0" borderId="8" xfId="1" applyNumberFormat="1" applyFont="1" applyFill="1" applyBorder="1" applyAlignment="1">
      <alignment horizontal="center"/>
    </xf>
    <xf numFmtId="10" fontId="92" fillId="0" borderId="8" xfId="1" applyNumberFormat="1" applyFont="1" applyFill="1" applyBorder="1" applyAlignment="1">
      <alignment horizontal="center"/>
    </xf>
    <xf numFmtId="0" fontId="93" fillId="0" borderId="0" xfId="3" applyFont="1"/>
    <xf numFmtId="0" fontId="92" fillId="0" borderId="3" xfId="0" applyFont="1" applyBorder="1"/>
    <xf numFmtId="0" fontId="93" fillId="0" borderId="0" xfId="2" applyFont="1" applyAlignment="1">
      <alignment horizontal="center" vertical="center"/>
    </xf>
    <xf numFmtId="0" fontId="92" fillId="0" borderId="3" xfId="0" applyFont="1" applyBorder="1" applyAlignment="1">
      <alignment horizontal="center" wrapText="1"/>
    </xf>
    <xf numFmtId="10" fontId="10" fillId="0" borderId="1" xfId="0" applyNumberFormat="1" applyFont="1" applyBorder="1" applyAlignment="1">
      <alignment horizontal="centerContinuous"/>
    </xf>
    <xf numFmtId="10" fontId="10" fillId="0" borderId="2" xfId="0" applyNumberFormat="1" applyFont="1" applyBorder="1" applyAlignment="1">
      <alignment horizontal="centerContinuous"/>
    </xf>
    <xf numFmtId="0" fontId="10" fillId="0" borderId="0" xfId="0" applyFont="1" applyAlignment="1">
      <alignment horizontal="center"/>
    </xf>
    <xf numFmtId="0" fontId="10" fillId="0" borderId="0" xfId="4" applyFont="1" applyAlignment="1">
      <alignment horizontal="center"/>
    </xf>
    <xf numFmtId="0" fontId="10" fillId="0" borderId="6" xfId="0" applyFont="1" applyBorder="1"/>
    <xf numFmtId="0" fontId="10" fillId="0" borderId="6" xfId="4" applyFont="1" applyBorder="1"/>
    <xf numFmtId="0" fontId="10" fillId="0" borderId="6" xfId="0" applyFont="1" applyBorder="1" applyAlignment="1">
      <alignment horizontal="center"/>
    </xf>
    <xf numFmtId="0" fontId="10" fillId="0" borderId="0" xfId="4" applyFont="1"/>
    <xf numFmtId="0" fontId="10" fillId="0" borderId="5" xfId="0" applyFont="1" applyBorder="1" applyAlignment="1">
      <alignment horizontal="center"/>
    </xf>
    <xf numFmtId="0" fontId="10" fillId="0" borderId="5" xfId="4" applyFont="1" applyBorder="1" applyAlignment="1">
      <alignment horizontal="center"/>
    </xf>
    <xf numFmtId="0" fontId="10" fillId="0" borderId="36" xfId="0" applyFont="1" applyBorder="1"/>
    <xf numFmtId="0" fontId="85" fillId="0" borderId="0" xfId="9489" applyFont="1"/>
    <xf numFmtId="0" fontId="85" fillId="0" borderId="0" xfId="9489" applyFont="1" applyAlignment="1">
      <alignment horizontal="center"/>
    </xf>
    <xf numFmtId="4" fontId="85" fillId="0" borderId="0" xfId="9489" applyNumberFormat="1" applyFont="1" applyAlignment="1">
      <alignment horizontal="center"/>
    </xf>
    <xf numFmtId="10" fontId="98" fillId="0" borderId="0" xfId="9489" applyNumberFormat="1" applyFont="1" applyAlignment="1">
      <alignment horizontal="center"/>
    </xf>
    <xf numFmtId="0" fontId="10" fillId="0" borderId="5" xfId="0" applyFont="1" applyBorder="1"/>
    <xf numFmtId="10" fontId="10" fillId="0" borderId="0" xfId="0" applyNumberFormat="1" applyFont="1" applyAlignment="1">
      <alignment horizontal="center"/>
    </xf>
    <xf numFmtId="0" fontId="96" fillId="0" borderId="0" xfId="0" applyFont="1"/>
    <xf numFmtId="0" fontId="104" fillId="0" borderId="39" xfId="0" applyFont="1" applyBorder="1" applyAlignment="1">
      <alignment horizontal="centerContinuous"/>
    </xf>
    <xf numFmtId="0" fontId="96" fillId="0" borderId="35" xfId="0" applyFont="1" applyBorder="1"/>
    <xf numFmtId="0" fontId="104" fillId="0" borderId="39" xfId="0" applyFont="1" applyBorder="1" applyAlignment="1">
      <alignment horizontal="center"/>
    </xf>
    <xf numFmtId="0" fontId="92" fillId="0" borderId="0" xfId="11" applyFont="1" applyAlignment="1">
      <alignment horizontal="center"/>
    </xf>
    <xf numFmtId="0" fontId="92" fillId="0" borderId="6" xfId="12" applyFont="1" applyBorder="1"/>
    <xf numFmtId="0" fontId="92" fillId="0" borderId="6" xfId="12" applyFont="1" applyBorder="1" applyAlignment="1">
      <alignment horizontal="center"/>
    </xf>
    <xf numFmtId="0" fontId="92" fillId="0" borderId="5" xfId="12" applyFont="1" applyBorder="1"/>
    <xf numFmtId="0" fontId="92" fillId="0" borderId="5" xfId="12" applyFont="1" applyBorder="1" applyAlignment="1">
      <alignment horizontal="center"/>
    </xf>
    <xf numFmtId="10" fontId="92" fillId="0" borderId="0" xfId="13" applyNumberFormat="1" applyFont="1" applyFill="1" applyAlignment="1">
      <alignment horizontal="center"/>
    </xf>
    <xf numFmtId="179" fontId="92" fillId="0" borderId="0" xfId="13" applyNumberFormat="1" applyFont="1" applyFill="1" applyAlignment="1">
      <alignment horizontal="center"/>
    </xf>
    <xf numFmtId="179" fontId="92" fillId="0" borderId="0" xfId="13" applyNumberFormat="1" applyFont="1" applyFill="1" applyBorder="1" applyAlignment="1">
      <alignment horizontal="center"/>
    </xf>
    <xf numFmtId="0" fontId="92" fillId="0" borderId="9" xfId="12" applyFont="1" applyBorder="1" applyAlignment="1">
      <alignment horizontal="center"/>
    </xf>
    <xf numFmtId="0" fontId="92" fillId="0" borderId="9" xfId="12" applyFont="1" applyBorder="1"/>
    <xf numFmtId="10" fontId="92" fillId="0" borderId="9" xfId="13" applyNumberFormat="1" applyFont="1" applyFill="1" applyBorder="1" applyAlignment="1">
      <alignment horizontal="center"/>
    </xf>
    <xf numFmtId="0" fontId="93" fillId="0" borderId="0" xfId="6" applyFont="1">
      <alignment vertical="center"/>
    </xf>
    <xf numFmtId="175" fontId="85" fillId="0" borderId="0" xfId="0" applyNumberFormat="1" applyFont="1" applyAlignment="1">
      <alignment vertical="center"/>
    </xf>
    <xf numFmtId="44" fontId="10" fillId="0" borderId="36" xfId="29" applyFont="1" applyFill="1" applyBorder="1" applyAlignment="1">
      <alignment vertical="center"/>
    </xf>
    <xf numFmtId="0" fontId="84" fillId="2" borderId="0" xfId="7" applyFont="1" applyFill="1" applyAlignment="1">
      <alignment horizontal="center" wrapText="1"/>
    </xf>
    <xf numFmtId="0" fontId="91" fillId="0" borderId="0" xfId="3" applyFont="1" applyAlignment="1">
      <alignment horizontal="center"/>
    </xf>
    <xf numFmtId="0" fontId="91" fillId="0" borderId="0" xfId="0" applyFont="1" applyAlignment="1">
      <alignment horizontal="center"/>
    </xf>
    <xf numFmtId="0" fontId="93" fillId="0" borderId="0" xfId="0" applyFont="1" applyAlignment="1">
      <alignment horizontal="center"/>
    </xf>
    <xf numFmtId="0" fontId="95" fillId="0" borderId="0" xfId="0" applyFont="1" applyAlignment="1">
      <alignment horizontal="center"/>
    </xf>
    <xf numFmtId="0" fontId="97" fillId="0" borderId="0" xfId="0" applyFont="1" applyAlignment="1">
      <alignment horizontal="center"/>
    </xf>
    <xf numFmtId="0" fontId="99" fillId="0" borderId="0" xfId="6" applyFont="1" applyAlignment="1">
      <alignment horizontal="center" vertical="center"/>
    </xf>
    <xf numFmtId="0" fontId="88" fillId="0" borderId="0" xfId="31" applyFont="1" applyAlignment="1">
      <alignment horizontal="center" vertical="center"/>
    </xf>
    <xf numFmtId="0" fontId="87" fillId="0" borderId="0" xfId="2" applyFont="1" applyAlignment="1">
      <alignment horizontal="center" vertical="center"/>
    </xf>
    <xf numFmtId="0" fontId="93" fillId="0" borderId="0" xfId="22" applyFont="1" applyAlignment="1">
      <alignment horizontal="left" wrapText="1"/>
    </xf>
    <xf numFmtId="0" fontId="95" fillId="0" borderId="0" xfId="18" applyFont="1" applyAlignment="1">
      <alignment horizontal="center"/>
    </xf>
    <xf numFmtId="0" fontId="91" fillId="0" borderId="0" xfId="18" applyFont="1" applyAlignment="1">
      <alignment horizontal="center"/>
    </xf>
    <xf numFmtId="0" fontId="92" fillId="0" borderId="3" xfId="18" applyFont="1" applyBorder="1" applyAlignment="1">
      <alignment horizontal="center"/>
    </xf>
    <xf numFmtId="0" fontId="93" fillId="0" borderId="0" xfId="24" applyFont="1" applyAlignment="1">
      <alignment horizontal="left"/>
    </xf>
    <xf numFmtId="0" fontId="87" fillId="0" borderId="0" xfId="0" applyFont="1" applyAlignment="1">
      <alignment horizontal="center"/>
    </xf>
    <xf numFmtId="0" fontId="85" fillId="0" borderId="7" xfId="0" applyFont="1" applyBorder="1" applyAlignment="1">
      <alignment horizontal="center"/>
    </xf>
    <xf numFmtId="0" fontId="85" fillId="0" borderId="0" xfId="0" applyFont="1" applyAlignment="1">
      <alignment horizontal="center"/>
    </xf>
    <xf numFmtId="0" fontId="85" fillId="0" borderId="0" xfId="0" applyFont="1" applyAlignment="1">
      <alignment horizontal="left" vertical="top" wrapText="1"/>
    </xf>
    <xf numFmtId="0" fontId="85" fillId="0" borderId="0" xfId="0" applyFont="1" applyAlignment="1">
      <alignment horizontal="left" wrapText="1"/>
    </xf>
  </cellXfs>
  <cellStyles count="9503">
    <cellStyle name="$ Currency" xfId="71" xr:uid="{00000000-0005-0000-0000-000000000000}"/>
    <cellStyle name="$ Linked Amount" xfId="72" xr:uid="{00000000-0005-0000-0000-000001000000}"/>
    <cellStyle name="$Currency x2" xfId="73" xr:uid="{00000000-0005-0000-0000-000002000000}"/>
    <cellStyle name="$Gas Cost x5" xfId="74" xr:uid="{00000000-0005-0000-0000-000003000000}"/>
    <cellStyle name="20% - Accent1 2" xfId="75" xr:uid="{00000000-0005-0000-0000-000004000000}"/>
    <cellStyle name="20% - Accent1 2 2" xfId="76" xr:uid="{00000000-0005-0000-0000-000005000000}"/>
    <cellStyle name="20% - Accent1 2 2 2" xfId="77" xr:uid="{00000000-0005-0000-0000-000006000000}"/>
    <cellStyle name="20% - Accent1 2 2 3" xfId="78" xr:uid="{00000000-0005-0000-0000-000007000000}"/>
    <cellStyle name="20% - Accent1 2 3" xfId="79" xr:uid="{00000000-0005-0000-0000-000008000000}"/>
    <cellStyle name="20% - Accent1 2 3 2" xfId="80" xr:uid="{00000000-0005-0000-0000-000009000000}"/>
    <cellStyle name="20% - Accent1 2 4" xfId="81" xr:uid="{00000000-0005-0000-0000-00000A000000}"/>
    <cellStyle name="20% - Accent1 2 5" xfId="82" xr:uid="{00000000-0005-0000-0000-00000B000000}"/>
    <cellStyle name="20% - Accent1 3" xfId="83" xr:uid="{00000000-0005-0000-0000-00000C000000}"/>
    <cellStyle name="20% - Accent1 3 2" xfId="84" xr:uid="{00000000-0005-0000-0000-00000D000000}"/>
    <cellStyle name="20% - Accent1 3 2 2" xfId="85" xr:uid="{00000000-0005-0000-0000-00000E000000}"/>
    <cellStyle name="20% - Accent1 3 3" xfId="86" xr:uid="{00000000-0005-0000-0000-00000F000000}"/>
    <cellStyle name="20% - Accent1 3 4" xfId="87" xr:uid="{00000000-0005-0000-0000-000010000000}"/>
    <cellStyle name="20% - Accent1 4" xfId="88" xr:uid="{00000000-0005-0000-0000-000011000000}"/>
    <cellStyle name="20% - Accent1 4 2" xfId="89" xr:uid="{00000000-0005-0000-0000-000012000000}"/>
    <cellStyle name="20% - Accent1 4 2 2" xfId="90" xr:uid="{00000000-0005-0000-0000-000013000000}"/>
    <cellStyle name="20% - Accent1 4 3" xfId="91" xr:uid="{00000000-0005-0000-0000-000014000000}"/>
    <cellStyle name="20% - Accent1 5" xfId="92" xr:uid="{00000000-0005-0000-0000-000015000000}"/>
    <cellStyle name="20% - Accent1 5 2" xfId="93" xr:uid="{00000000-0005-0000-0000-000016000000}"/>
    <cellStyle name="20% - Accent1 5 2 2" xfId="94" xr:uid="{00000000-0005-0000-0000-000017000000}"/>
    <cellStyle name="20% - Accent1 5 3" xfId="95" xr:uid="{00000000-0005-0000-0000-000018000000}"/>
    <cellStyle name="20% - Accent1 6" xfId="96" xr:uid="{00000000-0005-0000-0000-000019000000}"/>
    <cellStyle name="20% - Accent2 2" xfId="97" xr:uid="{00000000-0005-0000-0000-00001A000000}"/>
    <cellStyle name="20% - Accent2 2 2" xfId="98" xr:uid="{00000000-0005-0000-0000-00001B000000}"/>
    <cellStyle name="20% - Accent2 2 2 2" xfId="99" xr:uid="{00000000-0005-0000-0000-00001C000000}"/>
    <cellStyle name="20% - Accent2 2 2 3" xfId="100" xr:uid="{00000000-0005-0000-0000-00001D000000}"/>
    <cellStyle name="20% - Accent2 2 3" xfId="101" xr:uid="{00000000-0005-0000-0000-00001E000000}"/>
    <cellStyle name="20% - Accent2 2 3 2" xfId="102" xr:uid="{00000000-0005-0000-0000-00001F000000}"/>
    <cellStyle name="20% - Accent2 2 4" xfId="103" xr:uid="{00000000-0005-0000-0000-000020000000}"/>
    <cellStyle name="20% - Accent2 2 5" xfId="104" xr:uid="{00000000-0005-0000-0000-000021000000}"/>
    <cellStyle name="20% - Accent2 3" xfId="105" xr:uid="{00000000-0005-0000-0000-000022000000}"/>
    <cellStyle name="20% - Accent2 3 2" xfId="106" xr:uid="{00000000-0005-0000-0000-000023000000}"/>
    <cellStyle name="20% - Accent2 3 2 2" xfId="107" xr:uid="{00000000-0005-0000-0000-000024000000}"/>
    <cellStyle name="20% - Accent2 3 3" xfId="108" xr:uid="{00000000-0005-0000-0000-000025000000}"/>
    <cellStyle name="20% - Accent2 3 4" xfId="109" xr:uid="{00000000-0005-0000-0000-000026000000}"/>
    <cellStyle name="20% - Accent2 4" xfId="110" xr:uid="{00000000-0005-0000-0000-000027000000}"/>
    <cellStyle name="20% - Accent2 4 2" xfId="111" xr:uid="{00000000-0005-0000-0000-000028000000}"/>
    <cellStyle name="20% - Accent2 4 2 2" xfId="112" xr:uid="{00000000-0005-0000-0000-000029000000}"/>
    <cellStyle name="20% - Accent2 4 3" xfId="113" xr:uid="{00000000-0005-0000-0000-00002A000000}"/>
    <cellStyle name="20% - Accent2 5" xfId="114" xr:uid="{00000000-0005-0000-0000-00002B000000}"/>
    <cellStyle name="20% - Accent2 5 2" xfId="115" xr:uid="{00000000-0005-0000-0000-00002C000000}"/>
    <cellStyle name="20% - Accent2 5 2 2" xfId="116" xr:uid="{00000000-0005-0000-0000-00002D000000}"/>
    <cellStyle name="20% - Accent2 5 3" xfId="117" xr:uid="{00000000-0005-0000-0000-00002E000000}"/>
    <cellStyle name="20% - Accent2 6" xfId="118" xr:uid="{00000000-0005-0000-0000-00002F000000}"/>
    <cellStyle name="20% - Accent3 2" xfId="119" xr:uid="{00000000-0005-0000-0000-000030000000}"/>
    <cellStyle name="20% - Accent3 2 2" xfId="120" xr:uid="{00000000-0005-0000-0000-000031000000}"/>
    <cellStyle name="20% - Accent3 2 2 2" xfId="121" xr:uid="{00000000-0005-0000-0000-000032000000}"/>
    <cellStyle name="20% - Accent3 2 2 3" xfId="122" xr:uid="{00000000-0005-0000-0000-000033000000}"/>
    <cellStyle name="20% - Accent3 2 3" xfId="123" xr:uid="{00000000-0005-0000-0000-000034000000}"/>
    <cellStyle name="20% - Accent3 2 3 2" xfId="124" xr:uid="{00000000-0005-0000-0000-000035000000}"/>
    <cellStyle name="20% - Accent3 2 4" xfId="125" xr:uid="{00000000-0005-0000-0000-000036000000}"/>
    <cellStyle name="20% - Accent3 2 5" xfId="126" xr:uid="{00000000-0005-0000-0000-000037000000}"/>
    <cellStyle name="20% - Accent3 3" xfId="127" xr:uid="{00000000-0005-0000-0000-000038000000}"/>
    <cellStyle name="20% - Accent3 3 2" xfId="128" xr:uid="{00000000-0005-0000-0000-000039000000}"/>
    <cellStyle name="20% - Accent3 3 2 2" xfId="129" xr:uid="{00000000-0005-0000-0000-00003A000000}"/>
    <cellStyle name="20% - Accent3 3 3" xfId="130" xr:uid="{00000000-0005-0000-0000-00003B000000}"/>
    <cellStyle name="20% - Accent3 3 4" xfId="131" xr:uid="{00000000-0005-0000-0000-00003C000000}"/>
    <cellStyle name="20% - Accent3 4" xfId="132" xr:uid="{00000000-0005-0000-0000-00003D000000}"/>
    <cellStyle name="20% - Accent3 4 2" xfId="133" xr:uid="{00000000-0005-0000-0000-00003E000000}"/>
    <cellStyle name="20% - Accent3 4 2 2" xfId="134" xr:uid="{00000000-0005-0000-0000-00003F000000}"/>
    <cellStyle name="20% - Accent3 4 3" xfId="135" xr:uid="{00000000-0005-0000-0000-000040000000}"/>
    <cellStyle name="20% - Accent3 5" xfId="136" xr:uid="{00000000-0005-0000-0000-000041000000}"/>
    <cellStyle name="20% - Accent3 5 2" xfId="137" xr:uid="{00000000-0005-0000-0000-000042000000}"/>
    <cellStyle name="20% - Accent3 5 2 2" xfId="138" xr:uid="{00000000-0005-0000-0000-000043000000}"/>
    <cellStyle name="20% - Accent3 5 3" xfId="139" xr:uid="{00000000-0005-0000-0000-000044000000}"/>
    <cellStyle name="20% - Accent3 6" xfId="140" xr:uid="{00000000-0005-0000-0000-000045000000}"/>
    <cellStyle name="20% - Accent4 2" xfId="141" xr:uid="{00000000-0005-0000-0000-000046000000}"/>
    <cellStyle name="20% - Accent4 2 2" xfId="142" xr:uid="{00000000-0005-0000-0000-000047000000}"/>
    <cellStyle name="20% - Accent4 2 2 2" xfId="143" xr:uid="{00000000-0005-0000-0000-000048000000}"/>
    <cellStyle name="20% - Accent4 2 2 3" xfId="144" xr:uid="{00000000-0005-0000-0000-000049000000}"/>
    <cellStyle name="20% - Accent4 2 3" xfId="145" xr:uid="{00000000-0005-0000-0000-00004A000000}"/>
    <cellStyle name="20% - Accent4 2 3 2" xfId="146" xr:uid="{00000000-0005-0000-0000-00004B000000}"/>
    <cellStyle name="20% - Accent4 2 4" xfId="147" xr:uid="{00000000-0005-0000-0000-00004C000000}"/>
    <cellStyle name="20% - Accent4 2 5" xfId="148" xr:uid="{00000000-0005-0000-0000-00004D000000}"/>
    <cellStyle name="20% - Accent4 3" xfId="149" xr:uid="{00000000-0005-0000-0000-00004E000000}"/>
    <cellStyle name="20% - Accent4 3 2" xfId="150" xr:uid="{00000000-0005-0000-0000-00004F000000}"/>
    <cellStyle name="20% - Accent4 3 2 2" xfId="151" xr:uid="{00000000-0005-0000-0000-000050000000}"/>
    <cellStyle name="20% - Accent4 3 3" xfId="152" xr:uid="{00000000-0005-0000-0000-000051000000}"/>
    <cellStyle name="20% - Accent4 3 4" xfId="153" xr:uid="{00000000-0005-0000-0000-000052000000}"/>
    <cellStyle name="20% - Accent4 4" xfId="154" xr:uid="{00000000-0005-0000-0000-000053000000}"/>
    <cellStyle name="20% - Accent4 4 2" xfId="155" xr:uid="{00000000-0005-0000-0000-000054000000}"/>
    <cellStyle name="20% - Accent4 4 2 2" xfId="156" xr:uid="{00000000-0005-0000-0000-000055000000}"/>
    <cellStyle name="20% - Accent4 4 3" xfId="157" xr:uid="{00000000-0005-0000-0000-000056000000}"/>
    <cellStyle name="20% - Accent4 5" xfId="158" xr:uid="{00000000-0005-0000-0000-000057000000}"/>
    <cellStyle name="20% - Accent4 5 2" xfId="159" xr:uid="{00000000-0005-0000-0000-000058000000}"/>
    <cellStyle name="20% - Accent4 5 2 2" xfId="160" xr:uid="{00000000-0005-0000-0000-000059000000}"/>
    <cellStyle name="20% - Accent4 5 3" xfId="161" xr:uid="{00000000-0005-0000-0000-00005A000000}"/>
    <cellStyle name="20% - Accent4 6" xfId="162" xr:uid="{00000000-0005-0000-0000-00005B000000}"/>
    <cellStyle name="20% - Accent5 2" xfId="163" xr:uid="{00000000-0005-0000-0000-00005C000000}"/>
    <cellStyle name="20% - Accent5 2 2" xfId="164" xr:uid="{00000000-0005-0000-0000-00005D000000}"/>
    <cellStyle name="20% - Accent5 2 2 2" xfId="165" xr:uid="{00000000-0005-0000-0000-00005E000000}"/>
    <cellStyle name="20% - Accent5 2 2 3" xfId="166" xr:uid="{00000000-0005-0000-0000-00005F000000}"/>
    <cellStyle name="20% - Accent5 2 3" xfId="167" xr:uid="{00000000-0005-0000-0000-000060000000}"/>
    <cellStyle name="20% - Accent5 2 3 2" xfId="168" xr:uid="{00000000-0005-0000-0000-000061000000}"/>
    <cellStyle name="20% - Accent5 2 4" xfId="169" xr:uid="{00000000-0005-0000-0000-000062000000}"/>
    <cellStyle name="20% - Accent5 2 5" xfId="170" xr:uid="{00000000-0005-0000-0000-000063000000}"/>
    <cellStyle name="20% - Accent5 3" xfId="171" xr:uid="{00000000-0005-0000-0000-000064000000}"/>
    <cellStyle name="20% - Accent5 3 2" xfId="172" xr:uid="{00000000-0005-0000-0000-000065000000}"/>
    <cellStyle name="20% - Accent5 3 2 2" xfId="173" xr:uid="{00000000-0005-0000-0000-000066000000}"/>
    <cellStyle name="20% - Accent5 3 3" xfId="174" xr:uid="{00000000-0005-0000-0000-000067000000}"/>
    <cellStyle name="20% - Accent5 3 4" xfId="175" xr:uid="{00000000-0005-0000-0000-000068000000}"/>
    <cellStyle name="20% - Accent5 4" xfId="176" xr:uid="{00000000-0005-0000-0000-000069000000}"/>
    <cellStyle name="20% - Accent5 4 2" xfId="177" xr:uid="{00000000-0005-0000-0000-00006A000000}"/>
    <cellStyle name="20% - Accent5 4 2 2" xfId="178" xr:uid="{00000000-0005-0000-0000-00006B000000}"/>
    <cellStyle name="20% - Accent5 4 3" xfId="179" xr:uid="{00000000-0005-0000-0000-00006C000000}"/>
    <cellStyle name="20% - Accent5 5" xfId="180" xr:uid="{00000000-0005-0000-0000-00006D000000}"/>
    <cellStyle name="20% - Accent5 5 2" xfId="181" xr:uid="{00000000-0005-0000-0000-00006E000000}"/>
    <cellStyle name="20% - Accent5 5 2 2" xfId="182" xr:uid="{00000000-0005-0000-0000-00006F000000}"/>
    <cellStyle name="20% - Accent5 5 3" xfId="183" xr:uid="{00000000-0005-0000-0000-000070000000}"/>
    <cellStyle name="20% - Accent5 6" xfId="184" xr:uid="{00000000-0005-0000-0000-000071000000}"/>
    <cellStyle name="20% - Accent6 2" xfId="185" xr:uid="{00000000-0005-0000-0000-000072000000}"/>
    <cellStyle name="20% - Accent6 2 2" xfId="186" xr:uid="{00000000-0005-0000-0000-000073000000}"/>
    <cellStyle name="20% - Accent6 2 2 2" xfId="187" xr:uid="{00000000-0005-0000-0000-000074000000}"/>
    <cellStyle name="20% - Accent6 2 2 3" xfId="188" xr:uid="{00000000-0005-0000-0000-000075000000}"/>
    <cellStyle name="20% - Accent6 2 3" xfId="189" xr:uid="{00000000-0005-0000-0000-000076000000}"/>
    <cellStyle name="20% - Accent6 2 3 2" xfId="190" xr:uid="{00000000-0005-0000-0000-000077000000}"/>
    <cellStyle name="20% - Accent6 2 4" xfId="191" xr:uid="{00000000-0005-0000-0000-000078000000}"/>
    <cellStyle name="20% - Accent6 2 5" xfId="192" xr:uid="{00000000-0005-0000-0000-000079000000}"/>
    <cellStyle name="20% - Accent6 3" xfId="193" xr:uid="{00000000-0005-0000-0000-00007A000000}"/>
    <cellStyle name="20% - Accent6 3 2" xfId="194" xr:uid="{00000000-0005-0000-0000-00007B000000}"/>
    <cellStyle name="20% - Accent6 3 2 2" xfId="195" xr:uid="{00000000-0005-0000-0000-00007C000000}"/>
    <cellStyle name="20% - Accent6 3 3" xfId="196" xr:uid="{00000000-0005-0000-0000-00007D000000}"/>
    <cellStyle name="20% - Accent6 3 4" xfId="197" xr:uid="{00000000-0005-0000-0000-00007E000000}"/>
    <cellStyle name="20% - Accent6 4" xfId="198" xr:uid="{00000000-0005-0000-0000-00007F000000}"/>
    <cellStyle name="20% - Accent6 4 2" xfId="199" xr:uid="{00000000-0005-0000-0000-000080000000}"/>
    <cellStyle name="20% - Accent6 4 2 2" xfId="200" xr:uid="{00000000-0005-0000-0000-000081000000}"/>
    <cellStyle name="20% - Accent6 4 3" xfId="201" xr:uid="{00000000-0005-0000-0000-000082000000}"/>
    <cellStyle name="20% - Accent6 5" xfId="202" xr:uid="{00000000-0005-0000-0000-000083000000}"/>
    <cellStyle name="20% - Accent6 5 2" xfId="203" xr:uid="{00000000-0005-0000-0000-000084000000}"/>
    <cellStyle name="20% - Accent6 5 2 2" xfId="204" xr:uid="{00000000-0005-0000-0000-000085000000}"/>
    <cellStyle name="20% - Accent6 5 3" xfId="205" xr:uid="{00000000-0005-0000-0000-000086000000}"/>
    <cellStyle name="20% - Accent6 6" xfId="206" xr:uid="{00000000-0005-0000-0000-000087000000}"/>
    <cellStyle name="40% - Accent1 2" xfId="207" xr:uid="{00000000-0005-0000-0000-000088000000}"/>
    <cellStyle name="40% - Accent1 2 2" xfId="208" xr:uid="{00000000-0005-0000-0000-000089000000}"/>
    <cellStyle name="40% - Accent1 2 2 2" xfId="209" xr:uid="{00000000-0005-0000-0000-00008A000000}"/>
    <cellStyle name="40% - Accent1 2 2 3" xfId="210" xr:uid="{00000000-0005-0000-0000-00008B000000}"/>
    <cellStyle name="40% - Accent1 2 3" xfId="211" xr:uid="{00000000-0005-0000-0000-00008C000000}"/>
    <cellStyle name="40% - Accent1 2 3 2" xfId="212" xr:uid="{00000000-0005-0000-0000-00008D000000}"/>
    <cellStyle name="40% - Accent1 2 4" xfId="213" xr:uid="{00000000-0005-0000-0000-00008E000000}"/>
    <cellStyle name="40% - Accent1 2 5" xfId="214" xr:uid="{00000000-0005-0000-0000-00008F000000}"/>
    <cellStyle name="40% - Accent1 3" xfId="215" xr:uid="{00000000-0005-0000-0000-000090000000}"/>
    <cellStyle name="40% - Accent1 3 2" xfId="216" xr:uid="{00000000-0005-0000-0000-000091000000}"/>
    <cellStyle name="40% - Accent1 3 2 2" xfId="217" xr:uid="{00000000-0005-0000-0000-000092000000}"/>
    <cellStyle name="40% - Accent1 3 3" xfId="218" xr:uid="{00000000-0005-0000-0000-000093000000}"/>
    <cellStyle name="40% - Accent1 3 4" xfId="219" xr:uid="{00000000-0005-0000-0000-000094000000}"/>
    <cellStyle name="40% - Accent1 4" xfId="220" xr:uid="{00000000-0005-0000-0000-000095000000}"/>
    <cellStyle name="40% - Accent1 4 2" xfId="221" xr:uid="{00000000-0005-0000-0000-000096000000}"/>
    <cellStyle name="40% - Accent1 4 2 2" xfId="222" xr:uid="{00000000-0005-0000-0000-000097000000}"/>
    <cellStyle name="40% - Accent1 4 3" xfId="223" xr:uid="{00000000-0005-0000-0000-000098000000}"/>
    <cellStyle name="40% - Accent1 5" xfId="224" xr:uid="{00000000-0005-0000-0000-000099000000}"/>
    <cellStyle name="40% - Accent1 5 2" xfId="225" xr:uid="{00000000-0005-0000-0000-00009A000000}"/>
    <cellStyle name="40% - Accent1 5 2 2" xfId="226" xr:uid="{00000000-0005-0000-0000-00009B000000}"/>
    <cellStyle name="40% - Accent1 5 3" xfId="227" xr:uid="{00000000-0005-0000-0000-00009C000000}"/>
    <cellStyle name="40% - Accent1 6" xfId="228" xr:uid="{00000000-0005-0000-0000-00009D000000}"/>
    <cellStyle name="40% - Accent2 2" xfId="229" xr:uid="{00000000-0005-0000-0000-00009E000000}"/>
    <cellStyle name="40% - Accent2 2 2" xfId="230" xr:uid="{00000000-0005-0000-0000-00009F000000}"/>
    <cellStyle name="40% - Accent2 2 2 2" xfId="231" xr:uid="{00000000-0005-0000-0000-0000A0000000}"/>
    <cellStyle name="40% - Accent2 2 2 3" xfId="232" xr:uid="{00000000-0005-0000-0000-0000A1000000}"/>
    <cellStyle name="40% - Accent2 2 3" xfId="233" xr:uid="{00000000-0005-0000-0000-0000A2000000}"/>
    <cellStyle name="40% - Accent2 2 3 2" xfId="234" xr:uid="{00000000-0005-0000-0000-0000A3000000}"/>
    <cellStyle name="40% - Accent2 2 4" xfId="235" xr:uid="{00000000-0005-0000-0000-0000A4000000}"/>
    <cellStyle name="40% - Accent2 2 5" xfId="236" xr:uid="{00000000-0005-0000-0000-0000A5000000}"/>
    <cellStyle name="40% - Accent2 3" xfId="237" xr:uid="{00000000-0005-0000-0000-0000A6000000}"/>
    <cellStyle name="40% - Accent2 3 2" xfId="238" xr:uid="{00000000-0005-0000-0000-0000A7000000}"/>
    <cellStyle name="40% - Accent2 3 2 2" xfId="239" xr:uid="{00000000-0005-0000-0000-0000A8000000}"/>
    <cellStyle name="40% - Accent2 3 3" xfId="240" xr:uid="{00000000-0005-0000-0000-0000A9000000}"/>
    <cellStyle name="40% - Accent2 3 4" xfId="241" xr:uid="{00000000-0005-0000-0000-0000AA000000}"/>
    <cellStyle name="40% - Accent2 4" xfId="242" xr:uid="{00000000-0005-0000-0000-0000AB000000}"/>
    <cellStyle name="40% - Accent2 4 2" xfId="243" xr:uid="{00000000-0005-0000-0000-0000AC000000}"/>
    <cellStyle name="40% - Accent2 4 2 2" xfId="244" xr:uid="{00000000-0005-0000-0000-0000AD000000}"/>
    <cellStyle name="40% - Accent2 4 3" xfId="245" xr:uid="{00000000-0005-0000-0000-0000AE000000}"/>
    <cellStyle name="40% - Accent2 5" xfId="246" xr:uid="{00000000-0005-0000-0000-0000AF000000}"/>
    <cellStyle name="40% - Accent2 5 2" xfId="247" xr:uid="{00000000-0005-0000-0000-0000B0000000}"/>
    <cellStyle name="40% - Accent2 5 2 2" xfId="248" xr:uid="{00000000-0005-0000-0000-0000B1000000}"/>
    <cellStyle name="40% - Accent2 5 3" xfId="249" xr:uid="{00000000-0005-0000-0000-0000B2000000}"/>
    <cellStyle name="40% - Accent2 6" xfId="250" xr:uid="{00000000-0005-0000-0000-0000B3000000}"/>
    <cellStyle name="40% - Accent3 2" xfId="251" xr:uid="{00000000-0005-0000-0000-0000B4000000}"/>
    <cellStyle name="40% - Accent3 2 2" xfId="252" xr:uid="{00000000-0005-0000-0000-0000B5000000}"/>
    <cellStyle name="40% - Accent3 2 2 2" xfId="253" xr:uid="{00000000-0005-0000-0000-0000B6000000}"/>
    <cellStyle name="40% - Accent3 2 2 3" xfId="254" xr:uid="{00000000-0005-0000-0000-0000B7000000}"/>
    <cellStyle name="40% - Accent3 2 3" xfId="255" xr:uid="{00000000-0005-0000-0000-0000B8000000}"/>
    <cellStyle name="40% - Accent3 2 3 2" xfId="256" xr:uid="{00000000-0005-0000-0000-0000B9000000}"/>
    <cellStyle name="40% - Accent3 2 4" xfId="257" xr:uid="{00000000-0005-0000-0000-0000BA000000}"/>
    <cellStyle name="40% - Accent3 2 5" xfId="258" xr:uid="{00000000-0005-0000-0000-0000BB000000}"/>
    <cellStyle name="40% - Accent3 3" xfId="259" xr:uid="{00000000-0005-0000-0000-0000BC000000}"/>
    <cellStyle name="40% - Accent3 3 2" xfId="260" xr:uid="{00000000-0005-0000-0000-0000BD000000}"/>
    <cellStyle name="40% - Accent3 3 2 2" xfId="261" xr:uid="{00000000-0005-0000-0000-0000BE000000}"/>
    <cellStyle name="40% - Accent3 3 3" xfId="262" xr:uid="{00000000-0005-0000-0000-0000BF000000}"/>
    <cellStyle name="40% - Accent3 3 4" xfId="263" xr:uid="{00000000-0005-0000-0000-0000C0000000}"/>
    <cellStyle name="40% - Accent3 4" xfId="264" xr:uid="{00000000-0005-0000-0000-0000C1000000}"/>
    <cellStyle name="40% - Accent3 4 2" xfId="265" xr:uid="{00000000-0005-0000-0000-0000C2000000}"/>
    <cellStyle name="40% - Accent3 4 2 2" xfId="266" xr:uid="{00000000-0005-0000-0000-0000C3000000}"/>
    <cellStyle name="40% - Accent3 4 3" xfId="267" xr:uid="{00000000-0005-0000-0000-0000C4000000}"/>
    <cellStyle name="40% - Accent3 5" xfId="268" xr:uid="{00000000-0005-0000-0000-0000C5000000}"/>
    <cellStyle name="40% - Accent3 5 2" xfId="269" xr:uid="{00000000-0005-0000-0000-0000C6000000}"/>
    <cellStyle name="40% - Accent3 5 2 2" xfId="270" xr:uid="{00000000-0005-0000-0000-0000C7000000}"/>
    <cellStyle name="40% - Accent3 5 3" xfId="271" xr:uid="{00000000-0005-0000-0000-0000C8000000}"/>
    <cellStyle name="40% - Accent3 6" xfId="272" xr:uid="{00000000-0005-0000-0000-0000C9000000}"/>
    <cellStyle name="40% - Accent4 2" xfId="273" xr:uid="{00000000-0005-0000-0000-0000CA000000}"/>
    <cellStyle name="40% - Accent4 2 2" xfId="274" xr:uid="{00000000-0005-0000-0000-0000CB000000}"/>
    <cellStyle name="40% - Accent4 2 2 2" xfId="275" xr:uid="{00000000-0005-0000-0000-0000CC000000}"/>
    <cellStyle name="40% - Accent4 2 2 3" xfId="276" xr:uid="{00000000-0005-0000-0000-0000CD000000}"/>
    <cellStyle name="40% - Accent4 2 3" xfId="277" xr:uid="{00000000-0005-0000-0000-0000CE000000}"/>
    <cellStyle name="40% - Accent4 2 3 2" xfId="278" xr:uid="{00000000-0005-0000-0000-0000CF000000}"/>
    <cellStyle name="40% - Accent4 2 4" xfId="279" xr:uid="{00000000-0005-0000-0000-0000D0000000}"/>
    <cellStyle name="40% - Accent4 2 5" xfId="280" xr:uid="{00000000-0005-0000-0000-0000D1000000}"/>
    <cellStyle name="40% - Accent4 3" xfId="281" xr:uid="{00000000-0005-0000-0000-0000D2000000}"/>
    <cellStyle name="40% - Accent4 3 2" xfId="282" xr:uid="{00000000-0005-0000-0000-0000D3000000}"/>
    <cellStyle name="40% - Accent4 3 2 2" xfId="283" xr:uid="{00000000-0005-0000-0000-0000D4000000}"/>
    <cellStyle name="40% - Accent4 3 3" xfId="284" xr:uid="{00000000-0005-0000-0000-0000D5000000}"/>
    <cellStyle name="40% - Accent4 3 4" xfId="285" xr:uid="{00000000-0005-0000-0000-0000D6000000}"/>
    <cellStyle name="40% - Accent4 4" xfId="286" xr:uid="{00000000-0005-0000-0000-0000D7000000}"/>
    <cellStyle name="40% - Accent4 4 2" xfId="287" xr:uid="{00000000-0005-0000-0000-0000D8000000}"/>
    <cellStyle name="40% - Accent4 4 2 2" xfId="288" xr:uid="{00000000-0005-0000-0000-0000D9000000}"/>
    <cellStyle name="40% - Accent4 4 3" xfId="289" xr:uid="{00000000-0005-0000-0000-0000DA000000}"/>
    <cellStyle name="40% - Accent4 5" xfId="290" xr:uid="{00000000-0005-0000-0000-0000DB000000}"/>
    <cellStyle name="40% - Accent4 5 2" xfId="291" xr:uid="{00000000-0005-0000-0000-0000DC000000}"/>
    <cellStyle name="40% - Accent4 5 2 2" xfId="292" xr:uid="{00000000-0005-0000-0000-0000DD000000}"/>
    <cellStyle name="40% - Accent4 5 3" xfId="293" xr:uid="{00000000-0005-0000-0000-0000DE000000}"/>
    <cellStyle name="40% - Accent4 6" xfId="294" xr:uid="{00000000-0005-0000-0000-0000DF000000}"/>
    <cellStyle name="40% - Accent5 2" xfId="295" xr:uid="{00000000-0005-0000-0000-0000E0000000}"/>
    <cellStyle name="40% - Accent5 2 2" xfId="296" xr:uid="{00000000-0005-0000-0000-0000E1000000}"/>
    <cellStyle name="40% - Accent5 2 2 2" xfId="297" xr:uid="{00000000-0005-0000-0000-0000E2000000}"/>
    <cellStyle name="40% - Accent5 2 2 3" xfId="298" xr:uid="{00000000-0005-0000-0000-0000E3000000}"/>
    <cellStyle name="40% - Accent5 2 3" xfId="299" xr:uid="{00000000-0005-0000-0000-0000E4000000}"/>
    <cellStyle name="40% - Accent5 2 3 2" xfId="300" xr:uid="{00000000-0005-0000-0000-0000E5000000}"/>
    <cellStyle name="40% - Accent5 2 4" xfId="301" xr:uid="{00000000-0005-0000-0000-0000E6000000}"/>
    <cellStyle name="40% - Accent5 2 5" xfId="302" xr:uid="{00000000-0005-0000-0000-0000E7000000}"/>
    <cellStyle name="40% - Accent5 3" xfId="303" xr:uid="{00000000-0005-0000-0000-0000E8000000}"/>
    <cellStyle name="40% - Accent5 3 2" xfId="304" xr:uid="{00000000-0005-0000-0000-0000E9000000}"/>
    <cellStyle name="40% - Accent5 3 2 2" xfId="305" xr:uid="{00000000-0005-0000-0000-0000EA000000}"/>
    <cellStyle name="40% - Accent5 3 3" xfId="306" xr:uid="{00000000-0005-0000-0000-0000EB000000}"/>
    <cellStyle name="40% - Accent5 3 4" xfId="307" xr:uid="{00000000-0005-0000-0000-0000EC000000}"/>
    <cellStyle name="40% - Accent5 4" xfId="308" xr:uid="{00000000-0005-0000-0000-0000ED000000}"/>
    <cellStyle name="40% - Accent5 4 2" xfId="309" xr:uid="{00000000-0005-0000-0000-0000EE000000}"/>
    <cellStyle name="40% - Accent5 4 2 2" xfId="310" xr:uid="{00000000-0005-0000-0000-0000EF000000}"/>
    <cellStyle name="40% - Accent5 4 3" xfId="311" xr:uid="{00000000-0005-0000-0000-0000F0000000}"/>
    <cellStyle name="40% - Accent5 5" xfId="312" xr:uid="{00000000-0005-0000-0000-0000F1000000}"/>
    <cellStyle name="40% - Accent5 5 2" xfId="313" xr:uid="{00000000-0005-0000-0000-0000F2000000}"/>
    <cellStyle name="40% - Accent5 5 2 2" xfId="314" xr:uid="{00000000-0005-0000-0000-0000F3000000}"/>
    <cellStyle name="40% - Accent5 5 3" xfId="315" xr:uid="{00000000-0005-0000-0000-0000F4000000}"/>
    <cellStyle name="40% - Accent5 6" xfId="316" xr:uid="{00000000-0005-0000-0000-0000F5000000}"/>
    <cellStyle name="40% - Accent6 2" xfId="317" xr:uid="{00000000-0005-0000-0000-0000F6000000}"/>
    <cellStyle name="40% - Accent6 2 2" xfId="318" xr:uid="{00000000-0005-0000-0000-0000F7000000}"/>
    <cellStyle name="40% - Accent6 2 2 2" xfId="319" xr:uid="{00000000-0005-0000-0000-0000F8000000}"/>
    <cellStyle name="40% - Accent6 2 2 3" xfId="320" xr:uid="{00000000-0005-0000-0000-0000F9000000}"/>
    <cellStyle name="40% - Accent6 2 3" xfId="321" xr:uid="{00000000-0005-0000-0000-0000FA000000}"/>
    <cellStyle name="40% - Accent6 2 3 2" xfId="322" xr:uid="{00000000-0005-0000-0000-0000FB000000}"/>
    <cellStyle name="40% - Accent6 2 4" xfId="323" xr:uid="{00000000-0005-0000-0000-0000FC000000}"/>
    <cellStyle name="40% - Accent6 2 5" xfId="324" xr:uid="{00000000-0005-0000-0000-0000FD000000}"/>
    <cellStyle name="40% - Accent6 3" xfId="325" xr:uid="{00000000-0005-0000-0000-0000FE000000}"/>
    <cellStyle name="40% - Accent6 3 2" xfId="326" xr:uid="{00000000-0005-0000-0000-0000FF000000}"/>
    <cellStyle name="40% - Accent6 3 2 2" xfId="327" xr:uid="{00000000-0005-0000-0000-000000010000}"/>
    <cellStyle name="40% - Accent6 3 3" xfId="328" xr:uid="{00000000-0005-0000-0000-000001010000}"/>
    <cellStyle name="40% - Accent6 3 4" xfId="329" xr:uid="{00000000-0005-0000-0000-000002010000}"/>
    <cellStyle name="40% - Accent6 4" xfId="330" xr:uid="{00000000-0005-0000-0000-000003010000}"/>
    <cellStyle name="40% - Accent6 4 2" xfId="331" xr:uid="{00000000-0005-0000-0000-000004010000}"/>
    <cellStyle name="40% - Accent6 4 2 2" xfId="332" xr:uid="{00000000-0005-0000-0000-000005010000}"/>
    <cellStyle name="40% - Accent6 4 3" xfId="333" xr:uid="{00000000-0005-0000-0000-000006010000}"/>
    <cellStyle name="40% - Accent6 5" xfId="334" xr:uid="{00000000-0005-0000-0000-000007010000}"/>
    <cellStyle name="40% - Accent6 5 2" xfId="335" xr:uid="{00000000-0005-0000-0000-000008010000}"/>
    <cellStyle name="40% - Accent6 5 2 2" xfId="336" xr:uid="{00000000-0005-0000-0000-000009010000}"/>
    <cellStyle name="40% - Accent6 5 3" xfId="337" xr:uid="{00000000-0005-0000-0000-00000A010000}"/>
    <cellStyle name="40% - Accent6 6" xfId="338" xr:uid="{00000000-0005-0000-0000-00000B010000}"/>
    <cellStyle name="60% - Accent1 2" xfId="339" xr:uid="{00000000-0005-0000-0000-00000C010000}"/>
    <cellStyle name="60% - Accent1 3" xfId="340" xr:uid="{00000000-0005-0000-0000-00000D010000}"/>
    <cellStyle name="60% - Accent1 4" xfId="341" xr:uid="{00000000-0005-0000-0000-00000E010000}"/>
    <cellStyle name="60% - Accent1 5" xfId="342" xr:uid="{00000000-0005-0000-0000-00000F010000}"/>
    <cellStyle name="60% - Accent1 6" xfId="343" xr:uid="{00000000-0005-0000-0000-000010010000}"/>
    <cellStyle name="60% - Accent2 2" xfId="344" xr:uid="{00000000-0005-0000-0000-000011010000}"/>
    <cellStyle name="60% - Accent2 3" xfId="345" xr:uid="{00000000-0005-0000-0000-000012010000}"/>
    <cellStyle name="60% - Accent2 4" xfId="346" xr:uid="{00000000-0005-0000-0000-000013010000}"/>
    <cellStyle name="60% - Accent2 5" xfId="347" xr:uid="{00000000-0005-0000-0000-000014010000}"/>
    <cellStyle name="60% - Accent2 6" xfId="348" xr:uid="{00000000-0005-0000-0000-000015010000}"/>
    <cellStyle name="60% - Accent3 2" xfId="349" xr:uid="{00000000-0005-0000-0000-000016010000}"/>
    <cellStyle name="60% - Accent3 3" xfId="350" xr:uid="{00000000-0005-0000-0000-000017010000}"/>
    <cellStyle name="60% - Accent3 4" xfId="351" xr:uid="{00000000-0005-0000-0000-000018010000}"/>
    <cellStyle name="60% - Accent3 5" xfId="352" xr:uid="{00000000-0005-0000-0000-000019010000}"/>
    <cellStyle name="60% - Accent3 6" xfId="353" xr:uid="{00000000-0005-0000-0000-00001A010000}"/>
    <cellStyle name="60% - Accent4 2" xfId="354" xr:uid="{00000000-0005-0000-0000-00001B010000}"/>
    <cellStyle name="60% - Accent4 3" xfId="355" xr:uid="{00000000-0005-0000-0000-00001C010000}"/>
    <cellStyle name="60% - Accent4 4" xfId="356" xr:uid="{00000000-0005-0000-0000-00001D010000}"/>
    <cellStyle name="60% - Accent4 5" xfId="357" xr:uid="{00000000-0005-0000-0000-00001E010000}"/>
    <cellStyle name="60% - Accent4 6" xfId="358" xr:uid="{00000000-0005-0000-0000-00001F010000}"/>
    <cellStyle name="60% - Accent5 2" xfId="359" xr:uid="{00000000-0005-0000-0000-000020010000}"/>
    <cellStyle name="60% - Accent5 3" xfId="360" xr:uid="{00000000-0005-0000-0000-000021010000}"/>
    <cellStyle name="60% - Accent5 4" xfId="361" xr:uid="{00000000-0005-0000-0000-000022010000}"/>
    <cellStyle name="60% - Accent5 5" xfId="362" xr:uid="{00000000-0005-0000-0000-000023010000}"/>
    <cellStyle name="60% - Accent5 6" xfId="363" xr:uid="{00000000-0005-0000-0000-000024010000}"/>
    <cellStyle name="60% - Accent6 2" xfId="364" xr:uid="{00000000-0005-0000-0000-000025010000}"/>
    <cellStyle name="60% - Accent6 3" xfId="365" xr:uid="{00000000-0005-0000-0000-000026010000}"/>
    <cellStyle name="60% - Accent6 4" xfId="366" xr:uid="{00000000-0005-0000-0000-000027010000}"/>
    <cellStyle name="60% - Accent6 5" xfId="367" xr:uid="{00000000-0005-0000-0000-000028010000}"/>
    <cellStyle name="60% - Accent6 6" xfId="368" xr:uid="{00000000-0005-0000-0000-000029010000}"/>
    <cellStyle name="Accent1 2" xfId="369" xr:uid="{00000000-0005-0000-0000-00002A010000}"/>
    <cellStyle name="Accent1 3" xfId="370" xr:uid="{00000000-0005-0000-0000-00002B010000}"/>
    <cellStyle name="Accent1 4" xfId="371" xr:uid="{00000000-0005-0000-0000-00002C010000}"/>
    <cellStyle name="Accent1 5" xfId="372" xr:uid="{00000000-0005-0000-0000-00002D010000}"/>
    <cellStyle name="Accent1 6" xfId="373" xr:uid="{00000000-0005-0000-0000-00002E010000}"/>
    <cellStyle name="Accent2 2" xfId="374" xr:uid="{00000000-0005-0000-0000-00002F010000}"/>
    <cellStyle name="Accent2 3" xfId="375" xr:uid="{00000000-0005-0000-0000-000030010000}"/>
    <cellStyle name="Accent2 4" xfId="376" xr:uid="{00000000-0005-0000-0000-000031010000}"/>
    <cellStyle name="Accent2 5" xfId="377" xr:uid="{00000000-0005-0000-0000-000032010000}"/>
    <cellStyle name="Accent2 6" xfId="378" xr:uid="{00000000-0005-0000-0000-000033010000}"/>
    <cellStyle name="Accent3 2" xfId="379" xr:uid="{00000000-0005-0000-0000-000034010000}"/>
    <cellStyle name="Accent3 3" xfId="380" xr:uid="{00000000-0005-0000-0000-000035010000}"/>
    <cellStyle name="Accent3 4" xfId="381" xr:uid="{00000000-0005-0000-0000-000036010000}"/>
    <cellStyle name="Accent3 5" xfId="382" xr:uid="{00000000-0005-0000-0000-000037010000}"/>
    <cellStyle name="Accent3 6" xfId="383" xr:uid="{00000000-0005-0000-0000-000038010000}"/>
    <cellStyle name="Accent4 2" xfId="384" xr:uid="{00000000-0005-0000-0000-000039010000}"/>
    <cellStyle name="Accent4 3" xfId="385" xr:uid="{00000000-0005-0000-0000-00003A010000}"/>
    <cellStyle name="Accent4 4" xfId="386" xr:uid="{00000000-0005-0000-0000-00003B010000}"/>
    <cellStyle name="Accent4 5" xfId="387" xr:uid="{00000000-0005-0000-0000-00003C010000}"/>
    <cellStyle name="Accent4 6" xfId="388" xr:uid="{00000000-0005-0000-0000-00003D010000}"/>
    <cellStyle name="Accent5 2" xfId="389" xr:uid="{00000000-0005-0000-0000-00003E010000}"/>
    <cellStyle name="Accent5 3" xfId="390" xr:uid="{00000000-0005-0000-0000-00003F010000}"/>
    <cellStyle name="Accent5 4" xfId="391" xr:uid="{00000000-0005-0000-0000-000040010000}"/>
    <cellStyle name="Accent5 5" xfId="392" xr:uid="{00000000-0005-0000-0000-000041010000}"/>
    <cellStyle name="Accent5 6" xfId="393" xr:uid="{00000000-0005-0000-0000-000042010000}"/>
    <cellStyle name="Accent6 2" xfId="394" xr:uid="{00000000-0005-0000-0000-000043010000}"/>
    <cellStyle name="Accent6 3" xfId="395" xr:uid="{00000000-0005-0000-0000-000044010000}"/>
    <cellStyle name="Accent6 4" xfId="396" xr:uid="{00000000-0005-0000-0000-000045010000}"/>
    <cellStyle name="Accent6 5" xfId="397" xr:uid="{00000000-0005-0000-0000-000046010000}"/>
    <cellStyle name="Accent6 6" xfId="398" xr:uid="{00000000-0005-0000-0000-000047010000}"/>
    <cellStyle name="Account No." xfId="399" xr:uid="{00000000-0005-0000-0000-000048010000}"/>
    <cellStyle name="Account No. 2" xfId="400" xr:uid="{00000000-0005-0000-0000-000049010000}"/>
    <cellStyle name="adj detail" xfId="401" xr:uid="{00000000-0005-0000-0000-00004A010000}"/>
    <cellStyle name="Allocated" xfId="402" xr:uid="{00000000-0005-0000-0000-00004B010000}"/>
    <cellStyle name="Bad 2" xfId="403" xr:uid="{00000000-0005-0000-0000-00004C010000}"/>
    <cellStyle name="Bad 3" xfId="404" xr:uid="{00000000-0005-0000-0000-00004D010000}"/>
    <cellStyle name="Bad 4" xfId="405" xr:uid="{00000000-0005-0000-0000-00004E010000}"/>
    <cellStyle name="Bad 5" xfId="406" xr:uid="{00000000-0005-0000-0000-00004F010000}"/>
    <cellStyle name="Bad 6" xfId="407" xr:uid="{00000000-0005-0000-0000-000050010000}"/>
    <cellStyle name="Calculation 2" xfId="408" xr:uid="{00000000-0005-0000-0000-000051010000}"/>
    <cellStyle name="Calculation 3" xfId="409" xr:uid="{00000000-0005-0000-0000-000052010000}"/>
    <cellStyle name="Calculation 4" xfId="410" xr:uid="{00000000-0005-0000-0000-000053010000}"/>
    <cellStyle name="Calculation 5" xfId="411" xr:uid="{00000000-0005-0000-0000-000054010000}"/>
    <cellStyle name="Calculation 6" xfId="412" xr:uid="{00000000-0005-0000-0000-000055010000}"/>
    <cellStyle name="Calculation 7" xfId="413" xr:uid="{00000000-0005-0000-0000-000056010000}"/>
    <cellStyle name="Check Cell 2" xfId="414" xr:uid="{00000000-0005-0000-0000-000057010000}"/>
    <cellStyle name="Check Cell 3" xfId="415" xr:uid="{00000000-0005-0000-0000-000058010000}"/>
    <cellStyle name="Check Cell 4" xfId="416" xr:uid="{00000000-0005-0000-0000-000059010000}"/>
    <cellStyle name="Check Cell 5" xfId="417" xr:uid="{00000000-0005-0000-0000-00005A010000}"/>
    <cellStyle name="Check Cell 6" xfId="418" xr:uid="{00000000-0005-0000-0000-00005B010000}"/>
    <cellStyle name="Col Cent" xfId="419" xr:uid="{00000000-0005-0000-0000-00005C010000}"/>
    <cellStyle name="Col Cent Across" xfId="420" xr:uid="{00000000-0005-0000-0000-00005D010000}"/>
    <cellStyle name="Col Head Cent" xfId="421" xr:uid="{00000000-0005-0000-0000-00005E010000}"/>
    <cellStyle name="Col Head Cent 2" xfId="422" xr:uid="{00000000-0005-0000-0000-00005F010000}"/>
    <cellStyle name="ColumnHeaderNormal" xfId="423" xr:uid="{00000000-0005-0000-0000-000060010000}"/>
    <cellStyle name="Comma" xfId="44" builtinId="3"/>
    <cellStyle name="Comma [0] 2" xfId="424" xr:uid="{00000000-0005-0000-0000-000062010000}"/>
    <cellStyle name="Comma 10" xfId="17" xr:uid="{00000000-0005-0000-0000-000063010000}"/>
    <cellStyle name="Comma 101" xfId="5" xr:uid="{00000000-0005-0000-0000-000064010000}"/>
    <cellStyle name="Comma 101 2" xfId="15" xr:uid="{00000000-0005-0000-0000-000065010000}"/>
    <cellStyle name="Comma 11" xfId="425" xr:uid="{00000000-0005-0000-0000-000066010000}"/>
    <cellStyle name="Comma 12" xfId="426" xr:uid="{00000000-0005-0000-0000-000067010000}"/>
    <cellStyle name="Comma 13" xfId="427" xr:uid="{00000000-0005-0000-0000-000068010000}"/>
    <cellStyle name="Comma 14" xfId="428" xr:uid="{00000000-0005-0000-0000-000069010000}"/>
    <cellStyle name="Comma 15" xfId="429" xr:uid="{00000000-0005-0000-0000-00006A010000}"/>
    <cellStyle name="Comma 16" xfId="430" xr:uid="{00000000-0005-0000-0000-00006B010000}"/>
    <cellStyle name="Comma 17" xfId="431" xr:uid="{00000000-0005-0000-0000-00006C010000}"/>
    <cellStyle name="Comma 18" xfId="432" xr:uid="{00000000-0005-0000-0000-00006D010000}"/>
    <cellStyle name="Comma 18 2" xfId="433" xr:uid="{00000000-0005-0000-0000-00006E010000}"/>
    <cellStyle name="Comma 18 3" xfId="434" xr:uid="{00000000-0005-0000-0000-00006F010000}"/>
    <cellStyle name="Comma 19" xfId="435" xr:uid="{00000000-0005-0000-0000-000070010000}"/>
    <cellStyle name="Comma 2" xfId="37" xr:uid="{00000000-0005-0000-0000-000071010000}"/>
    <cellStyle name="Comma 2 10" xfId="436" xr:uid="{00000000-0005-0000-0000-000072010000}"/>
    <cellStyle name="Comma 2 10 2" xfId="437" xr:uid="{00000000-0005-0000-0000-000073010000}"/>
    <cellStyle name="Comma 2 10 2 2" xfId="438" xr:uid="{00000000-0005-0000-0000-000074010000}"/>
    <cellStyle name="Comma 2 10 2 3" xfId="439" xr:uid="{00000000-0005-0000-0000-000075010000}"/>
    <cellStyle name="Comma 2 10 3" xfId="440" xr:uid="{00000000-0005-0000-0000-000076010000}"/>
    <cellStyle name="Comma 2 100" xfId="441" xr:uid="{00000000-0005-0000-0000-000077010000}"/>
    <cellStyle name="Comma 2 101" xfId="442" xr:uid="{00000000-0005-0000-0000-000078010000}"/>
    <cellStyle name="Comma 2 102" xfId="443" xr:uid="{00000000-0005-0000-0000-000079010000}"/>
    <cellStyle name="Comma 2 103" xfId="444" xr:uid="{00000000-0005-0000-0000-00007A010000}"/>
    <cellStyle name="Comma 2 104" xfId="445" xr:uid="{00000000-0005-0000-0000-00007B010000}"/>
    <cellStyle name="Comma 2 105" xfId="446" xr:uid="{00000000-0005-0000-0000-00007C010000}"/>
    <cellStyle name="Comma 2 106" xfId="447" xr:uid="{00000000-0005-0000-0000-00007D010000}"/>
    <cellStyle name="Comma 2 107" xfId="448" xr:uid="{00000000-0005-0000-0000-00007E010000}"/>
    <cellStyle name="Comma 2 108" xfId="449" xr:uid="{00000000-0005-0000-0000-00007F010000}"/>
    <cellStyle name="Comma 2 109" xfId="450" xr:uid="{00000000-0005-0000-0000-000080010000}"/>
    <cellStyle name="Comma 2 11" xfId="451" xr:uid="{00000000-0005-0000-0000-000081010000}"/>
    <cellStyle name="Comma 2 11 2" xfId="452" xr:uid="{00000000-0005-0000-0000-000082010000}"/>
    <cellStyle name="Comma 2 11 2 2" xfId="453" xr:uid="{00000000-0005-0000-0000-000083010000}"/>
    <cellStyle name="Comma 2 11 2 3" xfId="454" xr:uid="{00000000-0005-0000-0000-000084010000}"/>
    <cellStyle name="Comma 2 11 3" xfId="455" xr:uid="{00000000-0005-0000-0000-000085010000}"/>
    <cellStyle name="Comma 2 110" xfId="456" xr:uid="{00000000-0005-0000-0000-000086010000}"/>
    <cellStyle name="Comma 2 111" xfId="457" xr:uid="{00000000-0005-0000-0000-000087010000}"/>
    <cellStyle name="Comma 2 112" xfId="458" xr:uid="{00000000-0005-0000-0000-000088010000}"/>
    <cellStyle name="Comma 2 113" xfId="459" xr:uid="{00000000-0005-0000-0000-000089010000}"/>
    <cellStyle name="Comma 2 114" xfId="460" xr:uid="{00000000-0005-0000-0000-00008A010000}"/>
    <cellStyle name="Comma 2 115" xfId="461" xr:uid="{00000000-0005-0000-0000-00008B010000}"/>
    <cellStyle name="Comma 2 116" xfId="462" xr:uid="{00000000-0005-0000-0000-00008C010000}"/>
    <cellStyle name="Comma 2 117" xfId="463" xr:uid="{00000000-0005-0000-0000-00008D010000}"/>
    <cellStyle name="Comma 2 118" xfId="464" xr:uid="{00000000-0005-0000-0000-00008E010000}"/>
    <cellStyle name="Comma 2 119" xfId="465" xr:uid="{00000000-0005-0000-0000-00008F010000}"/>
    <cellStyle name="Comma 2 12" xfId="466" xr:uid="{00000000-0005-0000-0000-000090010000}"/>
    <cellStyle name="Comma 2 12 2" xfId="467" xr:uid="{00000000-0005-0000-0000-000091010000}"/>
    <cellStyle name="Comma 2 12 2 2" xfId="468" xr:uid="{00000000-0005-0000-0000-000092010000}"/>
    <cellStyle name="Comma 2 12 2 3" xfId="469" xr:uid="{00000000-0005-0000-0000-000093010000}"/>
    <cellStyle name="Comma 2 12 3" xfId="470" xr:uid="{00000000-0005-0000-0000-000094010000}"/>
    <cellStyle name="Comma 2 120" xfId="471" xr:uid="{00000000-0005-0000-0000-000095010000}"/>
    <cellStyle name="Comma 2 121" xfId="472" xr:uid="{00000000-0005-0000-0000-000096010000}"/>
    <cellStyle name="Comma 2 122" xfId="473" xr:uid="{00000000-0005-0000-0000-000097010000}"/>
    <cellStyle name="Comma 2 123" xfId="474" xr:uid="{00000000-0005-0000-0000-000098010000}"/>
    <cellStyle name="Comma 2 124" xfId="475" xr:uid="{00000000-0005-0000-0000-000099010000}"/>
    <cellStyle name="Comma 2 125" xfId="476" xr:uid="{00000000-0005-0000-0000-00009A010000}"/>
    <cellStyle name="Comma 2 126" xfId="477" xr:uid="{00000000-0005-0000-0000-00009B010000}"/>
    <cellStyle name="Comma 2 127" xfId="478" xr:uid="{00000000-0005-0000-0000-00009C010000}"/>
    <cellStyle name="Comma 2 128" xfId="479" xr:uid="{00000000-0005-0000-0000-00009D010000}"/>
    <cellStyle name="Comma 2 129" xfId="480" xr:uid="{00000000-0005-0000-0000-00009E010000}"/>
    <cellStyle name="Comma 2 13" xfId="481" xr:uid="{00000000-0005-0000-0000-00009F010000}"/>
    <cellStyle name="Comma 2 13 2" xfId="482" xr:uid="{00000000-0005-0000-0000-0000A0010000}"/>
    <cellStyle name="Comma 2 13 2 2" xfId="483" xr:uid="{00000000-0005-0000-0000-0000A1010000}"/>
    <cellStyle name="Comma 2 13 2 3" xfId="484" xr:uid="{00000000-0005-0000-0000-0000A2010000}"/>
    <cellStyle name="Comma 2 13 3" xfId="485" xr:uid="{00000000-0005-0000-0000-0000A3010000}"/>
    <cellStyle name="Comma 2 130" xfId="486" xr:uid="{00000000-0005-0000-0000-0000A4010000}"/>
    <cellStyle name="Comma 2 131" xfId="487" xr:uid="{00000000-0005-0000-0000-0000A5010000}"/>
    <cellStyle name="Comma 2 132" xfId="488" xr:uid="{00000000-0005-0000-0000-0000A6010000}"/>
    <cellStyle name="Comma 2 133" xfId="489" xr:uid="{00000000-0005-0000-0000-0000A7010000}"/>
    <cellStyle name="Comma 2 134" xfId="490" xr:uid="{00000000-0005-0000-0000-0000A8010000}"/>
    <cellStyle name="Comma 2 135" xfId="491" xr:uid="{00000000-0005-0000-0000-0000A9010000}"/>
    <cellStyle name="Comma 2 136" xfId="492" xr:uid="{00000000-0005-0000-0000-0000AA010000}"/>
    <cellStyle name="Comma 2 137" xfId="493" xr:uid="{00000000-0005-0000-0000-0000AB010000}"/>
    <cellStyle name="Comma 2 138" xfId="494" xr:uid="{00000000-0005-0000-0000-0000AC010000}"/>
    <cellStyle name="Comma 2 139" xfId="495" xr:uid="{00000000-0005-0000-0000-0000AD010000}"/>
    <cellStyle name="Comma 2 14" xfId="496" xr:uid="{00000000-0005-0000-0000-0000AE010000}"/>
    <cellStyle name="Comma 2 14 2" xfId="497" xr:uid="{00000000-0005-0000-0000-0000AF010000}"/>
    <cellStyle name="Comma 2 14 2 2" xfId="498" xr:uid="{00000000-0005-0000-0000-0000B0010000}"/>
    <cellStyle name="Comma 2 14 2 3" xfId="499" xr:uid="{00000000-0005-0000-0000-0000B1010000}"/>
    <cellStyle name="Comma 2 14 3" xfId="500" xr:uid="{00000000-0005-0000-0000-0000B2010000}"/>
    <cellStyle name="Comma 2 140" xfId="501" xr:uid="{00000000-0005-0000-0000-0000B3010000}"/>
    <cellStyle name="Comma 2 141" xfId="502" xr:uid="{00000000-0005-0000-0000-0000B4010000}"/>
    <cellStyle name="Comma 2 142" xfId="503" xr:uid="{00000000-0005-0000-0000-0000B5010000}"/>
    <cellStyle name="Comma 2 143" xfId="504" xr:uid="{00000000-0005-0000-0000-0000B6010000}"/>
    <cellStyle name="Comma 2 144" xfId="505" xr:uid="{00000000-0005-0000-0000-0000B7010000}"/>
    <cellStyle name="Comma 2 145" xfId="506" xr:uid="{00000000-0005-0000-0000-0000B8010000}"/>
    <cellStyle name="Comma 2 146" xfId="507" xr:uid="{00000000-0005-0000-0000-0000B9010000}"/>
    <cellStyle name="Comma 2 147" xfId="508" xr:uid="{00000000-0005-0000-0000-0000BA010000}"/>
    <cellStyle name="Comma 2 148" xfId="509" xr:uid="{00000000-0005-0000-0000-0000BB010000}"/>
    <cellStyle name="Comma 2 149" xfId="510" xr:uid="{00000000-0005-0000-0000-0000BC010000}"/>
    <cellStyle name="Comma 2 15" xfId="511" xr:uid="{00000000-0005-0000-0000-0000BD010000}"/>
    <cellStyle name="Comma 2 15 2" xfId="512" xr:uid="{00000000-0005-0000-0000-0000BE010000}"/>
    <cellStyle name="Comma 2 15 2 2" xfId="513" xr:uid="{00000000-0005-0000-0000-0000BF010000}"/>
    <cellStyle name="Comma 2 15 2 3" xfId="514" xr:uid="{00000000-0005-0000-0000-0000C0010000}"/>
    <cellStyle name="Comma 2 15 3" xfId="515" xr:uid="{00000000-0005-0000-0000-0000C1010000}"/>
    <cellStyle name="Comma 2 150" xfId="516" xr:uid="{00000000-0005-0000-0000-0000C2010000}"/>
    <cellStyle name="Comma 2 151" xfId="517" xr:uid="{00000000-0005-0000-0000-0000C3010000}"/>
    <cellStyle name="Comma 2 152" xfId="518" xr:uid="{00000000-0005-0000-0000-0000C4010000}"/>
    <cellStyle name="Comma 2 153" xfId="519" xr:uid="{00000000-0005-0000-0000-0000C5010000}"/>
    <cellStyle name="Comma 2 154" xfId="61" xr:uid="{00000000-0005-0000-0000-0000C6010000}"/>
    <cellStyle name="Comma 2 155" xfId="9502" xr:uid="{C9E8CDD9-8BB8-42F3-AEC2-5CC9189AF01F}"/>
    <cellStyle name="Comma 2 16" xfId="520" xr:uid="{00000000-0005-0000-0000-0000C7010000}"/>
    <cellStyle name="Comma 2 16 2" xfId="521" xr:uid="{00000000-0005-0000-0000-0000C8010000}"/>
    <cellStyle name="Comma 2 16 2 2" xfId="522" xr:uid="{00000000-0005-0000-0000-0000C9010000}"/>
    <cellStyle name="Comma 2 16 2 3" xfId="523" xr:uid="{00000000-0005-0000-0000-0000CA010000}"/>
    <cellStyle name="Comma 2 16 3" xfId="524" xr:uid="{00000000-0005-0000-0000-0000CB010000}"/>
    <cellStyle name="Comma 2 17" xfId="525" xr:uid="{00000000-0005-0000-0000-0000CC010000}"/>
    <cellStyle name="Comma 2 17 2" xfId="526" xr:uid="{00000000-0005-0000-0000-0000CD010000}"/>
    <cellStyle name="Comma 2 18" xfId="527" xr:uid="{00000000-0005-0000-0000-0000CE010000}"/>
    <cellStyle name="Comma 2 18 2" xfId="528" xr:uid="{00000000-0005-0000-0000-0000CF010000}"/>
    <cellStyle name="Comma 2 19" xfId="529" xr:uid="{00000000-0005-0000-0000-0000D0010000}"/>
    <cellStyle name="Comma 2 19 2" xfId="530" xr:uid="{00000000-0005-0000-0000-0000D1010000}"/>
    <cellStyle name="Comma 2 2" xfId="531" xr:uid="{00000000-0005-0000-0000-0000D2010000}"/>
    <cellStyle name="Comma 2 2 10" xfId="532" xr:uid="{00000000-0005-0000-0000-0000D3010000}"/>
    <cellStyle name="Comma 2 2 10 2" xfId="533" xr:uid="{00000000-0005-0000-0000-0000D4010000}"/>
    <cellStyle name="Comma 2 2 11" xfId="534" xr:uid="{00000000-0005-0000-0000-0000D5010000}"/>
    <cellStyle name="Comma 2 2 11 2" xfId="535" xr:uid="{00000000-0005-0000-0000-0000D6010000}"/>
    <cellStyle name="Comma 2 2 12" xfId="536" xr:uid="{00000000-0005-0000-0000-0000D7010000}"/>
    <cellStyle name="Comma 2 2 12 2" xfId="537" xr:uid="{00000000-0005-0000-0000-0000D8010000}"/>
    <cellStyle name="Comma 2 2 12 2 2" xfId="538" xr:uid="{00000000-0005-0000-0000-0000D9010000}"/>
    <cellStyle name="Comma 2 2 12 3" xfId="539" xr:uid="{00000000-0005-0000-0000-0000DA010000}"/>
    <cellStyle name="Comma 2 2 13" xfId="540" xr:uid="{00000000-0005-0000-0000-0000DB010000}"/>
    <cellStyle name="Comma 2 2 13 2" xfId="541" xr:uid="{00000000-0005-0000-0000-0000DC010000}"/>
    <cellStyle name="Comma 2 2 14" xfId="542" xr:uid="{00000000-0005-0000-0000-0000DD010000}"/>
    <cellStyle name="Comma 2 2 14 2" xfId="543" xr:uid="{00000000-0005-0000-0000-0000DE010000}"/>
    <cellStyle name="Comma 2 2 14 2 2" xfId="544" xr:uid="{00000000-0005-0000-0000-0000DF010000}"/>
    <cellStyle name="Comma 2 2 14 3" xfId="545" xr:uid="{00000000-0005-0000-0000-0000E0010000}"/>
    <cellStyle name="Comma 2 2 15" xfId="546" xr:uid="{00000000-0005-0000-0000-0000E1010000}"/>
    <cellStyle name="Comma 2 2 15 2" xfId="547" xr:uid="{00000000-0005-0000-0000-0000E2010000}"/>
    <cellStyle name="Comma 2 2 15 2 2" xfId="548" xr:uid="{00000000-0005-0000-0000-0000E3010000}"/>
    <cellStyle name="Comma 2 2 15 3" xfId="549" xr:uid="{00000000-0005-0000-0000-0000E4010000}"/>
    <cellStyle name="Comma 2 2 16" xfId="550" xr:uid="{00000000-0005-0000-0000-0000E5010000}"/>
    <cellStyle name="Comma 2 2 16 2" xfId="551" xr:uid="{00000000-0005-0000-0000-0000E6010000}"/>
    <cellStyle name="Comma 2 2 16 2 2" xfId="552" xr:uid="{00000000-0005-0000-0000-0000E7010000}"/>
    <cellStyle name="Comma 2 2 16 3" xfId="553" xr:uid="{00000000-0005-0000-0000-0000E8010000}"/>
    <cellStyle name="Comma 2 2 17" xfId="554" xr:uid="{00000000-0005-0000-0000-0000E9010000}"/>
    <cellStyle name="Comma 2 2 17 2" xfId="555" xr:uid="{00000000-0005-0000-0000-0000EA010000}"/>
    <cellStyle name="Comma 2 2 17 2 2" xfId="556" xr:uid="{00000000-0005-0000-0000-0000EB010000}"/>
    <cellStyle name="Comma 2 2 17 3" xfId="557" xr:uid="{00000000-0005-0000-0000-0000EC010000}"/>
    <cellStyle name="Comma 2 2 18" xfId="558" xr:uid="{00000000-0005-0000-0000-0000ED010000}"/>
    <cellStyle name="Comma 2 2 18 2" xfId="559" xr:uid="{00000000-0005-0000-0000-0000EE010000}"/>
    <cellStyle name="Comma 2 2 19" xfId="560" xr:uid="{00000000-0005-0000-0000-0000EF010000}"/>
    <cellStyle name="Comma 2 2 2" xfId="561" xr:uid="{00000000-0005-0000-0000-0000F0010000}"/>
    <cellStyle name="Comma 2 2 2 10" xfId="562" xr:uid="{00000000-0005-0000-0000-0000F1010000}"/>
    <cellStyle name="Comma 2 2 2 11" xfId="563" xr:uid="{00000000-0005-0000-0000-0000F2010000}"/>
    <cellStyle name="Comma 2 2 2 12" xfId="564" xr:uid="{00000000-0005-0000-0000-0000F3010000}"/>
    <cellStyle name="Comma 2 2 2 13" xfId="565" xr:uid="{00000000-0005-0000-0000-0000F4010000}"/>
    <cellStyle name="Comma 2 2 2 14" xfId="566" xr:uid="{00000000-0005-0000-0000-0000F5010000}"/>
    <cellStyle name="Comma 2 2 2 15" xfId="567" xr:uid="{00000000-0005-0000-0000-0000F6010000}"/>
    <cellStyle name="Comma 2 2 2 16" xfId="568" xr:uid="{00000000-0005-0000-0000-0000F7010000}"/>
    <cellStyle name="Comma 2 2 2 17" xfId="569" xr:uid="{00000000-0005-0000-0000-0000F8010000}"/>
    <cellStyle name="Comma 2 2 2 18" xfId="570" xr:uid="{00000000-0005-0000-0000-0000F9010000}"/>
    <cellStyle name="Comma 2 2 2 18 2" xfId="571" xr:uid="{00000000-0005-0000-0000-0000FA010000}"/>
    <cellStyle name="Comma 2 2 2 19" xfId="572" xr:uid="{00000000-0005-0000-0000-0000FB010000}"/>
    <cellStyle name="Comma 2 2 2 2" xfId="573" xr:uid="{00000000-0005-0000-0000-0000FC010000}"/>
    <cellStyle name="Comma 2 2 2 2 10" xfId="574" xr:uid="{00000000-0005-0000-0000-0000FD010000}"/>
    <cellStyle name="Comma 2 2 2 2 10 2" xfId="575" xr:uid="{00000000-0005-0000-0000-0000FE010000}"/>
    <cellStyle name="Comma 2 2 2 2 10 2 2" xfId="576" xr:uid="{00000000-0005-0000-0000-0000FF010000}"/>
    <cellStyle name="Comma 2 2 2 2 10 3" xfId="577" xr:uid="{00000000-0005-0000-0000-000000020000}"/>
    <cellStyle name="Comma 2 2 2 2 11" xfId="578" xr:uid="{00000000-0005-0000-0000-000001020000}"/>
    <cellStyle name="Comma 2 2 2 2 11 2" xfId="579" xr:uid="{00000000-0005-0000-0000-000002020000}"/>
    <cellStyle name="Comma 2 2 2 2 11 2 2" xfId="580" xr:uid="{00000000-0005-0000-0000-000003020000}"/>
    <cellStyle name="Comma 2 2 2 2 11 3" xfId="581" xr:uid="{00000000-0005-0000-0000-000004020000}"/>
    <cellStyle name="Comma 2 2 2 2 12" xfId="582" xr:uid="{00000000-0005-0000-0000-000005020000}"/>
    <cellStyle name="Comma 2 2 2 2 12 2" xfId="583" xr:uid="{00000000-0005-0000-0000-000006020000}"/>
    <cellStyle name="Comma 2 2 2 2 12 2 2" xfId="584" xr:uid="{00000000-0005-0000-0000-000007020000}"/>
    <cellStyle name="Comma 2 2 2 2 12 3" xfId="585" xr:uid="{00000000-0005-0000-0000-000008020000}"/>
    <cellStyle name="Comma 2 2 2 2 13" xfId="586" xr:uid="{00000000-0005-0000-0000-000009020000}"/>
    <cellStyle name="Comma 2 2 2 2 13 2" xfId="587" xr:uid="{00000000-0005-0000-0000-00000A020000}"/>
    <cellStyle name="Comma 2 2 2 2 13 2 2" xfId="588" xr:uid="{00000000-0005-0000-0000-00000B020000}"/>
    <cellStyle name="Comma 2 2 2 2 13 3" xfId="589" xr:uid="{00000000-0005-0000-0000-00000C020000}"/>
    <cellStyle name="Comma 2 2 2 2 14" xfId="590" xr:uid="{00000000-0005-0000-0000-00000D020000}"/>
    <cellStyle name="Comma 2 2 2 2 14 2" xfId="591" xr:uid="{00000000-0005-0000-0000-00000E020000}"/>
    <cellStyle name="Comma 2 2 2 2 14 2 2" xfId="592" xr:uid="{00000000-0005-0000-0000-00000F020000}"/>
    <cellStyle name="Comma 2 2 2 2 14 3" xfId="593" xr:uid="{00000000-0005-0000-0000-000010020000}"/>
    <cellStyle name="Comma 2 2 2 2 15" xfId="594" xr:uid="{00000000-0005-0000-0000-000011020000}"/>
    <cellStyle name="Comma 2 2 2 2 15 2" xfId="595" xr:uid="{00000000-0005-0000-0000-000012020000}"/>
    <cellStyle name="Comma 2 2 2 2 15 2 2" xfId="596" xr:uid="{00000000-0005-0000-0000-000013020000}"/>
    <cellStyle name="Comma 2 2 2 2 15 3" xfId="597" xr:uid="{00000000-0005-0000-0000-000014020000}"/>
    <cellStyle name="Comma 2 2 2 2 16" xfId="598" xr:uid="{00000000-0005-0000-0000-000015020000}"/>
    <cellStyle name="Comma 2 2 2 2 16 2" xfId="599" xr:uid="{00000000-0005-0000-0000-000016020000}"/>
    <cellStyle name="Comma 2 2 2 2 16 2 2" xfId="600" xr:uid="{00000000-0005-0000-0000-000017020000}"/>
    <cellStyle name="Comma 2 2 2 2 16 3" xfId="601" xr:uid="{00000000-0005-0000-0000-000018020000}"/>
    <cellStyle name="Comma 2 2 2 2 17" xfId="602" xr:uid="{00000000-0005-0000-0000-000019020000}"/>
    <cellStyle name="Comma 2 2 2 2 17 2" xfId="603" xr:uid="{00000000-0005-0000-0000-00001A020000}"/>
    <cellStyle name="Comma 2 2 2 2 17 2 2" xfId="604" xr:uid="{00000000-0005-0000-0000-00001B020000}"/>
    <cellStyle name="Comma 2 2 2 2 17 3" xfId="605" xr:uid="{00000000-0005-0000-0000-00001C020000}"/>
    <cellStyle name="Comma 2 2 2 2 2" xfId="606" xr:uid="{00000000-0005-0000-0000-00001D020000}"/>
    <cellStyle name="Comma 2 2 2 2 2 2" xfId="607" xr:uid="{00000000-0005-0000-0000-00001E020000}"/>
    <cellStyle name="Comma 2 2 2 2 2 2 2" xfId="608" xr:uid="{00000000-0005-0000-0000-00001F020000}"/>
    <cellStyle name="Comma 2 2 2 2 2 2 2 2" xfId="609" xr:uid="{00000000-0005-0000-0000-000020020000}"/>
    <cellStyle name="Comma 2 2 2 2 2 2 2 2 2" xfId="610" xr:uid="{00000000-0005-0000-0000-000021020000}"/>
    <cellStyle name="Comma 2 2 2 2 2 2 2 3" xfId="611" xr:uid="{00000000-0005-0000-0000-000022020000}"/>
    <cellStyle name="Comma 2 2 2 2 2 2 3" xfId="612" xr:uid="{00000000-0005-0000-0000-000023020000}"/>
    <cellStyle name="Comma 2 2 2 2 2 2 3 2" xfId="613" xr:uid="{00000000-0005-0000-0000-000024020000}"/>
    <cellStyle name="Comma 2 2 2 2 2 2 3 2 2" xfId="614" xr:uid="{00000000-0005-0000-0000-000025020000}"/>
    <cellStyle name="Comma 2 2 2 2 2 2 3 3" xfId="615" xr:uid="{00000000-0005-0000-0000-000026020000}"/>
    <cellStyle name="Comma 2 2 2 2 2 2 4" xfId="616" xr:uid="{00000000-0005-0000-0000-000027020000}"/>
    <cellStyle name="Comma 2 2 2 2 2 2 4 2" xfId="617" xr:uid="{00000000-0005-0000-0000-000028020000}"/>
    <cellStyle name="Comma 2 2 2 2 2 2 4 2 2" xfId="618" xr:uid="{00000000-0005-0000-0000-000029020000}"/>
    <cellStyle name="Comma 2 2 2 2 2 2 4 3" xfId="619" xr:uid="{00000000-0005-0000-0000-00002A020000}"/>
    <cellStyle name="Comma 2 2 2 2 2 2 5" xfId="620" xr:uid="{00000000-0005-0000-0000-00002B020000}"/>
    <cellStyle name="Comma 2 2 2 2 2 2 5 2" xfId="621" xr:uid="{00000000-0005-0000-0000-00002C020000}"/>
    <cellStyle name="Comma 2 2 2 2 2 2 5 2 2" xfId="622" xr:uid="{00000000-0005-0000-0000-00002D020000}"/>
    <cellStyle name="Comma 2 2 2 2 2 2 5 3" xfId="623" xr:uid="{00000000-0005-0000-0000-00002E020000}"/>
    <cellStyle name="Comma 2 2 2 2 2 3" xfId="624" xr:uid="{00000000-0005-0000-0000-00002F020000}"/>
    <cellStyle name="Comma 2 2 2 2 2 4" xfId="625" xr:uid="{00000000-0005-0000-0000-000030020000}"/>
    <cellStyle name="Comma 2 2 2 2 2 5" xfId="626" xr:uid="{00000000-0005-0000-0000-000031020000}"/>
    <cellStyle name="Comma 2 2 2 2 2 6" xfId="627" xr:uid="{00000000-0005-0000-0000-000032020000}"/>
    <cellStyle name="Comma 2 2 2 2 2 6 2" xfId="628" xr:uid="{00000000-0005-0000-0000-000033020000}"/>
    <cellStyle name="Comma 2 2 2 2 2 7" xfId="629" xr:uid="{00000000-0005-0000-0000-000034020000}"/>
    <cellStyle name="Comma 2 2 2 2 3" xfId="630" xr:uid="{00000000-0005-0000-0000-000035020000}"/>
    <cellStyle name="Comma 2 2 2 2 3 2" xfId="631" xr:uid="{00000000-0005-0000-0000-000036020000}"/>
    <cellStyle name="Comma 2 2 2 2 3 2 2" xfId="632" xr:uid="{00000000-0005-0000-0000-000037020000}"/>
    <cellStyle name="Comma 2 2 2 2 3 3" xfId="633" xr:uid="{00000000-0005-0000-0000-000038020000}"/>
    <cellStyle name="Comma 2 2 2 2 4" xfId="634" xr:uid="{00000000-0005-0000-0000-000039020000}"/>
    <cellStyle name="Comma 2 2 2 2 4 2" xfId="635" xr:uid="{00000000-0005-0000-0000-00003A020000}"/>
    <cellStyle name="Comma 2 2 2 2 4 2 2" xfId="636" xr:uid="{00000000-0005-0000-0000-00003B020000}"/>
    <cellStyle name="Comma 2 2 2 2 4 3" xfId="637" xr:uid="{00000000-0005-0000-0000-00003C020000}"/>
    <cellStyle name="Comma 2 2 2 2 5" xfId="638" xr:uid="{00000000-0005-0000-0000-00003D020000}"/>
    <cellStyle name="Comma 2 2 2 2 5 2" xfId="639" xr:uid="{00000000-0005-0000-0000-00003E020000}"/>
    <cellStyle name="Comma 2 2 2 2 5 2 2" xfId="640" xr:uid="{00000000-0005-0000-0000-00003F020000}"/>
    <cellStyle name="Comma 2 2 2 2 5 3" xfId="641" xr:uid="{00000000-0005-0000-0000-000040020000}"/>
    <cellStyle name="Comma 2 2 2 2 6" xfId="642" xr:uid="{00000000-0005-0000-0000-000041020000}"/>
    <cellStyle name="Comma 2 2 2 2 6 2" xfId="643" xr:uid="{00000000-0005-0000-0000-000042020000}"/>
    <cellStyle name="Comma 2 2 2 2 6 2 2" xfId="644" xr:uid="{00000000-0005-0000-0000-000043020000}"/>
    <cellStyle name="Comma 2 2 2 2 6 3" xfId="645" xr:uid="{00000000-0005-0000-0000-000044020000}"/>
    <cellStyle name="Comma 2 2 2 2 7" xfId="646" xr:uid="{00000000-0005-0000-0000-000045020000}"/>
    <cellStyle name="Comma 2 2 2 2 7 2" xfId="647" xr:uid="{00000000-0005-0000-0000-000046020000}"/>
    <cellStyle name="Comma 2 2 2 2 7 2 2" xfId="648" xr:uid="{00000000-0005-0000-0000-000047020000}"/>
    <cellStyle name="Comma 2 2 2 2 7 3" xfId="649" xr:uid="{00000000-0005-0000-0000-000048020000}"/>
    <cellStyle name="Comma 2 2 2 2 8" xfId="650" xr:uid="{00000000-0005-0000-0000-000049020000}"/>
    <cellStyle name="Comma 2 2 2 2 8 2" xfId="651" xr:uid="{00000000-0005-0000-0000-00004A020000}"/>
    <cellStyle name="Comma 2 2 2 2 8 2 2" xfId="652" xr:uid="{00000000-0005-0000-0000-00004B020000}"/>
    <cellStyle name="Comma 2 2 2 2 8 3" xfId="653" xr:uid="{00000000-0005-0000-0000-00004C020000}"/>
    <cellStyle name="Comma 2 2 2 2 9" xfId="654" xr:uid="{00000000-0005-0000-0000-00004D020000}"/>
    <cellStyle name="Comma 2 2 2 2 9 2" xfId="655" xr:uid="{00000000-0005-0000-0000-00004E020000}"/>
    <cellStyle name="Comma 2 2 2 2 9 2 2" xfId="656" xr:uid="{00000000-0005-0000-0000-00004F020000}"/>
    <cellStyle name="Comma 2 2 2 2 9 3" xfId="657" xr:uid="{00000000-0005-0000-0000-000050020000}"/>
    <cellStyle name="Comma 2 2 2 3" xfId="658" xr:uid="{00000000-0005-0000-0000-000051020000}"/>
    <cellStyle name="Comma 2 2 2 4" xfId="659" xr:uid="{00000000-0005-0000-0000-000052020000}"/>
    <cellStyle name="Comma 2 2 2 5" xfId="660" xr:uid="{00000000-0005-0000-0000-000053020000}"/>
    <cellStyle name="Comma 2 2 2 6" xfId="661" xr:uid="{00000000-0005-0000-0000-000054020000}"/>
    <cellStyle name="Comma 2 2 2 7" xfId="662" xr:uid="{00000000-0005-0000-0000-000055020000}"/>
    <cellStyle name="Comma 2 2 2 8" xfId="663" xr:uid="{00000000-0005-0000-0000-000056020000}"/>
    <cellStyle name="Comma 2 2 2 9" xfId="664" xr:uid="{00000000-0005-0000-0000-000057020000}"/>
    <cellStyle name="Comma 2 2 20" xfId="665" xr:uid="{00000000-0005-0000-0000-000058020000}"/>
    <cellStyle name="Comma 2 2 20 2" xfId="666" xr:uid="{00000000-0005-0000-0000-000059020000}"/>
    <cellStyle name="Comma 2 2 20 3" xfId="667" xr:uid="{00000000-0005-0000-0000-00005A020000}"/>
    <cellStyle name="Comma 2 2 3" xfId="668" xr:uid="{00000000-0005-0000-0000-00005B020000}"/>
    <cellStyle name="Comma 2 2 3 2" xfId="669" xr:uid="{00000000-0005-0000-0000-00005C020000}"/>
    <cellStyle name="Comma 2 2 3 2 2" xfId="670" xr:uid="{00000000-0005-0000-0000-00005D020000}"/>
    <cellStyle name="Comma 2 2 3 2 3" xfId="671" xr:uid="{00000000-0005-0000-0000-00005E020000}"/>
    <cellStyle name="Comma 2 2 3 3" xfId="672" xr:uid="{00000000-0005-0000-0000-00005F020000}"/>
    <cellStyle name="Comma 2 2 4" xfId="673" xr:uid="{00000000-0005-0000-0000-000060020000}"/>
    <cellStyle name="Comma 2 2 4 2" xfId="674" xr:uid="{00000000-0005-0000-0000-000061020000}"/>
    <cellStyle name="Comma 2 2 4 2 2" xfId="675" xr:uid="{00000000-0005-0000-0000-000062020000}"/>
    <cellStyle name="Comma 2 2 4 2 3" xfId="676" xr:uid="{00000000-0005-0000-0000-000063020000}"/>
    <cellStyle name="Comma 2 2 4 3" xfId="677" xr:uid="{00000000-0005-0000-0000-000064020000}"/>
    <cellStyle name="Comma 2 2 5" xfId="678" xr:uid="{00000000-0005-0000-0000-000065020000}"/>
    <cellStyle name="Comma 2 2 5 2" xfId="679" xr:uid="{00000000-0005-0000-0000-000066020000}"/>
    <cellStyle name="Comma 2 2 5 2 2" xfId="680" xr:uid="{00000000-0005-0000-0000-000067020000}"/>
    <cellStyle name="Comma 2 2 5 2 3" xfId="681" xr:uid="{00000000-0005-0000-0000-000068020000}"/>
    <cellStyle name="Comma 2 2 5 3" xfId="682" xr:uid="{00000000-0005-0000-0000-000069020000}"/>
    <cellStyle name="Comma 2 2 6" xfId="683" xr:uid="{00000000-0005-0000-0000-00006A020000}"/>
    <cellStyle name="Comma 2 2 6 2" xfId="684" xr:uid="{00000000-0005-0000-0000-00006B020000}"/>
    <cellStyle name="Comma 2 2 6 2 2" xfId="685" xr:uid="{00000000-0005-0000-0000-00006C020000}"/>
    <cellStyle name="Comma 2 2 6 2 3" xfId="686" xr:uid="{00000000-0005-0000-0000-00006D020000}"/>
    <cellStyle name="Comma 2 2 6 3" xfId="687" xr:uid="{00000000-0005-0000-0000-00006E020000}"/>
    <cellStyle name="Comma 2 2 7" xfId="688" xr:uid="{00000000-0005-0000-0000-00006F020000}"/>
    <cellStyle name="Comma 2 2 7 2" xfId="689" xr:uid="{00000000-0005-0000-0000-000070020000}"/>
    <cellStyle name="Comma 2 2 7 2 2" xfId="690" xr:uid="{00000000-0005-0000-0000-000071020000}"/>
    <cellStyle name="Comma 2 2 7 2 3" xfId="691" xr:uid="{00000000-0005-0000-0000-000072020000}"/>
    <cellStyle name="Comma 2 2 7 3" xfId="692" xr:uid="{00000000-0005-0000-0000-000073020000}"/>
    <cellStyle name="Comma 2 2 8" xfId="693" xr:uid="{00000000-0005-0000-0000-000074020000}"/>
    <cellStyle name="Comma 2 2 8 2" xfId="694" xr:uid="{00000000-0005-0000-0000-000075020000}"/>
    <cellStyle name="Comma 2 2 8 2 2" xfId="695" xr:uid="{00000000-0005-0000-0000-000076020000}"/>
    <cellStyle name="Comma 2 2 8 2 3" xfId="696" xr:uid="{00000000-0005-0000-0000-000077020000}"/>
    <cellStyle name="Comma 2 2 8 3" xfId="697" xr:uid="{00000000-0005-0000-0000-000078020000}"/>
    <cellStyle name="Comma 2 2 9" xfId="698" xr:uid="{00000000-0005-0000-0000-000079020000}"/>
    <cellStyle name="Comma 2 2 9 2" xfId="699" xr:uid="{00000000-0005-0000-0000-00007A020000}"/>
    <cellStyle name="Comma 2 20" xfId="700" xr:uid="{00000000-0005-0000-0000-00007B020000}"/>
    <cellStyle name="Comma 2 20 2" xfId="701" xr:uid="{00000000-0005-0000-0000-00007C020000}"/>
    <cellStyle name="Comma 2 21" xfId="702" xr:uid="{00000000-0005-0000-0000-00007D020000}"/>
    <cellStyle name="Comma 2 21 2" xfId="703" xr:uid="{00000000-0005-0000-0000-00007E020000}"/>
    <cellStyle name="Comma 2 22" xfId="704" xr:uid="{00000000-0005-0000-0000-00007F020000}"/>
    <cellStyle name="Comma 2 22 2" xfId="705" xr:uid="{00000000-0005-0000-0000-000080020000}"/>
    <cellStyle name="Comma 2 23" xfId="706" xr:uid="{00000000-0005-0000-0000-000081020000}"/>
    <cellStyle name="Comma 2 23 2" xfId="707" xr:uid="{00000000-0005-0000-0000-000082020000}"/>
    <cellStyle name="Comma 2 24" xfId="708" xr:uid="{00000000-0005-0000-0000-000083020000}"/>
    <cellStyle name="Comma 2 24 2" xfId="709" xr:uid="{00000000-0005-0000-0000-000084020000}"/>
    <cellStyle name="Comma 2 25" xfId="710" xr:uid="{00000000-0005-0000-0000-000085020000}"/>
    <cellStyle name="Comma 2 25 2" xfId="711" xr:uid="{00000000-0005-0000-0000-000086020000}"/>
    <cellStyle name="Comma 2 26" xfId="712" xr:uid="{00000000-0005-0000-0000-000087020000}"/>
    <cellStyle name="Comma 2 26 2" xfId="713" xr:uid="{00000000-0005-0000-0000-000088020000}"/>
    <cellStyle name="Comma 2 27" xfId="714" xr:uid="{00000000-0005-0000-0000-000089020000}"/>
    <cellStyle name="Comma 2 27 2" xfId="715" xr:uid="{00000000-0005-0000-0000-00008A020000}"/>
    <cellStyle name="Comma 2 28" xfId="716" xr:uid="{00000000-0005-0000-0000-00008B020000}"/>
    <cellStyle name="Comma 2 28 2" xfId="717" xr:uid="{00000000-0005-0000-0000-00008C020000}"/>
    <cellStyle name="Comma 2 29" xfId="718" xr:uid="{00000000-0005-0000-0000-00008D020000}"/>
    <cellStyle name="Comma 2 29 2" xfId="719" xr:uid="{00000000-0005-0000-0000-00008E020000}"/>
    <cellStyle name="Comma 2 3" xfId="720" xr:uid="{00000000-0005-0000-0000-00008F020000}"/>
    <cellStyle name="Comma 2 3 2" xfId="721" xr:uid="{00000000-0005-0000-0000-000090020000}"/>
    <cellStyle name="Comma 2 3 2 2" xfId="722" xr:uid="{00000000-0005-0000-0000-000091020000}"/>
    <cellStyle name="Comma 2 3 2 3" xfId="723" xr:uid="{00000000-0005-0000-0000-000092020000}"/>
    <cellStyle name="Comma 2 3 3" xfId="724" xr:uid="{00000000-0005-0000-0000-000093020000}"/>
    <cellStyle name="Comma 2 30" xfId="725" xr:uid="{00000000-0005-0000-0000-000094020000}"/>
    <cellStyle name="Comma 2 30 2" xfId="726" xr:uid="{00000000-0005-0000-0000-000095020000}"/>
    <cellStyle name="Comma 2 31" xfId="727" xr:uid="{00000000-0005-0000-0000-000096020000}"/>
    <cellStyle name="Comma 2 31 2" xfId="728" xr:uid="{00000000-0005-0000-0000-000097020000}"/>
    <cellStyle name="Comma 2 32" xfId="729" xr:uid="{00000000-0005-0000-0000-000098020000}"/>
    <cellStyle name="Comma 2 32 2" xfId="730" xr:uid="{00000000-0005-0000-0000-000099020000}"/>
    <cellStyle name="Comma 2 33" xfId="731" xr:uid="{00000000-0005-0000-0000-00009A020000}"/>
    <cellStyle name="Comma 2 33 2" xfId="732" xr:uid="{00000000-0005-0000-0000-00009B020000}"/>
    <cellStyle name="Comma 2 34" xfId="733" xr:uid="{00000000-0005-0000-0000-00009C020000}"/>
    <cellStyle name="Comma 2 34 2" xfId="734" xr:uid="{00000000-0005-0000-0000-00009D020000}"/>
    <cellStyle name="Comma 2 35" xfId="735" xr:uid="{00000000-0005-0000-0000-00009E020000}"/>
    <cellStyle name="Comma 2 35 2" xfId="736" xr:uid="{00000000-0005-0000-0000-00009F020000}"/>
    <cellStyle name="Comma 2 36" xfId="737" xr:uid="{00000000-0005-0000-0000-0000A0020000}"/>
    <cellStyle name="Comma 2 36 2" xfId="738" xr:uid="{00000000-0005-0000-0000-0000A1020000}"/>
    <cellStyle name="Comma 2 37" xfId="739" xr:uid="{00000000-0005-0000-0000-0000A2020000}"/>
    <cellStyle name="Comma 2 37 2" xfId="740" xr:uid="{00000000-0005-0000-0000-0000A3020000}"/>
    <cellStyle name="Comma 2 38" xfId="741" xr:uid="{00000000-0005-0000-0000-0000A4020000}"/>
    <cellStyle name="Comma 2 38 2" xfId="742" xr:uid="{00000000-0005-0000-0000-0000A5020000}"/>
    <cellStyle name="Comma 2 39" xfId="743" xr:uid="{00000000-0005-0000-0000-0000A6020000}"/>
    <cellStyle name="Comma 2 39 2" xfId="744" xr:uid="{00000000-0005-0000-0000-0000A7020000}"/>
    <cellStyle name="Comma 2 4" xfId="745" xr:uid="{00000000-0005-0000-0000-0000A8020000}"/>
    <cellStyle name="Comma 2 4 2" xfId="746" xr:uid="{00000000-0005-0000-0000-0000A9020000}"/>
    <cellStyle name="Comma 2 4 2 2" xfId="747" xr:uid="{00000000-0005-0000-0000-0000AA020000}"/>
    <cellStyle name="Comma 2 4 2 3" xfId="748" xr:uid="{00000000-0005-0000-0000-0000AB020000}"/>
    <cellStyle name="Comma 2 4 3" xfId="749" xr:uid="{00000000-0005-0000-0000-0000AC020000}"/>
    <cellStyle name="Comma 2 40" xfId="750" xr:uid="{00000000-0005-0000-0000-0000AD020000}"/>
    <cellStyle name="Comma 2 40 2" xfId="751" xr:uid="{00000000-0005-0000-0000-0000AE020000}"/>
    <cellStyle name="Comma 2 41" xfId="752" xr:uid="{00000000-0005-0000-0000-0000AF020000}"/>
    <cellStyle name="Comma 2 41 2" xfId="753" xr:uid="{00000000-0005-0000-0000-0000B0020000}"/>
    <cellStyle name="Comma 2 42" xfId="754" xr:uid="{00000000-0005-0000-0000-0000B1020000}"/>
    <cellStyle name="Comma 2 42 2" xfId="755" xr:uid="{00000000-0005-0000-0000-0000B2020000}"/>
    <cellStyle name="Comma 2 43" xfId="756" xr:uid="{00000000-0005-0000-0000-0000B3020000}"/>
    <cellStyle name="Comma 2 43 2" xfId="757" xr:uid="{00000000-0005-0000-0000-0000B4020000}"/>
    <cellStyle name="Comma 2 44" xfId="758" xr:uid="{00000000-0005-0000-0000-0000B5020000}"/>
    <cellStyle name="Comma 2 44 2" xfId="759" xr:uid="{00000000-0005-0000-0000-0000B6020000}"/>
    <cellStyle name="Comma 2 45" xfId="760" xr:uid="{00000000-0005-0000-0000-0000B7020000}"/>
    <cellStyle name="Comma 2 45 2" xfId="761" xr:uid="{00000000-0005-0000-0000-0000B8020000}"/>
    <cellStyle name="Comma 2 46" xfId="762" xr:uid="{00000000-0005-0000-0000-0000B9020000}"/>
    <cellStyle name="Comma 2 46 2" xfId="763" xr:uid="{00000000-0005-0000-0000-0000BA020000}"/>
    <cellStyle name="Comma 2 47" xfId="764" xr:uid="{00000000-0005-0000-0000-0000BB020000}"/>
    <cellStyle name="Comma 2 47 2" xfId="765" xr:uid="{00000000-0005-0000-0000-0000BC020000}"/>
    <cellStyle name="Comma 2 48" xfId="766" xr:uid="{00000000-0005-0000-0000-0000BD020000}"/>
    <cellStyle name="Comma 2 48 2" xfId="767" xr:uid="{00000000-0005-0000-0000-0000BE020000}"/>
    <cellStyle name="Comma 2 49" xfId="768" xr:uid="{00000000-0005-0000-0000-0000BF020000}"/>
    <cellStyle name="Comma 2 49 2" xfId="769" xr:uid="{00000000-0005-0000-0000-0000C0020000}"/>
    <cellStyle name="Comma 2 5" xfId="770" xr:uid="{00000000-0005-0000-0000-0000C1020000}"/>
    <cellStyle name="Comma 2 5 2" xfId="771" xr:uid="{00000000-0005-0000-0000-0000C2020000}"/>
    <cellStyle name="Comma 2 5 2 2" xfId="772" xr:uid="{00000000-0005-0000-0000-0000C3020000}"/>
    <cellStyle name="Comma 2 5 2 3" xfId="773" xr:uid="{00000000-0005-0000-0000-0000C4020000}"/>
    <cellStyle name="Comma 2 5 3" xfId="774" xr:uid="{00000000-0005-0000-0000-0000C5020000}"/>
    <cellStyle name="Comma 2 50" xfId="775" xr:uid="{00000000-0005-0000-0000-0000C6020000}"/>
    <cellStyle name="Comma 2 50 2" xfId="776" xr:uid="{00000000-0005-0000-0000-0000C7020000}"/>
    <cellStyle name="Comma 2 51" xfId="777" xr:uid="{00000000-0005-0000-0000-0000C8020000}"/>
    <cellStyle name="Comma 2 51 2" xfId="778" xr:uid="{00000000-0005-0000-0000-0000C9020000}"/>
    <cellStyle name="Comma 2 52" xfId="779" xr:uid="{00000000-0005-0000-0000-0000CA020000}"/>
    <cellStyle name="Comma 2 52 2" xfId="780" xr:uid="{00000000-0005-0000-0000-0000CB020000}"/>
    <cellStyle name="Comma 2 53" xfId="781" xr:uid="{00000000-0005-0000-0000-0000CC020000}"/>
    <cellStyle name="Comma 2 53 2" xfId="782" xr:uid="{00000000-0005-0000-0000-0000CD020000}"/>
    <cellStyle name="Comma 2 54" xfId="783" xr:uid="{00000000-0005-0000-0000-0000CE020000}"/>
    <cellStyle name="Comma 2 54 2" xfId="784" xr:uid="{00000000-0005-0000-0000-0000CF020000}"/>
    <cellStyle name="Comma 2 55" xfId="785" xr:uid="{00000000-0005-0000-0000-0000D0020000}"/>
    <cellStyle name="Comma 2 55 2" xfId="786" xr:uid="{00000000-0005-0000-0000-0000D1020000}"/>
    <cellStyle name="Comma 2 56" xfId="787" xr:uid="{00000000-0005-0000-0000-0000D2020000}"/>
    <cellStyle name="Comma 2 56 2" xfId="788" xr:uid="{00000000-0005-0000-0000-0000D3020000}"/>
    <cellStyle name="Comma 2 57" xfId="789" xr:uid="{00000000-0005-0000-0000-0000D4020000}"/>
    <cellStyle name="Comma 2 57 2" xfId="790" xr:uid="{00000000-0005-0000-0000-0000D5020000}"/>
    <cellStyle name="Comma 2 58" xfId="791" xr:uid="{00000000-0005-0000-0000-0000D6020000}"/>
    <cellStyle name="Comma 2 58 2" xfId="792" xr:uid="{00000000-0005-0000-0000-0000D7020000}"/>
    <cellStyle name="Comma 2 59" xfId="793" xr:uid="{00000000-0005-0000-0000-0000D8020000}"/>
    <cellStyle name="Comma 2 59 2" xfId="794" xr:uid="{00000000-0005-0000-0000-0000D9020000}"/>
    <cellStyle name="Comma 2 6" xfId="795" xr:uid="{00000000-0005-0000-0000-0000DA020000}"/>
    <cellStyle name="Comma 2 6 2" xfId="796" xr:uid="{00000000-0005-0000-0000-0000DB020000}"/>
    <cellStyle name="Comma 2 6 2 2" xfId="797" xr:uid="{00000000-0005-0000-0000-0000DC020000}"/>
    <cellStyle name="Comma 2 6 2 3" xfId="798" xr:uid="{00000000-0005-0000-0000-0000DD020000}"/>
    <cellStyle name="Comma 2 6 3" xfId="799" xr:uid="{00000000-0005-0000-0000-0000DE020000}"/>
    <cellStyle name="Comma 2 60" xfId="800" xr:uid="{00000000-0005-0000-0000-0000DF020000}"/>
    <cellStyle name="Comma 2 60 2" xfId="801" xr:uid="{00000000-0005-0000-0000-0000E0020000}"/>
    <cellStyle name="Comma 2 61" xfId="802" xr:uid="{00000000-0005-0000-0000-0000E1020000}"/>
    <cellStyle name="Comma 2 61 2" xfId="803" xr:uid="{00000000-0005-0000-0000-0000E2020000}"/>
    <cellStyle name="Comma 2 62" xfId="804" xr:uid="{00000000-0005-0000-0000-0000E3020000}"/>
    <cellStyle name="Comma 2 63" xfId="805" xr:uid="{00000000-0005-0000-0000-0000E4020000}"/>
    <cellStyle name="Comma 2 64" xfId="806" xr:uid="{00000000-0005-0000-0000-0000E5020000}"/>
    <cellStyle name="Comma 2 65" xfId="807" xr:uid="{00000000-0005-0000-0000-0000E6020000}"/>
    <cellStyle name="Comma 2 66" xfId="808" xr:uid="{00000000-0005-0000-0000-0000E7020000}"/>
    <cellStyle name="Comma 2 67" xfId="809" xr:uid="{00000000-0005-0000-0000-0000E8020000}"/>
    <cellStyle name="Comma 2 68" xfId="810" xr:uid="{00000000-0005-0000-0000-0000E9020000}"/>
    <cellStyle name="Comma 2 68 2" xfId="811" xr:uid="{00000000-0005-0000-0000-0000EA020000}"/>
    <cellStyle name="Comma 2 68 3" xfId="812" xr:uid="{00000000-0005-0000-0000-0000EB020000}"/>
    <cellStyle name="Comma 2 69" xfId="813" xr:uid="{00000000-0005-0000-0000-0000EC020000}"/>
    <cellStyle name="Comma 2 7" xfId="814" xr:uid="{00000000-0005-0000-0000-0000ED020000}"/>
    <cellStyle name="Comma 2 7 2" xfId="815" xr:uid="{00000000-0005-0000-0000-0000EE020000}"/>
    <cellStyle name="Comma 2 7 2 2" xfId="816" xr:uid="{00000000-0005-0000-0000-0000EF020000}"/>
    <cellStyle name="Comma 2 7 2 3" xfId="817" xr:uid="{00000000-0005-0000-0000-0000F0020000}"/>
    <cellStyle name="Comma 2 7 3" xfId="818" xr:uid="{00000000-0005-0000-0000-0000F1020000}"/>
    <cellStyle name="Comma 2 70" xfId="819" xr:uid="{00000000-0005-0000-0000-0000F2020000}"/>
    <cellStyle name="Comma 2 71" xfId="820" xr:uid="{00000000-0005-0000-0000-0000F3020000}"/>
    <cellStyle name="Comma 2 72" xfId="821" xr:uid="{00000000-0005-0000-0000-0000F4020000}"/>
    <cellStyle name="Comma 2 73" xfId="822" xr:uid="{00000000-0005-0000-0000-0000F5020000}"/>
    <cellStyle name="Comma 2 74" xfId="823" xr:uid="{00000000-0005-0000-0000-0000F6020000}"/>
    <cellStyle name="Comma 2 75" xfId="824" xr:uid="{00000000-0005-0000-0000-0000F7020000}"/>
    <cellStyle name="Comma 2 76" xfId="825" xr:uid="{00000000-0005-0000-0000-0000F8020000}"/>
    <cellStyle name="Comma 2 77" xfId="826" xr:uid="{00000000-0005-0000-0000-0000F9020000}"/>
    <cellStyle name="Comma 2 78" xfId="827" xr:uid="{00000000-0005-0000-0000-0000FA020000}"/>
    <cellStyle name="Comma 2 79" xfId="828" xr:uid="{00000000-0005-0000-0000-0000FB020000}"/>
    <cellStyle name="Comma 2 8" xfId="829" xr:uid="{00000000-0005-0000-0000-0000FC020000}"/>
    <cellStyle name="Comma 2 8 2" xfId="830" xr:uid="{00000000-0005-0000-0000-0000FD020000}"/>
    <cellStyle name="Comma 2 8 2 2" xfId="831" xr:uid="{00000000-0005-0000-0000-0000FE020000}"/>
    <cellStyle name="Comma 2 8 2 3" xfId="832" xr:uid="{00000000-0005-0000-0000-0000FF020000}"/>
    <cellStyle name="Comma 2 8 3" xfId="833" xr:uid="{00000000-0005-0000-0000-000000030000}"/>
    <cellStyle name="Comma 2 80" xfId="834" xr:uid="{00000000-0005-0000-0000-000001030000}"/>
    <cellStyle name="Comma 2 81" xfId="835" xr:uid="{00000000-0005-0000-0000-000002030000}"/>
    <cellStyle name="Comma 2 82" xfId="836" xr:uid="{00000000-0005-0000-0000-000003030000}"/>
    <cellStyle name="Comma 2 83" xfId="837" xr:uid="{00000000-0005-0000-0000-000004030000}"/>
    <cellStyle name="Comma 2 84" xfId="838" xr:uid="{00000000-0005-0000-0000-000005030000}"/>
    <cellStyle name="Comma 2 85" xfId="839" xr:uid="{00000000-0005-0000-0000-000006030000}"/>
    <cellStyle name="Comma 2 86" xfId="840" xr:uid="{00000000-0005-0000-0000-000007030000}"/>
    <cellStyle name="Comma 2 87" xfId="841" xr:uid="{00000000-0005-0000-0000-000008030000}"/>
    <cellStyle name="Comma 2 88" xfId="842" xr:uid="{00000000-0005-0000-0000-000009030000}"/>
    <cellStyle name="Comma 2 89" xfId="843" xr:uid="{00000000-0005-0000-0000-00000A030000}"/>
    <cellStyle name="Comma 2 9" xfId="844" xr:uid="{00000000-0005-0000-0000-00000B030000}"/>
    <cellStyle name="Comma 2 9 2" xfId="845" xr:uid="{00000000-0005-0000-0000-00000C030000}"/>
    <cellStyle name="Comma 2 9 2 2" xfId="846" xr:uid="{00000000-0005-0000-0000-00000D030000}"/>
    <cellStyle name="Comma 2 9 2 3" xfId="847" xr:uid="{00000000-0005-0000-0000-00000E030000}"/>
    <cellStyle name="Comma 2 9 3" xfId="848" xr:uid="{00000000-0005-0000-0000-00000F030000}"/>
    <cellStyle name="Comma 2 90" xfId="849" xr:uid="{00000000-0005-0000-0000-000010030000}"/>
    <cellStyle name="Comma 2 91" xfId="850" xr:uid="{00000000-0005-0000-0000-000011030000}"/>
    <cellStyle name="Comma 2 92" xfId="851" xr:uid="{00000000-0005-0000-0000-000012030000}"/>
    <cellStyle name="Comma 2 93" xfId="852" xr:uid="{00000000-0005-0000-0000-000013030000}"/>
    <cellStyle name="Comma 2 94" xfId="853" xr:uid="{00000000-0005-0000-0000-000014030000}"/>
    <cellStyle name="Comma 2 95" xfId="854" xr:uid="{00000000-0005-0000-0000-000015030000}"/>
    <cellStyle name="Comma 2 96" xfId="855" xr:uid="{00000000-0005-0000-0000-000016030000}"/>
    <cellStyle name="Comma 2 97" xfId="856" xr:uid="{00000000-0005-0000-0000-000017030000}"/>
    <cellStyle name="Comma 2 98" xfId="857" xr:uid="{00000000-0005-0000-0000-000018030000}"/>
    <cellStyle name="Comma 2 99" xfId="858" xr:uid="{00000000-0005-0000-0000-000019030000}"/>
    <cellStyle name="Comma 20" xfId="859" xr:uid="{00000000-0005-0000-0000-00001A030000}"/>
    <cellStyle name="Comma 21" xfId="860" xr:uid="{00000000-0005-0000-0000-00001B030000}"/>
    <cellStyle name="Comma 22" xfId="861" xr:uid="{00000000-0005-0000-0000-00001C030000}"/>
    <cellStyle name="Comma 23" xfId="862" xr:uid="{00000000-0005-0000-0000-00001D030000}"/>
    <cellStyle name="Comma 24" xfId="863" xr:uid="{00000000-0005-0000-0000-00001E030000}"/>
    <cellStyle name="Comma 25" xfId="864" xr:uid="{00000000-0005-0000-0000-00001F030000}"/>
    <cellStyle name="Comma 26" xfId="865" xr:uid="{00000000-0005-0000-0000-000020030000}"/>
    <cellStyle name="Comma 27" xfId="866" xr:uid="{00000000-0005-0000-0000-000021030000}"/>
    <cellStyle name="Comma 28" xfId="867" xr:uid="{00000000-0005-0000-0000-000022030000}"/>
    <cellStyle name="Comma 29" xfId="868" xr:uid="{00000000-0005-0000-0000-000023030000}"/>
    <cellStyle name="Comma 3" xfId="869" xr:uid="{00000000-0005-0000-0000-000024030000}"/>
    <cellStyle name="Comma 3 10" xfId="870" xr:uid="{00000000-0005-0000-0000-000025030000}"/>
    <cellStyle name="Comma 3 10 2" xfId="871" xr:uid="{00000000-0005-0000-0000-000026030000}"/>
    <cellStyle name="Comma 3 10 2 2" xfId="872" xr:uid="{00000000-0005-0000-0000-000027030000}"/>
    <cellStyle name="Comma 3 10 2 3" xfId="873" xr:uid="{00000000-0005-0000-0000-000028030000}"/>
    <cellStyle name="Comma 3 10 3" xfId="874" xr:uid="{00000000-0005-0000-0000-000029030000}"/>
    <cellStyle name="Comma 3 100" xfId="875" xr:uid="{00000000-0005-0000-0000-00002A030000}"/>
    <cellStyle name="Comma 3 101" xfId="876" xr:uid="{00000000-0005-0000-0000-00002B030000}"/>
    <cellStyle name="Comma 3 102" xfId="877" xr:uid="{00000000-0005-0000-0000-00002C030000}"/>
    <cellStyle name="Comma 3 103" xfId="878" xr:uid="{00000000-0005-0000-0000-00002D030000}"/>
    <cellStyle name="Comma 3 104" xfId="879" xr:uid="{00000000-0005-0000-0000-00002E030000}"/>
    <cellStyle name="Comma 3 105" xfId="880" xr:uid="{00000000-0005-0000-0000-00002F030000}"/>
    <cellStyle name="Comma 3 106" xfId="881" xr:uid="{00000000-0005-0000-0000-000030030000}"/>
    <cellStyle name="Comma 3 107" xfId="882" xr:uid="{00000000-0005-0000-0000-000031030000}"/>
    <cellStyle name="Comma 3 108" xfId="883" xr:uid="{00000000-0005-0000-0000-000032030000}"/>
    <cellStyle name="Comma 3 109" xfId="884" xr:uid="{00000000-0005-0000-0000-000033030000}"/>
    <cellStyle name="Comma 3 11" xfId="885" xr:uid="{00000000-0005-0000-0000-000034030000}"/>
    <cellStyle name="Comma 3 11 2" xfId="886" xr:uid="{00000000-0005-0000-0000-000035030000}"/>
    <cellStyle name="Comma 3 11 2 2" xfId="887" xr:uid="{00000000-0005-0000-0000-000036030000}"/>
    <cellStyle name="Comma 3 11 2 3" xfId="888" xr:uid="{00000000-0005-0000-0000-000037030000}"/>
    <cellStyle name="Comma 3 11 3" xfId="889" xr:uid="{00000000-0005-0000-0000-000038030000}"/>
    <cellStyle name="Comma 3 110" xfId="890" xr:uid="{00000000-0005-0000-0000-000039030000}"/>
    <cellStyle name="Comma 3 111" xfId="891" xr:uid="{00000000-0005-0000-0000-00003A030000}"/>
    <cellStyle name="Comma 3 112" xfId="892" xr:uid="{00000000-0005-0000-0000-00003B030000}"/>
    <cellStyle name="Comma 3 113" xfId="893" xr:uid="{00000000-0005-0000-0000-00003C030000}"/>
    <cellStyle name="Comma 3 114" xfId="894" xr:uid="{00000000-0005-0000-0000-00003D030000}"/>
    <cellStyle name="Comma 3 115" xfId="895" xr:uid="{00000000-0005-0000-0000-00003E030000}"/>
    <cellStyle name="Comma 3 116" xfId="896" xr:uid="{00000000-0005-0000-0000-00003F030000}"/>
    <cellStyle name="Comma 3 117" xfId="897" xr:uid="{00000000-0005-0000-0000-000040030000}"/>
    <cellStyle name="Comma 3 118" xfId="898" xr:uid="{00000000-0005-0000-0000-000041030000}"/>
    <cellStyle name="Comma 3 119" xfId="899" xr:uid="{00000000-0005-0000-0000-000042030000}"/>
    <cellStyle name="Comma 3 12" xfId="900" xr:uid="{00000000-0005-0000-0000-000043030000}"/>
    <cellStyle name="Comma 3 12 2" xfId="901" xr:uid="{00000000-0005-0000-0000-000044030000}"/>
    <cellStyle name="Comma 3 12 2 2" xfId="902" xr:uid="{00000000-0005-0000-0000-000045030000}"/>
    <cellStyle name="Comma 3 12 2 3" xfId="903" xr:uid="{00000000-0005-0000-0000-000046030000}"/>
    <cellStyle name="Comma 3 12 3" xfId="904" xr:uid="{00000000-0005-0000-0000-000047030000}"/>
    <cellStyle name="Comma 3 120" xfId="905" xr:uid="{00000000-0005-0000-0000-000048030000}"/>
    <cellStyle name="Comma 3 121" xfId="906" xr:uid="{00000000-0005-0000-0000-000049030000}"/>
    <cellStyle name="Comma 3 122" xfId="907" xr:uid="{00000000-0005-0000-0000-00004A030000}"/>
    <cellStyle name="Comma 3 123" xfId="908" xr:uid="{00000000-0005-0000-0000-00004B030000}"/>
    <cellStyle name="Comma 3 124" xfId="909" xr:uid="{00000000-0005-0000-0000-00004C030000}"/>
    <cellStyle name="Comma 3 125" xfId="910" xr:uid="{00000000-0005-0000-0000-00004D030000}"/>
    <cellStyle name="Comma 3 126" xfId="911" xr:uid="{00000000-0005-0000-0000-00004E030000}"/>
    <cellStyle name="Comma 3 127" xfId="912" xr:uid="{00000000-0005-0000-0000-00004F030000}"/>
    <cellStyle name="Comma 3 128" xfId="913" xr:uid="{00000000-0005-0000-0000-000050030000}"/>
    <cellStyle name="Comma 3 129" xfId="914" xr:uid="{00000000-0005-0000-0000-000051030000}"/>
    <cellStyle name="Comma 3 13" xfId="915" xr:uid="{00000000-0005-0000-0000-000052030000}"/>
    <cellStyle name="Comma 3 13 2" xfId="916" xr:uid="{00000000-0005-0000-0000-000053030000}"/>
    <cellStyle name="Comma 3 13 2 2" xfId="917" xr:uid="{00000000-0005-0000-0000-000054030000}"/>
    <cellStyle name="Comma 3 13 2 3" xfId="918" xr:uid="{00000000-0005-0000-0000-000055030000}"/>
    <cellStyle name="Comma 3 13 3" xfId="919" xr:uid="{00000000-0005-0000-0000-000056030000}"/>
    <cellStyle name="Comma 3 130" xfId="920" xr:uid="{00000000-0005-0000-0000-000057030000}"/>
    <cellStyle name="Comma 3 131" xfId="921" xr:uid="{00000000-0005-0000-0000-000058030000}"/>
    <cellStyle name="Comma 3 132" xfId="922" xr:uid="{00000000-0005-0000-0000-000059030000}"/>
    <cellStyle name="Comma 3 133" xfId="923" xr:uid="{00000000-0005-0000-0000-00005A030000}"/>
    <cellStyle name="Comma 3 134" xfId="924" xr:uid="{00000000-0005-0000-0000-00005B030000}"/>
    <cellStyle name="Comma 3 135" xfId="925" xr:uid="{00000000-0005-0000-0000-00005C030000}"/>
    <cellStyle name="Comma 3 136" xfId="926" xr:uid="{00000000-0005-0000-0000-00005D030000}"/>
    <cellStyle name="Comma 3 137" xfId="927" xr:uid="{00000000-0005-0000-0000-00005E030000}"/>
    <cellStyle name="Comma 3 138" xfId="928" xr:uid="{00000000-0005-0000-0000-00005F030000}"/>
    <cellStyle name="Comma 3 139" xfId="929" xr:uid="{00000000-0005-0000-0000-000060030000}"/>
    <cellStyle name="Comma 3 14" xfId="930" xr:uid="{00000000-0005-0000-0000-000061030000}"/>
    <cellStyle name="Comma 3 14 2" xfId="931" xr:uid="{00000000-0005-0000-0000-000062030000}"/>
    <cellStyle name="Comma 3 14 2 2" xfId="932" xr:uid="{00000000-0005-0000-0000-000063030000}"/>
    <cellStyle name="Comma 3 14 2 3" xfId="933" xr:uid="{00000000-0005-0000-0000-000064030000}"/>
    <cellStyle name="Comma 3 14 3" xfId="934" xr:uid="{00000000-0005-0000-0000-000065030000}"/>
    <cellStyle name="Comma 3 140" xfId="935" xr:uid="{00000000-0005-0000-0000-000066030000}"/>
    <cellStyle name="Comma 3 141" xfId="936" xr:uid="{00000000-0005-0000-0000-000067030000}"/>
    <cellStyle name="Comma 3 142" xfId="937" xr:uid="{00000000-0005-0000-0000-000068030000}"/>
    <cellStyle name="Comma 3 143" xfId="938" xr:uid="{00000000-0005-0000-0000-000069030000}"/>
    <cellStyle name="Comma 3 144" xfId="939" xr:uid="{00000000-0005-0000-0000-00006A030000}"/>
    <cellStyle name="Comma 3 145" xfId="940" xr:uid="{00000000-0005-0000-0000-00006B030000}"/>
    <cellStyle name="Comma 3 146" xfId="941" xr:uid="{00000000-0005-0000-0000-00006C030000}"/>
    <cellStyle name="Comma 3 147" xfId="942" xr:uid="{00000000-0005-0000-0000-00006D030000}"/>
    <cellStyle name="Comma 3 148" xfId="943" xr:uid="{00000000-0005-0000-0000-00006E030000}"/>
    <cellStyle name="Comma 3 149" xfId="944" xr:uid="{00000000-0005-0000-0000-00006F030000}"/>
    <cellStyle name="Comma 3 15" xfId="945" xr:uid="{00000000-0005-0000-0000-000070030000}"/>
    <cellStyle name="Comma 3 15 2" xfId="946" xr:uid="{00000000-0005-0000-0000-000071030000}"/>
    <cellStyle name="Comma 3 15 2 2" xfId="947" xr:uid="{00000000-0005-0000-0000-000072030000}"/>
    <cellStyle name="Comma 3 15 2 3" xfId="948" xr:uid="{00000000-0005-0000-0000-000073030000}"/>
    <cellStyle name="Comma 3 15 3" xfId="949" xr:uid="{00000000-0005-0000-0000-000074030000}"/>
    <cellStyle name="Comma 3 150" xfId="950" xr:uid="{00000000-0005-0000-0000-000075030000}"/>
    <cellStyle name="Comma 3 151" xfId="951" xr:uid="{00000000-0005-0000-0000-000076030000}"/>
    <cellStyle name="Comma 3 152" xfId="952" xr:uid="{00000000-0005-0000-0000-000077030000}"/>
    <cellStyle name="Comma 3 16" xfId="953" xr:uid="{00000000-0005-0000-0000-000078030000}"/>
    <cellStyle name="Comma 3 16 2" xfId="954" xr:uid="{00000000-0005-0000-0000-000079030000}"/>
    <cellStyle name="Comma 3 16 2 2" xfId="955" xr:uid="{00000000-0005-0000-0000-00007A030000}"/>
    <cellStyle name="Comma 3 16 2 3" xfId="956" xr:uid="{00000000-0005-0000-0000-00007B030000}"/>
    <cellStyle name="Comma 3 16 3" xfId="957" xr:uid="{00000000-0005-0000-0000-00007C030000}"/>
    <cellStyle name="Comma 3 17" xfId="958" xr:uid="{00000000-0005-0000-0000-00007D030000}"/>
    <cellStyle name="Comma 3 17 2" xfId="959" xr:uid="{00000000-0005-0000-0000-00007E030000}"/>
    <cellStyle name="Comma 3 17 2 2" xfId="960" xr:uid="{00000000-0005-0000-0000-00007F030000}"/>
    <cellStyle name="Comma 3 17 2 3" xfId="961" xr:uid="{00000000-0005-0000-0000-000080030000}"/>
    <cellStyle name="Comma 3 17 3" xfId="962" xr:uid="{00000000-0005-0000-0000-000081030000}"/>
    <cellStyle name="Comma 3 18" xfId="963" xr:uid="{00000000-0005-0000-0000-000082030000}"/>
    <cellStyle name="Comma 3 18 2" xfId="964" xr:uid="{00000000-0005-0000-0000-000083030000}"/>
    <cellStyle name="Comma 3 18 2 2" xfId="965" xr:uid="{00000000-0005-0000-0000-000084030000}"/>
    <cellStyle name="Comma 3 18 2 3" xfId="966" xr:uid="{00000000-0005-0000-0000-000085030000}"/>
    <cellStyle name="Comma 3 18 3" xfId="967" xr:uid="{00000000-0005-0000-0000-000086030000}"/>
    <cellStyle name="Comma 3 19" xfId="968" xr:uid="{00000000-0005-0000-0000-000087030000}"/>
    <cellStyle name="Comma 3 19 2" xfId="969" xr:uid="{00000000-0005-0000-0000-000088030000}"/>
    <cellStyle name="Comma 3 19 3" xfId="970" xr:uid="{00000000-0005-0000-0000-000089030000}"/>
    <cellStyle name="Comma 3 19 4" xfId="971" xr:uid="{00000000-0005-0000-0000-00008A030000}"/>
    <cellStyle name="Comma 3 2" xfId="972" xr:uid="{00000000-0005-0000-0000-00008B030000}"/>
    <cellStyle name="Comma 3 2 10" xfId="973" xr:uid="{00000000-0005-0000-0000-00008C030000}"/>
    <cellStyle name="Comma 3 2 10 2" xfId="974" xr:uid="{00000000-0005-0000-0000-00008D030000}"/>
    <cellStyle name="Comma 3 2 11" xfId="975" xr:uid="{00000000-0005-0000-0000-00008E030000}"/>
    <cellStyle name="Comma 3 2 11 2" xfId="976" xr:uid="{00000000-0005-0000-0000-00008F030000}"/>
    <cellStyle name="Comma 3 2 12" xfId="977" xr:uid="{00000000-0005-0000-0000-000090030000}"/>
    <cellStyle name="Comma 3 2 12 2" xfId="978" xr:uid="{00000000-0005-0000-0000-000091030000}"/>
    <cellStyle name="Comma 3 2 12 2 2" xfId="979" xr:uid="{00000000-0005-0000-0000-000092030000}"/>
    <cellStyle name="Comma 3 2 12 3" xfId="980" xr:uid="{00000000-0005-0000-0000-000093030000}"/>
    <cellStyle name="Comma 3 2 13" xfId="981" xr:uid="{00000000-0005-0000-0000-000094030000}"/>
    <cellStyle name="Comma 3 2 13 2" xfId="982" xr:uid="{00000000-0005-0000-0000-000095030000}"/>
    <cellStyle name="Comma 3 2 14" xfId="983" xr:uid="{00000000-0005-0000-0000-000096030000}"/>
    <cellStyle name="Comma 3 2 14 2" xfId="984" xr:uid="{00000000-0005-0000-0000-000097030000}"/>
    <cellStyle name="Comma 3 2 14 2 2" xfId="985" xr:uid="{00000000-0005-0000-0000-000098030000}"/>
    <cellStyle name="Comma 3 2 14 3" xfId="986" xr:uid="{00000000-0005-0000-0000-000099030000}"/>
    <cellStyle name="Comma 3 2 15" xfId="987" xr:uid="{00000000-0005-0000-0000-00009A030000}"/>
    <cellStyle name="Comma 3 2 15 2" xfId="988" xr:uid="{00000000-0005-0000-0000-00009B030000}"/>
    <cellStyle name="Comma 3 2 15 2 2" xfId="989" xr:uid="{00000000-0005-0000-0000-00009C030000}"/>
    <cellStyle name="Comma 3 2 15 3" xfId="990" xr:uid="{00000000-0005-0000-0000-00009D030000}"/>
    <cellStyle name="Comma 3 2 16" xfId="991" xr:uid="{00000000-0005-0000-0000-00009E030000}"/>
    <cellStyle name="Comma 3 2 16 2" xfId="992" xr:uid="{00000000-0005-0000-0000-00009F030000}"/>
    <cellStyle name="Comma 3 2 16 2 2" xfId="993" xr:uid="{00000000-0005-0000-0000-0000A0030000}"/>
    <cellStyle name="Comma 3 2 16 3" xfId="994" xr:uid="{00000000-0005-0000-0000-0000A1030000}"/>
    <cellStyle name="Comma 3 2 17" xfId="995" xr:uid="{00000000-0005-0000-0000-0000A2030000}"/>
    <cellStyle name="Comma 3 2 17 2" xfId="996" xr:uid="{00000000-0005-0000-0000-0000A3030000}"/>
    <cellStyle name="Comma 3 2 17 2 2" xfId="997" xr:uid="{00000000-0005-0000-0000-0000A4030000}"/>
    <cellStyle name="Comma 3 2 17 3" xfId="998" xr:uid="{00000000-0005-0000-0000-0000A5030000}"/>
    <cellStyle name="Comma 3 2 18" xfId="999" xr:uid="{00000000-0005-0000-0000-0000A6030000}"/>
    <cellStyle name="Comma 3 2 19" xfId="1000" xr:uid="{00000000-0005-0000-0000-0000A7030000}"/>
    <cellStyle name="Comma 3 2 2" xfId="1001" xr:uid="{00000000-0005-0000-0000-0000A8030000}"/>
    <cellStyle name="Comma 3 2 2 10" xfId="1002" xr:uid="{00000000-0005-0000-0000-0000A9030000}"/>
    <cellStyle name="Comma 3 2 2 11" xfId="1003" xr:uid="{00000000-0005-0000-0000-0000AA030000}"/>
    <cellStyle name="Comma 3 2 2 12" xfId="1004" xr:uid="{00000000-0005-0000-0000-0000AB030000}"/>
    <cellStyle name="Comma 3 2 2 13" xfId="1005" xr:uid="{00000000-0005-0000-0000-0000AC030000}"/>
    <cellStyle name="Comma 3 2 2 14" xfId="1006" xr:uid="{00000000-0005-0000-0000-0000AD030000}"/>
    <cellStyle name="Comma 3 2 2 15" xfId="1007" xr:uid="{00000000-0005-0000-0000-0000AE030000}"/>
    <cellStyle name="Comma 3 2 2 16" xfId="1008" xr:uid="{00000000-0005-0000-0000-0000AF030000}"/>
    <cellStyle name="Comma 3 2 2 17" xfId="1009" xr:uid="{00000000-0005-0000-0000-0000B0030000}"/>
    <cellStyle name="Comma 3 2 2 18" xfId="1010" xr:uid="{00000000-0005-0000-0000-0000B1030000}"/>
    <cellStyle name="Comma 3 2 2 18 2" xfId="1011" xr:uid="{00000000-0005-0000-0000-0000B2030000}"/>
    <cellStyle name="Comma 3 2 2 19" xfId="1012" xr:uid="{00000000-0005-0000-0000-0000B3030000}"/>
    <cellStyle name="Comma 3 2 2 2" xfId="1013" xr:uid="{00000000-0005-0000-0000-0000B4030000}"/>
    <cellStyle name="Comma 3 2 2 2 10" xfId="1014" xr:uid="{00000000-0005-0000-0000-0000B5030000}"/>
    <cellStyle name="Comma 3 2 2 2 10 2" xfId="1015" xr:uid="{00000000-0005-0000-0000-0000B6030000}"/>
    <cellStyle name="Comma 3 2 2 2 10 2 2" xfId="1016" xr:uid="{00000000-0005-0000-0000-0000B7030000}"/>
    <cellStyle name="Comma 3 2 2 2 10 3" xfId="1017" xr:uid="{00000000-0005-0000-0000-0000B8030000}"/>
    <cellStyle name="Comma 3 2 2 2 11" xfId="1018" xr:uid="{00000000-0005-0000-0000-0000B9030000}"/>
    <cellStyle name="Comma 3 2 2 2 11 2" xfId="1019" xr:uid="{00000000-0005-0000-0000-0000BA030000}"/>
    <cellStyle name="Comma 3 2 2 2 11 2 2" xfId="1020" xr:uid="{00000000-0005-0000-0000-0000BB030000}"/>
    <cellStyle name="Comma 3 2 2 2 11 3" xfId="1021" xr:uid="{00000000-0005-0000-0000-0000BC030000}"/>
    <cellStyle name="Comma 3 2 2 2 12" xfId="1022" xr:uid="{00000000-0005-0000-0000-0000BD030000}"/>
    <cellStyle name="Comma 3 2 2 2 12 2" xfId="1023" xr:uid="{00000000-0005-0000-0000-0000BE030000}"/>
    <cellStyle name="Comma 3 2 2 2 12 2 2" xfId="1024" xr:uid="{00000000-0005-0000-0000-0000BF030000}"/>
    <cellStyle name="Comma 3 2 2 2 12 3" xfId="1025" xr:uid="{00000000-0005-0000-0000-0000C0030000}"/>
    <cellStyle name="Comma 3 2 2 2 13" xfId="1026" xr:uid="{00000000-0005-0000-0000-0000C1030000}"/>
    <cellStyle name="Comma 3 2 2 2 13 2" xfId="1027" xr:uid="{00000000-0005-0000-0000-0000C2030000}"/>
    <cellStyle name="Comma 3 2 2 2 13 2 2" xfId="1028" xr:uid="{00000000-0005-0000-0000-0000C3030000}"/>
    <cellStyle name="Comma 3 2 2 2 13 3" xfId="1029" xr:uid="{00000000-0005-0000-0000-0000C4030000}"/>
    <cellStyle name="Comma 3 2 2 2 14" xfId="1030" xr:uid="{00000000-0005-0000-0000-0000C5030000}"/>
    <cellStyle name="Comma 3 2 2 2 14 2" xfId="1031" xr:uid="{00000000-0005-0000-0000-0000C6030000}"/>
    <cellStyle name="Comma 3 2 2 2 14 2 2" xfId="1032" xr:uid="{00000000-0005-0000-0000-0000C7030000}"/>
    <cellStyle name="Comma 3 2 2 2 14 3" xfId="1033" xr:uid="{00000000-0005-0000-0000-0000C8030000}"/>
    <cellStyle name="Comma 3 2 2 2 15" xfId="1034" xr:uid="{00000000-0005-0000-0000-0000C9030000}"/>
    <cellStyle name="Comma 3 2 2 2 15 2" xfId="1035" xr:uid="{00000000-0005-0000-0000-0000CA030000}"/>
    <cellStyle name="Comma 3 2 2 2 15 2 2" xfId="1036" xr:uid="{00000000-0005-0000-0000-0000CB030000}"/>
    <cellStyle name="Comma 3 2 2 2 15 3" xfId="1037" xr:uid="{00000000-0005-0000-0000-0000CC030000}"/>
    <cellStyle name="Comma 3 2 2 2 16" xfId="1038" xr:uid="{00000000-0005-0000-0000-0000CD030000}"/>
    <cellStyle name="Comma 3 2 2 2 16 2" xfId="1039" xr:uid="{00000000-0005-0000-0000-0000CE030000}"/>
    <cellStyle name="Comma 3 2 2 2 16 2 2" xfId="1040" xr:uid="{00000000-0005-0000-0000-0000CF030000}"/>
    <cellStyle name="Comma 3 2 2 2 16 3" xfId="1041" xr:uid="{00000000-0005-0000-0000-0000D0030000}"/>
    <cellStyle name="Comma 3 2 2 2 17" xfId="1042" xr:uid="{00000000-0005-0000-0000-0000D1030000}"/>
    <cellStyle name="Comma 3 2 2 2 17 2" xfId="1043" xr:uid="{00000000-0005-0000-0000-0000D2030000}"/>
    <cellStyle name="Comma 3 2 2 2 17 2 2" xfId="1044" xr:uid="{00000000-0005-0000-0000-0000D3030000}"/>
    <cellStyle name="Comma 3 2 2 2 17 3" xfId="1045" xr:uid="{00000000-0005-0000-0000-0000D4030000}"/>
    <cellStyle name="Comma 3 2 2 2 2" xfId="1046" xr:uid="{00000000-0005-0000-0000-0000D5030000}"/>
    <cellStyle name="Comma 3 2 2 2 2 2" xfId="1047" xr:uid="{00000000-0005-0000-0000-0000D6030000}"/>
    <cellStyle name="Comma 3 2 2 2 2 2 2" xfId="1048" xr:uid="{00000000-0005-0000-0000-0000D7030000}"/>
    <cellStyle name="Comma 3 2 2 2 2 2 2 2" xfId="1049" xr:uid="{00000000-0005-0000-0000-0000D8030000}"/>
    <cellStyle name="Comma 3 2 2 2 2 2 2 2 2" xfId="1050" xr:uid="{00000000-0005-0000-0000-0000D9030000}"/>
    <cellStyle name="Comma 3 2 2 2 2 2 2 3" xfId="1051" xr:uid="{00000000-0005-0000-0000-0000DA030000}"/>
    <cellStyle name="Comma 3 2 2 2 2 2 3" xfId="1052" xr:uid="{00000000-0005-0000-0000-0000DB030000}"/>
    <cellStyle name="Comma 3 2 2 2 2 2 3 2" xfId="1053" xr:uid="{00000000-0005-0000-0000-0000DC030000}"/>
    <cellStyle name="Comma 3 2 2 2 2 2 3 2 2" xfId="1054" xr:uid="{00000000-0005-0000-0000-0000DD030000}"/>
    <cellStyle name="Comma 3 2 2 2 2 2 3 3" xfId="1055" xr:uid="{00000000-0005-0000-0000-0000DE030000}"/>
    <cellStyle name="Comma 3 2 2 2 2 2 4" xfId="1056" xr:uid="{00000000-0005-0000-0000-0000DF030000}"/>
    <cellStyle name="Comma 3 2 2 2 2 2 4 2" xfId="1057" xr:uid="{00000000-0005-0000-0000-0000E0030000}"/>
    <cellStyle name="Comma 3 2 2 2 2 2 4 2 2" xfId="1058" xr:uid="{00000000-0005-0000-0000-0000E1030000}"/>
    <cellStyle name="Comma 3 2 2 2 2 2 4 3" xfId="1059" xr:uid="{00000000-0005-0000-0000-0000E2030000}"/>
    <cellStyle name="Comma 3 2 2 2 2 2 5" xfId="1060" xr:uid="{00000000-0005-0000-0000-0000E3030000}"/>
    <cellStyle name="Comma 3 2 2 2 2 2 5 2" xfId="1061" xr:uid="{00000000-0005-0000-0000-0000E4030000}"/>
    <cellStyle name="Comma 3 2 2 2 2 2 5 2 2" xfId="1062" xr:uid="{00000000-0005-0000-0000-0000E5030000}"/>
    <cellStyle name="Comma 3 2 2 2 2 2 5 3" xfId="1063" xr:uid="{00000000-0005-0000-0000-0000E6030000}"/>
    <cellStyle name="Comma 3 2 2 2 2 3" xfId="1064" xr:uid="{00000000-0005-0000-0000-0000E7030000}"/>
    <cellStyle name="Comma 3 2 2 2 2 4" xfId="1065" xr:uid="{00000000-0005-0000-0000-0000E8030000}"/>
    <cellStyle name="Comma 3 2 2 2 2 5" xfId="1066" xr:uid="{00000000-0005-0000-0000-0000E9030000}"/>
    <cellStyle name="Comma 3 2 2 2 2 6" xfId="1067" xr:uid="{00000000-0005-0000-0000-0000EA030000}"/>
    <cellStyle name="Comma 3 2 2 2 2 6 2" xfId="1068" xr:uid="{00000000-0005-0000-0000-0000EB030000}"/>
    <cellStyle name="Comma 3 2 2 2 2 7" xfId="1069" xr:uid="{00000000-0005-0000-0000-0000EC030000}"/>
    <cellStyle name="Comma 3 2 2 2 3" xfId="1070" xr:uid="{00000000-0005-0000-0000-0000ED030000}"/>
    <cellStyle name="Comma 3 2 2 2 3 2" xfId="1071" xr:uid="{00000000-0005-0000-0000-0000EE030000}"/>
    <cellStyle name="Comma 3 2 2 2 3 2 2" xfId="1072" xr:uid="{00000000-0005-0000-0000-0000EF030000}"/>
    <cellStyle name="Comma 3 2 2 2 3 3" xfId="1073" xr:uid="{00000000-0005-0000-0000-0000F0030000}"/>
    <cellStyle name="Comma 3 2 2 2 4" xfId="1074" xr:uid="{00000000-0005-0000-0000-0000F1030000}"/>
    <cellStyle name="Comma 3 2 2 2 4 2" xfId="1075" xr:uid="{00000000-0005-0000-0000-0000F2030000}"/>
    <cellStyle name="Comma 3 2 2 2 4 2 2" xfId="1076" xr:uid="{00000000-0005-0000-0000-0000F3030000}"/>
    <cellStyle name="Comma 3 2 2 2 4 3" xfId="1077" xr:uid="{00000000-0005-0000-0000-0000F4030000}"/>
    <cellStyle name="Comma 3 2 2 2 5" xfId="1078" xr:uid="{00000000-0005-0000-0000-0000F5030000}"/>
    <cellStyle name="Comma 3 2 2 2 5 2" xfId="1079" xr:uid="{00000000-0005-0000-0000-0000F6030000}"/>
    <cellStyle name="Comma 3 2 2 2 5 2 2" xfId="1080" xr:uid="{00000000-0005-0000-0000-0000F7030000}"/>
    <cellStyle name="Comma 3 2 2 2 5 3" xfId="1081" xr:uid="{00000000-0005-0000-0000-0000F8030000}"/>
    <cellStyle name="Comma 3 2 2 2 6" xfId="1082" xr:uid="{00000000-0005-0000-0000-0000F9030000}"/>
    <cellStyle name="Comma 3 2 2 2 6 2" xfId="1083" xr:uid="{00000000-0005-0000-0000-0000FA030000}"/>
    <cellStyle name="Comma 3 2 2 2 6 2 2" xfId="1084" xr:uid="{00000000-0005-0000-0000-0000FB030000}"/>
    <cellStyle name="Comma 3 2 2 2 6 3" xfId="1085" xr:uid="{00000000-0005-0000-0000-0000FC030000}"/>
    <cellStyle name="Comma 3 2 2 2 7" xfId="1086" xr:uid="{00000000-0005-0000-0000-0000FD030000}"/>
    <cellStyle name="Comma 3 2 2 2 7 2" xfId="1087" xr:uid="{00000000-0005-0000-0000-0000FE030000}"/>
    <cellStyle name="Comma 3 2 2 2 7 2 2" xfId="1088" xr:uid="{00000000-0005-0000-0000-0000FF030000}"/>
    <cellStyle name="Comma 3 2 2 2 7 3" xfId="1089" xr:uid="{00000000-0005-0000-0000-000000040000}"/>
    <cellStyle name="Comma 3 2 2 2 8" xfId="1090" xr:uid="{00000000-0005-0000-0000-000001040000}"/>
    <cellStyle name="Comma 3 2 2 2 8 2" xfId="1091" xr:uid="{00000000-0005-0000-0000-000002040000}"/>
    <cellStyle name="Comma 3 2 2 2 8 2 2" xfId="1092" xr:uid="{00000000-0005-0000-0000-000003040000}"/>
    <cellStyle name="Comma 3 2 2 2 8 3" xfId="1093" xr:uid="{00000000-0005-0000-0000-000004040000}"/>
    <cellStyle name="Comma 3 2 2 2 9" xfId="1094" xr:uid="{00000000-0005-0000-0000-000005040000}"/>
    <cellStyle name="Comma 3 2 2 2 9 2" xfId="1095" xr:uid="{00000000-0005-0000-0000-000006040000}"/>
    <cellStyle name="Comma 3 2 2 2 9 2 2" xfId="1096" xr:uid="{00000000-0005-0000-0000-000007040000}"/>
    <cellStyle name="Comma 3 2 2 2 9 3" xfId="1097" xr:uid="{00000000-0005-0000-0000-000008040000}"/>
    <cellStyle name="Comma 3 2 2 3" xfId="1098" xr:uid="{00000000-0005-0000-0000-000009040000}"/>
    <cellStyle name="Comma 3 2 2 4" xfId="1099" xr:uid="{00000000-0005-0000-0000-00000A040000}"/>
    <cellStyle name="Comma 3 2 2 5" xfId="1100" xr:uid="{00000000-0005-0000-0000-00000B040000}"/>
    <cellStyle name="Comma 3 2 2 6" xfId="1101" xr:uid="{00000000-0005-0000-0000-00000C040000}"/>
    <cellStyle name="Comma 3 2 2 7" xfId="1102" xr:uid="{00000000-0005-0000-0000-00000D040000}"/>
    <cellStyle name="Comma 3 2 2 8" xfId="1103" xr:uid="{00000000-0005-0000-0000-00000E040000}"/>
    <cellStyle name="Comma 3 2 2 9" xfId="1104" xr:uid="{00000000-0005-0000-0000-00000F040000}"/>
    <cellStyle name="Comma 3 2 20" xfId="1105" xr:uid="{00000000-0005-0000-0000-000010040000}"/>
    <cellStyle name="Comma 3 2 3" xfId="1106" xr:uid="{00000000-0005-0000-0000-000011040000}"/>
    <cellStyle name="Comma 3 2 3 2" xfId="1107" xr:uid="{00000000-0005-0000-0000-000012040000}"/>
    <cellStyle name="Comma 3 2 4" xfId="1108" xr:uid="{00000000-0005-0000-0000-000013040000}"/>
    <cellStyle name="Comma 3 2 4 2" xfId="1109" xr:uid="{00000000-0005-0000-0000-000014040000}"/>
    <cellStyle name="Comma 3 2 5" xfId="1110" xr:uid="{00000000-0005-0000-0000-000015040000}"/>
    <cellStyle name="Comma 3 2 5 2" xfId="1111" xr:uid="{00000000-0005-0000-0000-000016040000}"/>
    <cellStyle name="Comma 3 2 6" xfId="1112" xr:uid="{00000000-0005-0000-0000-000017040000}"/>
    <cellStyle name="Comma 3 2 6 2" xfId="1113" xr:uid="{00000000-0005-0000-0000-000018040000}"/>
    <cellStyle name="Comma 3 2 7" xfId="1114" xr:uid="{00000000-0005-0000-0000-000019040000}"/>
    <cellStyle name="Comma 3 2 7 2" xfId="1115" xr:uid="{00000000-0005-0000-0000-00001A040000}"/>
    <cellStyle name="Comma 3 2 8" xfId="1116" xr:uid="{00000000-0005-0000-0000-00001B040000}"/>
    <cellStyle name="Comma 3 2 8 2" xfId="1117" xr:uid="{00000000-0005-0000-0000-00001C040000}"/>
    <cellStyle name="Comma 3 2 9" xfId="1118" xr:uid="{00000000-0005-0000-0000-00001D040000}"/>
    <cellStyle name="Comma 3 2 9 2" xfId="1119" xr:uid="{00000000-0005-0000-0000-00001E040000}"/>
    <cellStyle name="Comma 3 20" xfId="1120" xr:uid="{00000000-0005-0000-0000-00001F040000}"/>
    <cellStyle name="Comma 3 20 2" xfId="1121" xr:uid="{00000000-0005-0000-0000-000020040000}"/>
    <cellStyle name="Comma 3 21" xfId="1122" xr:uid="{00000000-0005-0000-0000-000021040000}"/>
    <cellStyle name="Comma 3 21 2" xfId="1123" xr:uid="{00000000-0005-0000-0000-000022040000}"/>
    <cellStyle name="Comma 3 22" xfId="1124" xr:uid="{00000000-0005-0000-0000-000023040000}"/>
    <cellStyle name="Comma 3 22 2" xfId="1125" xr:uid="{00000000-0005-0000-0000-000024040000}"/>
    <cellStyle name="Comma 3 23" xfId="1126" xr:uid="{00000000-0005-0000-0000-000025040000}"/>
    <cellStyle name="Comma 3 23 2" xfId="1127" xr:uid="{00000000-0005-0000-0000-000026040000}"/>
    <cellStyle name="Comma 3 24" xfId="1128" xr:uid="{00000000-0005-0000-0000-000027040000}"/>
    <cellStyle name="Comma 3 24 2" xfId="1129" xr:uid="{00000000-0005-0000-0000-000028040000}"/>
    <cellStyle name="Comma 3 25" xfId="1130" xr:uid="{00000000-0005-0000-0000-000029040000}"/>
    <cellStyle name="Comma 3 25 2" xfId="1131" xr:uid="{00000000-0005-0000-0000-00002A040000}"/>
    <cellStyle name="Comma 3 26" xfId="1132" xr:uid="{00000000-0005-0000-0000-00002B040000}"/>
    <cellStyle name="Comma 3 26 2" xfId="1133" xr:uid="{00000000-0005-0000-0000-00002C040000}"/>
    <cellStyle name="Comma 3 27" xfId="1134" xr:uid="{00000000-0005-0000-0000-00002D040000}"/>
    <cellStyle name="Comma 3 27 2" xfId="1135" xr:uid="{00000000-0005-0000-0000-00002E040000}"/>
    <cellStyle name="Comma 3 28" xfId="1136" xr:uid="{00000000-0005-0000-0000-00002F040000}"/>
    <cellStyle name="Comma 3 28 2" xfId="1137" xr:uid="{00000000-0005-0000-0000-000030040000}"/>
    <cellStyle name="Comma 3 29" xfId="1138" xr:uid="{00000000-0005-0000-0000-000031040000}"/>
    <cellStyle name="Comma 3 29 2" xfId="1139" xr:uid="{00000000-0005-0000-0000-000032040000}"/>
    <cellStyle name="Comma 3 3" xfId="1140" xr:uid="{00000000-0005-0000-0000-000033040000}"/>
    <cellStyle name="Comma 3 3 2" xfId="1141" xr:uid="{00000000-0005-0000-0000-000034040000}"/>
    <cellStyle name="Comma 3 3 2 2" xfId="1142" xr:uid="{00000000-0005-0000-0000-000035040000}"/>
    <cellStyle name="Comma 3 3 2 2 2" xfId="1143" xr:uid="{00000000-0005-0000-0000-000036040000}"/>
    <cellStyle name="Comma 3 3 2 3" xfId="1144" xr:uid="{00000000-0005-0000-0000-000037040000}"/>
    <cellStyle name="Comma 3 3 2 4" xfId="1145" xr:uid="{00000000-0005-0000-0000-000038040000}"/>
    <cellStyle name="Comma 3 3 2 5" xfId="1146" xr:uid="{00000000-0005-0000-0000-000039040000}"/>
    <cellStyle name="Comma 3 3 3" xfId="1147" xr:uid="{00000000-0005-0000-0000-00003A040000}"/>
    <cellStyle name="Comma 3 3 4" xfId="1148" xr:uid="{00000000-0005-0000-0000-00003B040000}"/>
    <cellStyle name="Comma 3 3 5" xfId="1149" xr:uid="{00000000-0005-0000-0000-00003C040000}"/>
    <cellStyle name="Comma 3 3 6" xfId="1150" xr:uid="{00000000-0005-0000-0000-00003D040000}"/>
    <cellStyle name="Comma 3 30" xfId="1151" xr:uid="{00000000-0005-0000-0000-00003E040000}"/>
    <cellStyle name="Comma 3 30 2" xfId="1152" xr:uid="{00000000-0005-0000-0000-00003F040000}"/>
    <cellStyle name="Comma 3 31" xfId="1153" xr:uid="{00000000-0005-0000-0000-000040040000}"/>
    <cellStyle name="Comma 3 31 2" xfId="1154" xr:uid="{00000000-0005-0000-0000-000041040000}"/>
    <cellStyle name="Comma 3 32" xfId="1155" xr:uid="{00000000-0005-0000-0000-000042040000}"/>
    <cellStyle name="Comma 3 32 2" xfId="1156" xr:uid="{00000000-0005-0000-0000-000043040000}"/>
    <cellStyle name="Comma 3 33" xfId="1157" xr:uid="{00000000-0005-0000-0000-000044040000}"/>
    <cellStyle name="Comma 3 33 2" xfId="1158" xr:uid="{00000000-0005-0000-0000-000045040000}"/>
    <cellStyle name="Comma 3 34" xfId="1159" xr:uid="{00000000-0005-0000-0000-000046040000}"/>
    <cellStyle name="Comma 3 34 2" xfId="1160" xr:uid="{00000000-0005-0000-0000-000047040000}"/>
    <cellStyle name="Comma 3 35" xfId="1161" xr:uid="{00000000-0005-0000-0000-000048040000}"/>
    <cellStyle name="Comma 3 35 2" xfId="1162" xr:uid="{00000000-0005-0000-0000-000049040000}"/>
    <cellStyle name="Comma 3 36" xfId="1163" xr:uid="{00000000-0005-0000-0000-00004A040000}"/>
    <cellStyle name="Comma 3 36 2" xfId="1164" xr:uid="{00000000-0005-0000-0000-00004B040000}"/>
    <cellStyle name="Comma 3 37" xfId="1165" xr:uid="{00000000-0005-0000-0000-00004C040000}"/>
    <cellStyle name="Comma 3 37 2" xfId="1166" xr:uid="{00000000-0005-0000-0000-00004D040000}"/>
    <cellStyle name="Comma 3 38" xfId="1167" xr:uid="{00000000-0005-0000-0000-00004E040000}"/>
    <cellStyle name="Comma 3 38 2" xfId="1168" xr:uid="{00000000-0005-0000-0000-00004F040000}"/>
    <cellStyle name="Comma 3 39" xfId="1169" xr:uid="{00000000-0005-0000-0000-000050040000}"/>
    <cellStyle name="Comma 3 39 2" xfId="1170" xr:uid="{00000000-0005-0000-0000-000051040000}"/>
    <cellStyle name="Comma 3 4" xfId="1171" xr:uid="{00000000-0005-0000-0000-000052040000}"/>
    <cellStyle name="Comma 3 4 2" xfId="1172" xr:uid="{00000000-0005-0000-0000-000053040000}"/>
    <cellStyle name="Comma 3 4 2 2" xfId="1173" xr:uid="{00000000-0005-0000-0000-000054040000}"/>
    <cellStyle name="Comma 3 4 2 3" xfId="1174" xr:uid="{00000000-0005-0000-0000-000055040000}"/>
    <cellStyle name="Comma 3 4 3" xfId="1175" xr:uid="{00000000-0005-0000-0000-000056040000}"/>
    <cellStyle name="Comma 3 40" xfId="1176" xr:uid="{00000000-0005-0000-0000-000057040000}"/>
    <cellStyle name="Comma 3 40 2" xfId="1177" xr:uid="{00000000-0005-0000-0000-000058040000}"/>
    <cellStyle name="Comma 3 41" xfId="1178" xr:uid="{00000000-0005-0000-0000-000059040000}"/>
    <cellStyle name="Comma 3 41 2" xfId="1179" xr:uid="{00000000-0005-0000-0000-00005A040000}"/>
    <cellStyle name="Comma 3 42" xfId="1180" xr:uid="{00000000-0005-0000-0000-00005B040000}"/>
    <cellStyle name="Comma 3 42 2" xfId="1181" xr:uid="{00000000-0005-0000-0000-00005C040000}"/>
    <cellStyle name="Comma 3 43" xfId="1182" xr:uid="{00000000-0005-0000-0000-00005D040000}"/>
    <cellStyle name="Comma 3 43 2" xfId="1183" xr:uid="{00000000-0005-0000-0000-00005E040000}"/>
    <cellStyle name="Comma 3 44" xfId="1184" xr:uid="{00000000-0005-0000-0000-00005F040000}"/>
    <cellStyle name="Comma 3 44 2" xfId="1185" xr:uid="{00000000-0005-0000-0000-000060040000}"/>
    <cellStyle name="Comma 3 45" xfId="1186" xr:uid="{00000000-0005-0000-0000-000061040000}"/>
    <cellStyle name="Comma 3 45 2" xfId="1187" xr:uid="{00000000-0005-0000-0000-000062040000}"/>
    <cellStyle name="Comma 3 46" xfId="1188" xr:uid="{00000000-0005-0000-0000-000063040000}"/>
    <cellStyle name="Comma 3 46 2" xfId="1189" xr:uid="{00000000-0005-0000-0000-000064040000}"/>
    <cellStyle name="Comma 3 47" xfId="1190" xr:uid="{00000000-0005-0000-0000-000065040000}"/>
    <cellStyle name="Comma 3 47 2" xfId="1191" xr:uid="{00000000-0005-0000-0000-000066040000}"/>
    <cellStyle name="Comma 3 48" xfId="1192" xr:uid="{00000000-0005-0000-0000-000067040000}"/>
    <cellStyle name="Comma 3 48 2" xfId="1193" xr:uid="{00000000-0005-0000-0000-000068040000}"/>
    <cellStyle name="Comma 3 49" xfId="1194" xr:uid="{00000000-0005-0000-0000-000069040000}"/>
    <cellStyle name="Comma 3 49 2" xfId="1195" xr:uid="{00000000-0005-0000-0000-00006A040000}"/>
    <cellStyle name="Comma 3 5" xfId="1196" xr:uid="{00000000-0005-0000-0000-00006B040000}"/>
    <cellStyle name="Comma 3 5 2" xfId="1197" xr:uid="{00000000-0005-0000-0000-00006C040000}"/>
    <cellStyle name="Comma 3 5 2 2" xfId="1198" xr:uid="{00000000-0005-0000-0000-00006D040000}"/>
    <cellStyle name="Comma 3 5 2 3" xfId="1199" xr:uid="{00000000-0005-0000-0000-00006E040000}"/>
    <cellStyle name="Comma 3 5 3" xfId="1200" xr:uid="{00000000-0005-0000-0000-00006F040000}"/>
    <cellStyle name="Comma 3 50" xfId="1201" xr:uid="{00000000-0005-0000-0000-000070040000}"/>
    <cellStyle name="Comma 3 50 2" xfId="1202" xr:uid="{00000000-0005-0000-0000-000071040000}"/>
    <cellStyle name="Comma 3 51" xfId="1203" xr:uid="{00000000-0005-0000-0000-000072040000}"/>
    <cellStyle name="Comma 3 51 2" xfId="1204" xr:uid="{00000000-0005-0000-0000-000073040000}"/>
    <cellStyle name="Comma 3 52" xfId="1205" xr:uid="{00000000-0005-0000-0000-000074040000}"/>
    <cellStyle name="Comma 3 52 2" xfId="1206" xr:uid="{00000000-0005-0000-0000-000075040000}"/>
    <cellStyle name="Comma 3 53" xfId="1207" xr:uid="{00000000-0005-0000-0000-000076040000}"/>
    <cellStyle name="Comma 3 53 2" xfId="1208" xr:uid="{00000000-0005-0000-0000-000077040000}"/>
    <cellStyle name="Comma 3 54" xfId="1209" xr:uid="{00000000-0005-0000-0000-000078040000}"/>
    <cellStyle name="Comma 3 54 2" xfId="1210" xr:uid="{00000000-0005-0000-0000-000079040000}"/>
    <cellStyle name="Comma 3 55" xfId="1211" xr:uid="{00000000-0005-0000-0000-00007A040000}"/>
    <cellStyle name="Comma 3 55 2" xfId="1212" xr:uid="{00000000-0005-0000-0000-00007B040000}"/>
    <cellStyle name="Comma 3 56" xfId="1213" xr:uid="{00000000-0005-0000-0000-00007C040000}"/>
    <cellStyle name="Comma 3 56 2" xfId="1214" xr:uid="{00000000-0005-0000-0000-00007D040000}"/>
    <cellStyle name="Comma 3 57" xfId="1215" xr:uid="{00000000-0005-0000-0000-00007E040000}"/>
    <cellStyle name="Comma 3 57 2" xfId="1216" xr:uid="{00000000-0005-0000-0000-00007F040000}"/>
    <cellStyle name="Comma 3 58" xfId="1217" xr:uid="{00000000-0005-0000-0000-000080040000}"/>
    <cellStyle name="Comma 3 58 2" xfId="1218" xr:uid="{00000000-0005-0000-0000-000081040000}"/>
    <cellStyle name="Comma 3 59" xfId="1219" xr:uid="{00000000-0005-0000-0000-000082040000}"/>
    <cellStyle name="Comma 3 59 2" xfId="1220" xr:uid="{00000000-0005-0000-0000-000083040000}"/>
    <cellStyle name="Comma 3 6" xfId="1221" xr:uid="{00000000-0005-0000-0000-000084040000}"/>
    <cellStyle name="Comma 3 6 2" xfId="1222" xr:uid="{00000000-0005-0000-0000-000085040000}"/>
    <cellStyle name="Comma 3 6 2 2" xfId="1223" xr:uid="{00000000-0005-0000-0000-000086040000}"/>
    <cellStyle name="Comma 3 6 2 3" xfId="1224" xr:uid="{00000000-0005-0000-0000-000087040000}"/>
    <cellStyle name="Comma 3 6 3" xfId="1225" xr:uid="{00000000-0005-0000-0000-000088040000}"/>
    <cellStyle name="Comma 3 60" xfId="1226" xr:uid="{00000000-0005-0000-0000-000089040000}"/>
    <cellStyle name="Comma 3 60 2" xfId="1227" xr:uid="{00000000-0005-0000-0000-00008A040000}"/>
    <cellStyle name="Comma 3 61" xfId="1228" xr:uid="{00000000-0005-0000-0000-00008B040000}"/>
    <cellStyle name="Comma 3 61 2" xfId="1229" xr:uid="{00000000-0005-0000-0000-00008C040000}"/>
    <cellStyle name="Comma 3 62" xfId="1230" xr:uid="{00000000-0005-0000-0000-00008D040000}"/>
    <cellStyle name="Comma 3 63" xfId="1231" xr:uid="{00000000-0005-0000-0000-00008E040000}"/>
    <cellStyle name="Comma 3 64" xfId="1232" xr:uid="{00000000-0005-0000-0000-00008F040000}"/>
    <cellStyle name="Comma 3 65" xfId="1233" xr:uid="{00000000-0005-0000-0000-000090040000}"/>
    <cellStyle name="Comma 3 66" xfId="1234" xr:uid="{00000000-0005-0000-0000-000091040000}"/>
    <cellStyle name="Comma 3 67" xfId="1235" xr:uid="{00000000-0005-0000-0000-000092040000}"/>
    <cellStyle name="Comma 3 68" xfId="1236" xr:uid="{00000000-0005-0000-0000-000093040000}"/>
    <cellStyle name="Comma 3 69" xfId="1237" xr:uid="{00000000-0005-0000-0000-000094040000}"/>
    <cellStyle name="Comma 3 7" xfId="1238" xr:uid="{00000000-0005-0000-0000-000095040000}"/>
    <cellStyle name="Comma 3 7 2" xfId="1239" xr:uid="{00000000-0005-0000-0000-000096040000}"/>
    <cellStyle name="Comma 3 7 2 2" xfId="1240" xr:uid="{00000000-0005-0000-0000-000097040000}"/>
    <cellStyle name="Comma 3 7 2 3" xfId="1241" xr:uid="{00000000-0005-0000-0000-000098040000}"/>
    <cellStyle name="Comma 3 7 3" xfId="1242" xr:uid="{00000000-0005-0000-0000-000099040000}"/>
    <cellStyle name="Comma 3 70" xfId="1243" xr:uid="{00000000-0005-0000-0000-00009A040000}"/>
    <cellStyle name="Comma 3 71" xfId="1244" xr:uid="{00000000-0005-0000-0000-00009B040000}"/>
    <cellStyle name="Comma 3 72" xfId="1245" xr:uid="{00000000-0005-0000-0000-00009C040000}"/>
    <cellStyle name="Comma 3 73" xfId="1246" xr:uid="{00000000-0005-0000-0000-00009D040000}"/>
    <cellStyle name="Comma 3 74" xfId="1247" xr:uid="{00000000-0005-0000-0000-00009E040000}"/>
    <cellStyle name="Comma 3 75" xfId="1248" xr:uid="{00000000-0005-0000-0000-00009F040000}"/>
    <cellStyle name="Comma 3 76" xfId="1249" xr:uid="{00000000-0005-0000-0000-0000A0040000}"/>
    <cellStyle name="Comma 3 77" xfId="1250" xr:uid="{00000000-0005-0000-0000-0000A1040000}"/>
    <cellStyle name="Comma 3 78" xfId="1251" xr:uid="{00000000-0005-0000-0000-0000A2040000}"/>
    <cellStyle name="Comma 3 79" xfId="1252" xr:uid="{00000000-0005-0000-0000-0000A3040000}"/>
    <cellStyle name="Comma 3 8" xfId="1253" xr:uid="{00000000-0005-0000-0000-0000A4040000}"/>
    <cellStyle name="Comma 3 8 2" xfId="1254" xr:uid="{00000000-0005-0000-0000-0000A5040000}"/>
    <cellStyle name="Comma 3 8 2 2" xfId="1255" xr:uid="{00000000-0005-0000-0000-0000A6040000}"/>
    <cellStyle name="Comma 3 8 2 3" xfId="1256" xr:uid="{00000000-0005-0000-0000-0000A7040000}"/>
    <cellStyle name="Comma 3 8 3" xfId="1257" xr:uid="{00000000-0005-0000-0000-0000A8040000}"/>
    <cellStyle name="Comma 3 80" xfId="1258" xr:uid="{00000000-0005-0000-0000-0000A9040000}"/>
    <cellStyle name="Comma 3 81" xfId="1259" xr:uid="{00000000-0005-0000-0000-0000AA040000}"/>
    <cellStyle name="Comma 3 82" xfId="1260" xr:uid="{00000000-0005-0000-0000-0000AB040000}"/>
    <cellStyle name="Comma 3 83" xfId="1261" xr:uid="{00000000-0005-0000-0000-0000AC040000}"/>
    <cellStyle name="Comma 3 84" xfId="1262" xr:uid="{00000000-0005-0000-0000-0000AD040000}"/>
    <cellStyle name="Comma 3 85" xfId="1263" xr:uid="{00000000-0005-0000-0000-0000AE040000}"/>
    <cellStyle name="Comma 3 86" xfId="1264" xr:uid="{00000000-0005-0000-0000-0000AF040000}"/>
    <cellStyle name="Comma 3 87" xfId="1265" xr:uid="{00000000-0005-0000-0000-0000B0040000}"/>
    <cellStyle name="Comma 3 88" xfId="1266" xr:uid="{00000000-0005-0000-0000-0000B1040000}"/>
    <cellStyle name="Comma 3 89" xfId="1267" xr:uid="{00000000-0005-0000-0000-0000B2040000}"/>
    <cellStyle name="Comma 3 9" xfId="1268" xr:uid="{00000000-0005-0000-0000-0000B3040000}"/>
    <cellStyle name="Comma 3 9 2" xfId="1269" xr:uid="{00000000-0005-0000-0000-0000B4040000}"/>
    <cellStyle name="Comma 3 9 2 2" xfId="1270" xr:uid="{00000000-0005-0000-0000-0000B5040000}"/>
    <cellStyle name="Comma 3 9 2 3" xfId="1271" xr:uid="{00000000-0005-0000-0000-0000B6040000}"/>
    <cellStyle name="Comma 3 9 3" xfId="1272" xr:uid="{00000000-0005-0000-0000-0000B7040000}"/>
    <cellStyle name="Comma 3 90" xfId="1273" xr:uid="{00000000-0005-0000-0000-0000B8040000}"/>
    <cellStyle name="Comma 3 91" xfId="1274" xr:uid="{00000000-0005-0000-0000-0000B9040000}"/>
    <cellStyle name="Comma 3 92" xfId="1275" xr:uid="{00000000-0005-0000-0000-0000BA040000}"/>
    <cellStyle name="Comma 3 93" xfId="1276" xr:uid="{00000000-0005-0000-0000-0000BB040000}"/>
    <cellStyle name="Comma 3 94" xfId="1277" xr:uid="{00000000-0005-0000-0000-0000BC040000}"/>
    <cellStyle name="Comma 3 95" xfId="1278" xr:uid="{00000000-0005-0000-0000-0000BD040000}"/>
    <cellStyle name="Comma 3 96" xfId="1279" xr:uid="{00000000-0005-0000-0000-0000BE040000}"/>
    <cellStyle name="Comma 3 97" xfId="1280" xr:uid="{00000000-0005-0000-0000-0000BF040000}"/>
    <cellStyle name="Comma 3 98" xfId="1281" xr:uid="{00000000-0005-0000-0000-0000C0040000}"/>
    <cellStyle name="Comma 3 99" xfId="1282" xr:uid="{00000000-0005-0000-0000-0000C1040000}"/>
    <cellStyle name="Comma 30" xfId="1283" xr:uid="{00000000-0005-0000-0000-0000C2040000}"/>
    <cellStyle name="Comma 30 2" xfId="1284" xr:uid="{00000000-0005-0000-0000-0000C3040000}"/>
    <cellStyle name="Comma 31" xfId="1285" xr:uid="{00000000-0005-0000-0000-0000C4040000}"/>
    <cellStyle name="Comma 32" xfId="1286" xr:uid="{00000000-0005-0000-0000-0000C5040000}"/>
    <cellStyle name="Comma 33" xfId="1287" xr:uid="{00000000-0005-0000-0000-0000C6040000}"/>
    <cellStyle name="Comma 34" xfId="1288" xr:uid="{00000000-0005-0000-0000-0000C7040000}"/>
    <cellStyle name="Comma 35" xfId="1289" xr:uid="{00000000-0005-0000-0000-0000C8040000}"/>
    <cellStyle name="Comma 36" xfId="1290" xr:uid="{00000000-0005-0000-0000-0000C9040000}"/>
    <cellStyle name="Comma 37" xfId="1291" xr:uid="{00000000-0005-0000-0000-0000CA040000}"/>
    <cellStyle name="Comma 38" xfId="1292" xr:uid="{00000000-0005-0000-0000-0000CB040000}"/>
    <cellStyle name="Comma 39" xfId="1293" xr:uid="{00000000-0005-0000-0000-0000CC040000}"/>
    <cellStyle name="Comma 39 2" xfId="1294" xr:uid="{00000000-0005-0000-0000-0000CD040000}"/>
    <cellStyle name="Comma 4" xfId="1295" xr:uid="{00000000-0005-0000-0000-0000CE040000}"/>
    <cellStyle name="Comma 4 10" xfId="1296" xr:uid="{00000000-0005-0000-0000-0000CF040000}"/>
    <cellStyle name="Comma 4 11" xfId="1297" xr:uid="{00000000-0005-0000-0000-0000D0040000}"/>
    <cellStyle name="Comma 4 12" xfId="1298" xr:uid="{00000000-0005-0000-0000-0000D1040000}"/>
    <cellStyle name="Comma 4 13" xfId="1299" xr:uid="{00000000-0005-0000-0000-0000D2040000}"/>
    <cellStyle name="Comma 4 13 2" xfId="1300" xr:uid="{00000000-0005-0000-0000-0000D3040000}"/>
    <cellStyle name="Comma 4 13 2 2" xfId="1301" xr:uid="{00000000-0005-0000-0000-0000D4040000}"/>
    <cellStyle name="Comma 4 13 3" xfId="1302" xr:uid="{00000000-0005-0000-0000-0000D5040000}"/>
    <cellStyle name="Comma 4 13 4" xfId="1303" xr:uid="{00000000-0005-0000-0000-0000D6040000}"/>
    <cellStyle name="Comma 4 14" xfId="1304" xr:uid="{00000000-0005-0000-0000-0000D7040000}"/>
    <cellStyle name="Comma 4 15" xfId="1305" xr:uid="{00000000-0005-0000-0000-0000D8040000}"/>
    <cellStyle name="Comma 4 16" xfId="1306" xr:uid="{00000000-0005-0000-0000-0000D9040000}"/>
    <cellStyle name="Comma 4 17" xfId="1307" xr:uid="{00000000-0005-0000-0000-0000DA040000}"/>
    <cellStyle name="Comma 4 17 2" xfId="9447" xr:uid="{00000000-0005-0000-0000-0000DB040000}"/>
    <cellStyle name="Comma 4 2" xfId="1308" xr:uid="{00000000-0005-0000-0000-0000DC040000}"/>
    <cellStyle name="Comma 4 2 10" xfId="1309" xr:uid="{00000000-0005-0000-0000-0000DD040000}"/>
    <cellStyle name="Comma 4 2 10 2" xfId="1310" xr:uid="{00000000-0005-0000-0000-0000DE040000}"/>
    <cellStyle name="Comma 4 2 10 2 2" xfId="1311" xr:uid="{00000000-0005-0000-0000-0000DF040000}"/>
    <cellStyle name="Comma 4 2 10 3" xfId="1312" xr:uid="{00000000-0005-0000-0000-0000E0040000}"/>
    <cellStyle name="Comma 4 2 11" xfId="1313" xr:uid="{00000000-0005-0000-0000-0000E1040000}"/>
    <cellStyle name="Comma 4 2 11 2" xfId="1314" xr:uid="{00000000-0005-0000-0000-0000E2040000}"/>
    <cellStyle name="Comma 4 2 11 2 2" xfId="1315" xr:uid="{00000000-0005-0000-0000-0000E3040000}"/>
    <cellStyle name="Comma 4 2 11 3" xfId="1316" xr:uid="{00000000-0005-0000-0000-0000E4040000}"/>
    <cellStyle name="Comma 4 2 12" xfId="1317" xr:uid="{00000000-0005-0000-0000-0000E5040000}"/>
    <cellStyle name="Comma 4 2 12 2" xfId="1318" xr:uid="{00000000-0005-0000-0000-0000E6040000}"/>
    <cellStyle name="Comma 4 2 13" xfId="1319" xr:uid="{00000000-0005-0000-0000-0000E7040000}"/>
    <cellStyle name="Comma 4 2 13 2" xfId="1320" xr:uid="{00000000-0005-0000-0000-0000E8040000}"/>
    <cellStyle name="Comma 4 2 14" xfId="1321" xr:uid="{00000000-0005-0000-0000-0000E9040000}"/>
    <cellStyle name="Comma 4 2 2" xfId="1322" xr:uid="{00000000-0005-0000-0000-0000EA040000}"/>
    <cellStyle name="Comma 4 2 2 2" xfId="1323" xr:uid="{00000000-0005-0000-0000-0000EB040000}"/>
    <cellStyle name="Comma 4 2 2 2 2" xfId="1324" xr:uid="{00000000-0005-0000-0000-0000EC040000}"/>
    <cellStyle name="Comma 4 2 2 3" xfId="1325" xr:uid="{00000000-0005-0000-0000-0000ED040000}"/>
    <cellStyle name="Comma 4 2 3" xfId="1326" xr:uid="{00000000-0005-0000-0000-0000EE040000}"/>
    <cellStyle name="Comma 4 2 3 2" xfId="1327" xr:uid="{00000000-0005-0000-0000-0000EF040000}"/>
    <cellStyle name="Comma 4 2 3 2 2" xfId="1328" xr:uid="{00000000-0005-0000-0000-0000F0040000}"/>
    <cellStyle name="Comma 4 2 3 3" xfId="1329" xr:uid="{00000000-0005-0000-0000-0000F1040000}"/>
    <cellStyle name="Comma 4 2 4" xfId="1330" xr:uid="{00000000-0005-0000-0000-0000F2040000}"/>
    <cellStyle name="Comma 4 2 4 2" xfId="1331" xr:uid="{00000000-0005-0000-0000-0000F3040000}"/>
    <cellStyle name="Comma 4 2 4 2 2" xfId="1332" xr:uid="{00000000-0005-0000-0000-0000F4040000}"/>
    <cellStyle name="Comma 4 2 4 3" xfId="1333" xr:uid="{00000000-0005-0000-0000-0000F5040000}"/>
    <cellStyle name="Comma 4 2 5" xfId="1334" xr:uid="{00000000-0005-0000-0000-0000F6040000}"/>
    <cellStyle name="Comma 4 2 5 2" xfId="1335" xr:uid="{00000000-0005-0000-0000-0000F7040000}"/>
    <cellStyle name="Comma 4 2 5 2 2" xfId="1336" xr:uid="{00000000-0005-0000-0000-0000F8040000}"/>
    <cellStyle name="Comma 4 2 5 3" xfId="1337" xr:uid="{00000000-0005-0000-0000-0000F9040000}"/>
    <cellStyle name="Comma 4 2 6" xfId="1338" xr:uid="{00000000-0005-0000-0000-0000FA040000}"/>
    <cellStyle name="Comma 4 2 6 2" xfId="1339" xr:uid="{00000000-0005-0000-0000-0000FB040000}"/>
    <cellStyle name="Comma 4 2 6 2 2" xfId="1340" xr:uid="{00000000-0005-0000-0000-0000FC040000}"/>
    <cellStyle name="Comma 4 2 6 3" xfId="1341" xr:uid="{00000000-0005-0000-0000-0000FD040000}"/>
    <cellStyle name="Comma 4 2 7" xfId="1342" xr:uid="{00000000-0005-0000-0000-0000FE040000}"/>
    <cellStyle name="Comma 4 2 7 2" xfId="1343" xr:uid="{00000000-0005-0000-0000-0000FF040000}"/>
    <cellStyle name="Comma 4 2 7 2 2" xfId="1344" xr:uid="{00000000-0005-0000-0000-000000050000}"/>
    <cellStyle name="Comma 4 2 7 3" xfId="1345" xr:uid="{00000000-0005-0000-0000-000001050000}"/>
    <cellStyle name="Comma 4 2 8" xfId="1346" xr:uid="{00000000-0005-0000-0000-000002050000}"/>
    <cellStyle name="Comma 4 2 8 2" xfId="1347" xr:uid="{00000000-0005-0000-0000-000003050000}"/>
    <cellStyle name="Comma 4 2 8 2 2" xfId="1348" xr:uid="{00000000-0005-0000-0000-000004050000}"/>
    <cellStyle name="Comma 4 2 8 3" xfId="1349" xr:uid="{00000000-0005-0000-0000-000005050000}"/>
    <cellStyle name="Comma 4 2 9" xfId="1350" xr:uid="{00000000-0005-0000-0000-000006050000}"/>
    <cellStyle name="Comma 4 2 9 2" xfId="1351" xr:uid="{00000000-0005-0000-0000-000007050000}"/>
    <cellStyle name="Comma 4 2 9 2 2" xfId="1352" xr:uid="{00000000-0005-0000-0000-000008050000}"/>
    <cellStyle name="Comma 4 2 9 3" xfId="1353" xr:uid="{00000000-0005-0000-0000-000009050000}"/>
    <cellStyle name="Comma 4 3" xfId="1354" xr:uid="{00000000-0005-0000-0000-00000A050000}"/>
    <cellStyle name="Comma 4 3 2" xfId="1355" xr:uid="{00000000-0005-0000-0000-00000B050000}"/>
    <cellStyle name="Comma 4 3 2 2" xfId="1356" xr:uid="{00000000-0005-0000-0000-00000C050000}"/>
    <cellStyle name="Comma 4 3 3" xfId="1357" xr:uid="{00000000-0005-0000-0000-00000D050000}"/>
    <cellStyle name="Comma 4 3 4" xfId="1358" xr:uid="{00000000-0005-0000-0000-00000E050000}"/>
    <cellStyle name="Comma 4 4" xfId="1359" xr:uid="{00000000-0005-0000-0000-00000F050000}"/>
    <cellStyle name="Comma 4 5" xfId="1360" xr:uid="{00000000-0005-0000-0000-000010050000}"/>
    <cellStyle name="Comma 4 6" xfId="1361" xr:uid="{00000000-0005-0000-0000-000011050000}"/>
    <cellStyle name="Comma 4 7" xfId="1362" xr:uid="{00000000-0005-0000-0000-000012050000}"/>
    <cellStyle name="Comma 4 8" xfId="1363" xr:uid="{00000000-0005-0000-0000-000013050000}"/>
    <cellStyle name="Comma 4 9" xfId="1364" xr:uid="{00000000-0005-0000-0000-000014050000}"/>
    <cellStyle name="Comma 40" xfId="1365" xr:uid="{00000000-0005-0000-0000-000015050000}"/>
    <cellStyle name="Comma 41" xfId="1366" xr:uid="{00000000-0005-0000-0000-000016050000}"/>
    <cellStyle name="Comma 42" xfId="1367" xr:uid="{00000000-0005-0000-0000-000017050000}"/>
    <cellStyle name="Comma 43" xfId="1368" xr:uid="{00000000-0005-0000-0000-000018050000}"/>
    <cellStyle name="Comma 44" xfId="1369" xr:uid="{00000000-0005-0000-0000-000019050000}"/>
    <cellStyle name="Comma 45" xfId="1370" xr:uid="{00000000-0005-0000-0000-00001A050000}"/>
    <cellStyle name="Comma 46" xfId="1371" xr:uid="{00000000-0005-0000-0000-00001B050000}"/>
    <cellStyle name="Comma 47" xfId="1372" xr:uid="{00000000-0005-0000-0000-00001C050000}"/>
    <cellStyle name="Comma 48" xfId="1373" xr:uid="{00000000-0005-0000-0000-00001D050000}"/>
    <cellStyle name="Comma 49" xfId="1374" xr:uid="{00000000-0005-0000-0000-00001E050000}"/>
    <cellStyle name="Comma 5" xfId="1375" xr:uid="{00000000-0005-0000-0000-00001F050000}"/>
    <cellStyle name="Comma 5 10" xfId="1376" xr:uid="{00000000-0005-0000-0000-000020050000}"/>
    <cellStyle name="Comma 5 10 2" xfId="1377" xr:uid="{00000000-0005-0000-0000-000021050000}"/>
    <cellStyle name="Comma 5 10 2 2" xfId="1378" xr:uid="{00000000-0005-0000-0000-000022050000}"/>
    <cellStyle name="Comma 5 10 2 3" xfId="1379" xr:uid="{00000000-0005-0000-0000-000023050000}"/>
    <cellStyle name="Comma 5 10 3" xfId="1380" xr:uid="{00000000-0005-0000-0000-000024050000}"/>
    <cellStyle name="Comma 5 100" xfId="1381" xr:uid="{00000000-0005-0000-0000-000025050000}"/>
    <cellStyle name="Comma 5 101" xfId="1382" xr:uid="{00000000-0005-0000-0000-000026050000}"/>
    <cellStyle name="Comma 5 102" xfId="1383" xr:uid="{00000000-0005-0000-0000-000027050000}"/>
    <cellStyle name="Comma 5 103" xfId="1384" xr:uid="{00000000-0005-0000-0000-000028050000}"/>
    <cellStyle name="Comma 5 104" xfId="1385" xr:uid="{00000000-0005-0000-0000-000029050000}"/>
    <cellStyle name="Comma 5 105" xfId="1386" xr:uid="{00000000-0005-0000-0000-00002A050000}"/>
    <cellStyle name="Comma 5 106" xfId="1387" xr:uid="{00000000-0005-0000-0000-00002B050000}"/>
    <cellStyle name="Comma 5 107" xfId="1388" xr:uid="{00000000-0005-0000-0000-00002C050000}"/>
    <cellStyle name="Comma 5 108" xfId="1389" xr:uid="{00000000-0005-0000-0000-00002D050000}"/>
    <cellStyle name="Comma 5 109" xfId="1390" xr:uid="{00000000-0005-0000-0000-00002E050000}"/>
    <cellStyle name="Comma 5 11" xfId="1391" xr:uid="{00000000-0005-0000-0000-00002F050000}"/>
    <cellStyle name="Comma 5 11 2" xfId="1392" xr:uid="{00000000-0005-0000-0000-000030050000}"/>
    <cellStyle name="Comma 5 11 2 2" xfId="1393" xr:uid="{00000000-0005-0000-0000-000031050000}"/>
    <cellStyle name="Comma 5 11 2 3" xfId="1394" xr:uid="{00000000-0005-0000-0000-000032050000}"/>
    <cellStyle name="Comma 5 11 3" xfId="1395" xr:uid="{00000000-0005-0000-0000-000033050000}"/>
    <cellStyle name="Comma 5 110" xfId="1396" xr:uid="{00000000-0005-0000-0000-000034050000}"/>
    <cellStyle name="Comma 5 111" xfId="1397" xr:uid="{00000000-0005-0000-0000-000035050000}"/>
    <cellStyle name="Comma 5 112" xfId="1398" xr:uid="{00000000-0005-0000-0000-000036050000}"/>
    <cellStyle name="Comma 5 113" xfId="1399" xr:uid="{00000000-0005-0000-0000-000037050000}"/>
    <cellStyle name="Comma 5 114" xfId="1400" xr:uid="{00000000-0005-0000-0000-000038050000}"/>
    <cellStyle name="Comma 5 115" xfId="1401" xr:uid="{00000000-0005-0000-0000-000039050000}"/>
    <cellStyle name="Comma 5 116" xfId="1402" xr:uid="{00000000-0005-0000-0000-00003A050000}"/>
    <cellStyle name="Comma 5 117" xfId="1403" xr:uid="{00000000-0005-0000-0000-00003B050000}"/>
    <cellStyle name="Comma 5 118" xfId="1404" xr:uid="{00000000-0005-0000-0000-00003C050000}"/>
    <cellStyle name="Comma 5 119" xfId="1405" xr:uid="{00000000-0005-0000-0000-00003D050000}"/>
    <cellStyle name="Comma 5 12" xfId="1406" xr:uid="{00000000-0005-0000-0000-00003E050000}"/>
    <cellStyle name="Comma 5 12 2" xfId="1407" xr:uid="{00000000-0005-0000-0000-00003F050000}"/>
    <cellStyle name="Comma 5 12 2 2" xfId="1408" xr:uid="{00000000-0005-0000-0000-000040050000}"/>
    <cellStyle name="Comma 5 12 2 3" xfId="1409" xr:uid="{00000000-0005-0000-0000-000041050000}"/>
    <cellStyle name="Comma 5 12 3" xfId="1410" xr:uid="{00000000-0005-0000-0000-000042050000}"/>
    <cellStyle name="Comma 5 120" xfId="1411" xr:uid="{00000000-0005-0000-0000-000043050000}"/>
    <cellStyle name="Comma 5 121" xfId="1412" xr:uid="{00000000-0005-0000-0000-000044050000}"/>
    <cellStyle name="Comma 5 122" xfId="1413" xr:uid="{00000000-0005-0000-0000-000045050000}"/>
    <cellStyle name="Comma 5 123" xfId="1414" xr:uid="{00000000-0005-0000-0000-000046050000}"/>
    <cellStyle name="Comma 5 124" xfId="1415" xr:uid="{00000000-0005-0000-0000-000047050000}"/>
    <cellStyle name="Comma 5 125" xfId="1416" xr:uid="{00000000-0005-0000-0000-000048050000}"/>
    <cellStyle name="Comma 5 126" xfId="1417" xr:uid="{00000000-0005-0000-0000-000049050000}"/>
    <cellStyle name="Comma 5 127" xfId="1418" xr:uid="{00000000-0005-0000-0000-00004A050000}"/>
    <cellStyle name="Comma 5 128" xfId="1419" xr:uid="{00000000-0005-0000-0000-00004B050000}"/>
    <cellStyle name="Comma 5 129" xfId="1420" xr:uid="{00000000-0005-0000-0000-00004C050000}"/>
    <cellStyle name="Comma 5 13" xfId="1421" xr:uid="{00000000-0005-0000-0000-00004D050000}"/>
    <cellStyle name="Comma 5 13 2" xfId="1422" xr:uid="{00000000-0005-0000-0000-00004E050000}"/>
    <cellStyle name="Comma 5 13 2 2" xfId="1423" xr:uid="{00000000-0005-0000-0000-00004F050000}"/>
    <cellStyle name="Comma 5 13 2 3" xfId="1424" xr:uid="{00000000-0005-0000-0000-000050050000}"/>
    <cellStyle name="Comma 5 13 3" xfId="1425" xr:uid="{00000000-0005-0000-0000-000051050000}"/>
    <cellStyle name="Comma 5 13 3 2" xfId="1426" xr:uid="{00000000-0005-0000-0000-000052050000}"/>
    <cellStyle name="Comma 5 130" xfId="1427" xr:uid="{00000000-0005-0000-0000-000053050000}"/>
    <cellStyle name="Comma 5 131" xfId="1428" xr:uid="{00000000-0005-0000-0000-000054050000}"/>
    <cellStyle name="Comma 5 132" xfId="1429" xr:uid="{00000000-0005-0000-0000-000055050000}"/>
    <cellStyle name="Comma 5 133" xfId="1430" xr:uid="{00000000-0005-0000-0000-000056050000}"/>
    <cellStyle name="Comma 5 134" xfId="1431" xr:uid="{00000000-0005-0000-0000-000057050000}"/>
    <cellStyle name="Comma 5 135" xfId="1432" xr:uid="{00000000-0005-0000-0000-000058050000}"/>
    <cellStyle name="Comma 5 136" xfId="1433" xr:uid="{00000000-0005-0000-0000-000059050000}"/>
    <cellStyle name="Comma 5 137" xfId="1434" xr:uid="{00000000-0005-0000-0000-00005A050000}"/>
    <cellStyle name="Comma 5 14" xfId="1435" xr:uid="{00000000-0005-0000-0000-00005B050000}"/>
    <cellStyle name="Comma 5 14 2" xfId="1436" xr:uid="{00000000-0005-0000-0000-00005C050000}"/>
    <cellStyle name="Comma 5 14 3" xfId="1437" xr:uid="{00000000-0005-0000-0000-00005D050000}"/>
    <cellStyle name="Comma 5 14 4" xfId="1438" xr:uid="{00000000-0005-0000-0000-00005E050000}"/>
    <cellStyle name="Comma 5 15" xfId="1439" xr:uid="{00000000-0005-0000-0000-00005F050000}"/>
    <cellStyle name="Comma 5 15 2" xfId="1440" xr:uid="{00000000-0005-0000-0000-000060050000}"/>
    <cellStyle name="Comma 5 16" xfId="1441" xr:uid="{00000000-0005-0000-0000-000061050000}"/>
    <cellStyle name="Comma 5 16 2" xfId="1442" xr:uid="{00000000-0005-0000-0000-000062050000}"/>
    <cellStyle name="Comma 5 17" xfId="1443" xr:uid="{00000000-0005-0000-0000-000063050000}"/>
    <cellStyle name="Comma 5 17 2" xfId="1444" xr:uid="{00000000-0005-0000-0000-000064050000}"/>
    <cellStyle name="Comma 5 18" xfId="1445" xr:uid="{00000000-0005-0000-0000-000065050000}"/>
    <cellStyle name="Comma 5 18 2" xfId="1446" xr:uid="{00000000-0005-0000-0000-000066050000}"/>
    <cellStyle name="Comma 5 19" xfId="1447" xr:uid="{00000000-0005-0000-0000-000067050000}"/>
    <cellStyle name="Comma 5 19 2" xfId="1448" xr:uid="{00000000-0005-0000-0000-000068050000}"/>
    <cellStyle name="Comma 5 2" xfId="1449" xr:uid="{00000000-0005-0000-0000-000069050000}"/>
    <cellStyle name="Comma 5 2 10" xfId="1450" xr:uid="{00000000-0005-0000-0000-00006A050000}"/>
    <cellStyle name="Comma 5 2 10 2" xfId="1451" xr:uid="{00000000-0005-0000-0000-00006B050000}"/>
    <cellStyle name="Comma 5 2 11" xfId="1452" xr:uid="{00000000-0005-0000-0000-00006C050000}"/>
    <cellStyle name="Comma 5 2 11 2" xfId="1453" xr:uid="{00000000-0005-0000-0000-00006D050000}"/>
    <cellStyle name="Comma 5 2 12" xfId="1454" xr:uid="{00000000-0005-0000-0000-00006E050000}"/>
    <cellStyle name="Comma 5 2 13" xfId="1455" xr:uid="{00000000-0005-0000-0000-00006F050000}"/>
    <cellStyle name="Comma 5 2 14" xfId="1456" xr:uid="{00000000-0005-0000-0000-000070050000}"/>
    <cellStyle name="Comma 5 2 14 2" xfId="1457" xr:uid="{00000000-0005-0000-0000-000071050000}"/>
    <cellStyle name="Comma 5 2 15" xfId="1458" xr:uid="{00000000-0005-0000-0000-000072050000}"/>
    <cellStyle name="Comma 5 2 2" xfId="1459" xr:uid="{00000000-0005-0000-0000-000073050000}"/>
    <cellStyle name="Comma 5 2 2 10" xfId="1460" xr:uid="{00000000-0005-0000-0000-000074050000}"/>
    <cellStyle name="Comma 5 2 2 10 2" xfId="1461" xr:uid="{00000000-0005-0000-0000-000075050000}"/>
    <cellStyle name="Comma 5 2 2 10 2 2" xfId="1462" xr:uid="{00000000-0005-0000-0000-000076050000}"/>
    <cellStyle name="Comma 5 2 2 10 3" xfId="1463" xr:uid="{00000000-0005-0000-0000-000077050000}"/>
    <cellStyle name="Comma 5 2 2 11" xfId="1464" xr:uid="{00000000-0005-0000-0000-000078050000}"/>
    <cellStyle name="Comma 5 2 2 11 2" xfId="1465" xr:uid="{00000000-0005-0000-0000-000079050000}"/>
    <cellStyle name="Comma 5 2 2 11 2 2" xfId="1466" xr:uid="{00000000-0005-0000-0000-00007A050000}"/>
    <cellStyle name="Comma 5 2 2 11 3" xfId="1467" xr:uid="{00000000-0005-0000-0000-00007B050000}"/>
    <cellStyle name="Comma 5 2 2 12" xfId="1468" xr:uid="{00000000-0005-0000-0000-00007C050000}"/>
    <cellStyle name="Comma 5 2 2 12 2" xfId="1469" xr:uid="{00000000-0005-0000-0000-00007D050000}"/>
    <cellStyle name="Comma 5 2 2 12 2 2" xfId="1470" xr:uid="{00000000-0005-0000-0000-00007E050000}"/>
    <cellStyle name="Comma 5 2 2 12 3" xfId="1471" xr:uid="{00000000-0005-0000-0000-00007F050000}"/>
    <cellStyle name="Comma 5 2 2 12 4" xfId="1472" xr:uid="{00000000-0005-0000-0000-000080050000}"/>
    <cellStyle name="Comma 5 2 2 13" xfId="1473" xr:uid="{00000000-0005-0000-0000-000081050000}"/>
    <cellStyle name="Comma 5 2 2 13 2" xfId="1474" xr:uid="{00000000-0005-0000-0000-000082050000}"/>
    <cellStyle name="Comma 5 2 2 13 2 2" xfId="1475" xr:uid="{00000000-0005-0000-0000-000083050000}"/>
    <cellStyle name="Comma 5 2 2 13 3" xfId="1476" xr:uid="{00000000-0005-0000-0000-000084050000}"/>
    <cellStyle name="Comma 5 2 2 14" xfId="1477" xr:uid="{00000000-0005-0000-0000-000085050000}"/>
    <cellStyle name="Comma 5 2 2 15" xfId="1478" xr:uid="{00000000-0005-0000-0000-000086050000}"/>
    <cellStyle name="Comma 5 2 2 2" xfId="1479" xr:uid="{00000000-0005-0000-0000-000087050000}"/>
    <cellStyle name="Comma 5 2 2 2 2" xfId="1480" xr:uid="{00000000-0005-0000-0000-000088050000}"/>
    <cellStyle name="Comma 5 2 2 2 2 2" xfId="1481" xr:uid="{00000000-0005-0000-0000-000089050000}"/>
    <cellStyle name="Comma 5 2 2 2 3" xfId="1482" xr:uid="{00000000-0005-0000-0000-00008A050000}"/>
    <cellStyle name="Comma 5 2 2 3" xfId="1483" xr:uid="{00000000-0005-0000-0000-00008B050000}"/>
    <cellStyle name="Comma 5 2 2 3 2" xfId="1484" xr:uid="{00000000-0005-0000-0000-00008C050000}"/>
    <cellStyle name="Comma 5 2 2 3 2 2" xfId="1485" xr:uid="{00000000-0005-0000-0000-00008D050000}"/>
    <cellStyle name="Comma 5 2 2 3 3" xfId="1486" xr:uid="{00000000-0005-0000-0000-00008E050000}"/>
    <cellStyle name="Comma 5 2 2 4" xfId="1487" xr:uid="{00000000-0005-0000-0000-00008F050000}"/>
    <cellStyle name="Comma 5 2 2 4 2" xfId="1488" xr:uid="{00000000-0005-0000-0000-000090050000}"/>
    <cellStyle name="Comma 5 2 2 4 2 2" xfId="1489" xr:uid="{00000000-0005-0000-0000-000091050000}"/>
    <cellStyle name="Comma 5 2 2 4 3" xfId="1490" xr:uid="{00000000-0005-0000-0000-000092050000}"/>
    <cellStyle name="Comma 5 2 2 5" xfId="1491" xr:uid="{00000000-0005-0000-0000-000093050000}"/>
    <cellStyle name="Comma 5 2 2 5 2" xfId="1492" xr:uid="{00000000-0005-0000-0000-000094050000}"/>
    <cellStyle name="Comma 5 2 2 5 2 2" xfId="1493" xr:uid="{00000000-0005-0000-0000-000095050000}"/>
    <cellStyle name="Comma 5 2 2 5 3" xfId="1494" xr:uid="{00000000-0005-0000-0000-000096050000}"/>
    <cellStyle name="Comma 5 2 2 6" xfId="1495" xr:uid="{00000000-0005-0000-0000-000097050000}"/>
    <cellStyle name="Comma 5 2 2 6 2" xfId="1496" xr:uid="{00000000-0005-0000-0000-000098050000}"/>
    <cellStyle name="Comma 5 2 2 6 2 2" xfId="1497" xr:uid="{00000000-0005-0000-0000-000099050000}"/>
    <cellStyle name="Comma 5 2 2 6 3" xfId="1498" xr:uid="{00000000-0005-0000-0000-00009A050000}"/>
    <cellStyle name="Comma 5 2 2 7" xfId="1499" xr:uid="{00000000-0005-0000-0000-00009B050000}"/>
    <cellStyle name="Comma 5 2 2 7 2" xfId="1500" xr:uid="{00000000-0005-0000-0000-00009C050000}"/>
    <cellStyle name="Comma 5 2 2 7 2 2" xfId="1501" xr:uid="{00000000-0005-0000-0000-00009D050000}"/>
    <cellStyle name="Comma 5 2 2 7 3" xfId="1502" xr:uid="{00000000-0005-0000-0000-00009E050000}"/>
    <cellStyle name="Comma 5 2 2 8" xfId="1503" xr:uid="{00000000-0005-0000-0000-00009F050000}"/>
    <cellStyle name="Comma 5 2 2 8 2" xfId="1504" xr:uid="{00000000-0005-0000-0000-0000A0050000}"/>
    <cellStyle name="Comma 5 2 2 8 2 2" xfId="1505" xr:uid="{00000000-0005-0000-0000-0000A1050000}"/>
    <cellStyle name="Comma 5 2 2 8 3" xfId="1506" xr:uid="{00000000-0005-0000-0000-0000A2050000}"/>
    <cellStyle name="Comma 5 2 2 9" xfId="1507" xr:uid="{00000000-0005-0000-0000-0000A3050000}"/>
    <cellStyle name="Comma 5 2 2 9 2" xfId="1508" xr:uid="{00000000-0005-0000-0000-0000A4050000}"/>
    <cellStyle name="Comma 5 2 2 9 2 2" xfId="1509" xr:uid="{00000000-0005-0000-0000-0000A5050000}"/>
    <cellStyle name="Comma 5 2 2 9 3" xfId="1510" xr:uid="{00000000-0005-0000-0000-0000A6050000}"/>
    <cellStyle name="Comma 5 2 3" xfId="1511" xr:uid="{00000000-0005-0000-0000-0000A7050000}"/>
    <cellStyle name="Comma 5 2 3 2" xfId="1512" xr:uid="{00000000-0005-0000-0000-0000A8050000}"/>
    <cellStyle name="Comma 5 2 4" xfId="1513" xr:uid="{00000000-0005-0000-0000-0000A9050000}"/>
    <cellStyle name="Comma 5 2 4 2" xfId="1514" xr:uid="{00000000-0005-0000-0000-0000AA050000}"/>
    <cellStyle name="Comma 5 2 5" xfId="1515" xr:uid="{00000000-0005-0000-0000-0000AB050000}"/>
    <cellStyle name="Comma 5 2 5 2" xfId="1516" xr:uid="{00000000-0005-0000-0000-0000AC050000}"/>
    <cellStyle name="Comma 5 2 6" xfId="1517" xr:uid="{00000000-0005-0000-0000-0000AD050000}"/>
    <cellStyle name="Comma 5 2 6 2" xfId="1518" xr:uid="{00000000-0005-0000-0000-0000AE050000}"/>
    <cellStyle name="Comma 5 2 7" xfId="1519" xr:uid="{00000000-0005-0000-0000-0000AF050000}"/>
    <cellStyle name="Comma 5 2 7 2" xfId="1520" xr:uid="{00000000-0005-0000-0000-0000B0050000}"/>
    <cellStyle name="Comma 5 2 8" xfId="1521" xr:uid="{00000000-0005-0000-0000-0000B1050000}"/>
    <cellStyle name="Comma 5 2 8 2" xfId="1522" xr:uid="{00000000-0005-0000-0000-0000B2050000}"/>
    <cellStyle name="Comma 5 2 9" xfId="1523" xr:uid="{00000000-0005-0000-0000-0000B3050000}"/>
    <cellStyle name="Comma 5 2 9 2" xfId="1524" xr:uid="{00000000-0005-0000-0000-0000B4050000}"/>
    <cellStyle name="Comma 5 20" xfId="1525" xr:uid="{00000000-0005-0000-0000-0000B5050000}"/>
    <cellStyle name="Comma 5 20 2" xfId="1526" xr:uid="{00000000-0005-0000-0000-0000B6050000}"/>
    <cellStyle name="Comma 5 21" xfId="1527" xr:uid="{00000000-0005-0000-0000-0000B7050000}"/>
    <cellStyle name="Comma 5 21 2" xfId="1528" xr:uid="{00000000-0005-0000-0000-0000B8050000}"/>
    <cellStyle name="Comma 5 22" xfId="1529" xr:uid="{00000000-0005-0000-0000-0000B9050000}"/>
    <cellStyle name="Comma 5 22 2" xfId="1530" xr:uid="{00000000-0005-0000-0000-0000BA050000}"/>
    <cellStyle name="Comma 5 23" xfId="1531" xr:uid="{00000000-0005-0000-0000-0000BB050000}"/>
    <cellStyle name="Comma 5 23 2" xfId="1532" xr:uid="{00000000-0005-0000-0000-0000BC050000}"/>
    <cellStyle name="Comma 5 24" xfId="1533" xr:uid="{00000000-0005-0000-0000-0000BD050000}"/>
    <cellStyle name="Comma 5 24 2" xfId="1534" xr:uid="{00000000-0005-0000-0000-0000BE050000}"/>
    <cellStyle name="Comma 5 25" xfId="1535" xr:uid="{00000000-0005-0000-0000-0000BF050000}"/>
    <cellStyle name="Comma 5 25 2" xfId="1536" xr:uid="{00000000-0005-0000-0000-0000C0050000}"/>
    <cellStyle name="Comma 5 26" xfId="1537" xr:uid="{00000000-0005-0000-0000-0000C1050000}"/>
    <cellStyle name="Comma 5 26 2" xfId="1538" xr:uid="{00000000-0005-0000-0000-0000C2050000}"/>
    <cellStyle name="Comma 5 27" xfId="1539" xr:uid="{00000000-0005-0000-0000-0000C3050000}"/>
    <cellStyle name="Comma 5 27 2" xfId="1540" xr:uid="{00000000-0005-0000-0000-0000C4050000}"/>
    <cellStyle name="Comma 5 28" xfId="1541" xr:uid="{00000000-0005-0000-0000-0000C5050000}"/>
    <cellStyle name="Comma 5 28 2" xfId="1542" xr:uid="{00000000-0005-0000-0000-0000C6050000}"/>
    <cellStyle name="Comma 5 29" xfId="1543" xr:uid="{00000000-0005-0000-0000-0000C7050000}"/>
    <cellStyle name="Comma 5 29 2" xfId="1544" xr:uid="{00000000-0005-0000-0000-0000C8050000}"/>
    <cellStyle name="Comma 5 3" xfId="1545" xr:uid="{00000000-0005-0000-0000-0000C9050000}"/>
    <cellStyle name="Comma 5 3 10" xfId="1546" xr:uid="{00000000-0005-0000-0000-0000CA050000}"/>
    <cellStyle name="Comma 5 3 10 2" xfId="1547" xr:uid="{00000000-0005-0000-0000-0000CB050000}"/>
    <cellStyle name="Comma 5 3 10 2 2" xfId="1548" xr:uid="{00000000-0005-0000-0000-0000CC050000}"/>
    <cellStyle name="Comma 5 3 10 3" xfId="1549" xr:uid="{00000000-0005-0000-0000-0000CD050000}"/>
    <cellStyle name="Comma 5 3 11" xfId="1550" xr:uid="{00000000-0005-0000-0000-0000CE050000}"/>
    <cellStyle name="Comma 5 3 11 2" xfId="1551" xr:uid="{00000000-0005-0000-0000-0000CF050000}"/>
    <cellStyle name="Comma 5 3 11 2 2" xfId="1552" xr:uid="{00000000-0005-0000-0000-0000D0050000}"/>
    <cellStyle name="Comma 5 3 11 3" xfId="1553" xr:uid="{00000000-0005-0000-0000-0000D1050000}"/>
    <cellStyle name="Comma 5 3 12" xfId="1554" xr:uid="{00000000-0005-0000-0000-0000D2050000}"/>
    <cellStyle name="Comma 5 3 12 2" xfId="1555" xr:uid="{00000000-0005-0000-0000-0000D3050000}"/>
    <cellStyle name="Comma 5 3 12 3" xfId="1556" xr:uid="{00000000-0005-0000-0000-0000D4050000}"/>
    <cellStyle name="Comma 5 3 13" xfId="1557" xr:uid="{00000000-0005-0000-0000-0000D5050000}"/>
    <cellStyle name="Comma 5 3 13 2" xfId="1558" xr:uid="{00000000-0005-0000-0000-0000D6050000}"/>
    <cellStyle name="Comma 5 3 13 3" xfId="1559" xr:uid="{00000000-0005-0000-0000-0000D7050000}"/>
    <cellStyle name="Comma 5 3 14" xfId="1560" xr:uid="{00000000-0005-0000-0000-0000D8050000}"/>
    <cellStyle name="Comma 5 3 15" xfId="1561" xr:uid="{00000000-0005-0000-0000-0000D9050000}"/>
    <cellStyle name="Comma 5 3 2" xfId="1562" xr:uid="{00000000-0005-0000-0000-0000DA050000}"/>
    <cellStyle name="Comma 5 3 2 2" xfId="1563" xr:uid="{00000000-0005-0000-0000-0000DB050000}"/>
    <cellStyle name="Comma 5 3 2 2 2" xfId="1564" xr:uid="{00000000-0005-0000-0000-0000DC050000}"/>
    <cellStyle name="Comma 5 3 2 3" xfId="1565" xr:uid="{00000000-0005-0000-0000-0000DD050000}"/>
    <cellStyle name="Comma 5 3 3" xfId="1566" xr:uid="{00000000-0005-0000-0000-0000DE050000}"/>
    <cellStyle name="Comma 5 3 3 2" xfId="1567" xr:uid="{00000000-0005-0000-0000-0000DF050000}"/>
    <cellStyle name="Comma 5 3 3 2 2" xfId="1568" xr:uid="{00000000-0005-0000-0000-0000E0050000}"/>
    <cellStyle name="Comma 5 3 3 3" xfId="1569" xr:uid="{00000000-0005-0000-0000-0000E1050000}"/>
    <cellStyle name="Comma 5 3 4" xfId="1570" xr:uid="{00000000-0005-0000-0000-0000E2050000}"/>
    <cellStyle name="Comma 5 3 4 2" xfId="1571" xr:uid="{00000000-0005-0000-0000-0000E3050000}"/>
    <cellStyle name="Comma 5 3 4 2 2" xfId="1572" xr:uid="{00000000-0005-0000-0000-0000E4050000}"/>
    <cellStyle name="Comma 5 3 4 3" xfId="1573" xr:uid="{00000000-0005-0000-0000-0000E5050000}"/>
    <cellStyle name="Comma 5 3 5" xfId="1574" xr:uid="{00000000-0005-0000-0000-0000E6050000}"/>
    <cellStyle name="Comma 5 3 5 2" xfId="1575" xr:uid="{00000000-0005-0000-0000-0000E7050000}"/>
    <cellStyle name="Comma 5 3 5 2 2" xfId="1576" xr:uid="{00000000-0005-0000-0000-0000E8050000}"/>
    <cellStyle name="Comma 5 3 5 3" xfId="1577" xr:uid="{00000000-0005-0000-0000-0000E9050000}"/>
    <cellStyle name="Comma 5 3 6" xfId="1578" xr:uid="{00000000-0005-0000-0000-0000EA050000}"/>
    <cellStyle name="Comma 5 3 6 2" xfId="1579" xr:uid="{00000000-0005-0000-0000-0000EB050000}"/>
    <cellStyle name="Comma 5 3 6 2 2" xfId="1580" xr:uid="{00000000-0005-0000-0000-0000EC050000}"/>
    <cellStyle name="Comma 5 3 6 3" xfId="1581" xr:uid="{00000000-0005-0000-0000-0000ED050000}"/>
    <cellStyle name="Comma 5 3 7" xfId="1582" xr:uid="{00000000-0005-0000-0000-0000EE050000}"/>
    <cellStyle name="Comma 5 3 7 2" xfId="1583" xr:uid="{00000000-0005-0000-0000-0000EF050000}"/>
    <cellStyle name="Comma 5 3 7 2 2" xfId="1584" xr:uid="{00000000-0005-0000-0000-0000F0050000}"/>
    <cellStyle name="Comma 5 3 7 3" xfId="1585" xr:uid="{00000000-0005-0000-0000-0000F1050000}"/>
    <cellStyle name="Comma 5 3 8" xfId="1586" xr:uid="{00000000-0005-0000-0000-0000F2050000}"/>
    <cellStyle name="Comma 5 3 8 2" xfId="1587" xr:uid="{00000000-0005-0000-0000-0000F3050000}"/>
    <cellStyle name="Comma 5 3 8 2 2" xfId="1588" xr:uid="{00000000-0005-0000-0000-0000F4050000}"/>
    <cellStyle name="Comma 5 3 8 3" xfId="1589" xr:uid="{00000000-0005-0000-0000-0000F5050000}"/>
    <cellStyle name="Comma 5 3 9" xfId="1590" xr:uid="{00000000-0005-0000-0000-0000F6050000}"/>
    <cellStyle name="Comma 5 3 9 2" xfId="1591" xr:uid="{00000000-0005-0000-0000-0000F7050000}"/>
    <cellStyle name="Comma 5 3 9 2 2" xfId="1592" xr:uid="{00000000-0005-0000-0000-0000F8050000}"/>
    <cellStyle name="Comma 5 3 9 3" xfId="1593" xr:uid="{00000000-0005-0000-0000-0000F9050000}"/>
    <cellStyle name="Comma 5 30" xfId="1594" xr:uid="{00000000-0005-0000-0000-0000FA050000}"/>
    <cellStyle name="Comma 5 30 2" xfId="1595" xr:uid="{00000000-0005-0000-0000-0000FB050000}"/>
    <cellStyle name="Comma 5 31" xfId="1596" xr:uid="{00000000-0005-0000-0000-0000FC050000}"/>
    <cellStyle name="Comma 5 31 2" xfId="1597" xr:uid="{00000000-0005-0000-0000-0000FD050000}"/>
    <cellStyle name="Comma 5 32" xfId="1598" xr:uid="{00000000-0005-0000-0000-0000FE050000}"/>
    <cellStyle name="Comma 5 32 2" xfId="1599" xr:uid="{00000000-0005-0000-0000-0000FF050000}"/>
    <cellStyle name="Comma 5 33" xfId="1600" xr:uid="{00000000-0005-0000-0000-000000060000}"/>
    <cellStyle name="Comma 5 33 2" xfId="1601" xr:uid="{00000000-0005-0000-0000-000001060000}"/>
    <cellStyle name="Comma 5 34" xfId="1602" xr:uid="{00000000-0005-0000-0000-000002060000}"/>
    <cellStyle name="Comma 5 34 2" xfId="1603" xr:uid="{00000000-0005-0000-0000-000003060000}"/>
    <cellStyle name="Comma 5 35" xfId="1604" xr:uid="{00000000-0005-0000-0000-000004060000}"/>
    <cellStyle name="Comma 5 35 2" xfId="1605" xr:uid="{00000000-0005-0000-0000-000005060000}"/>
    <cellStyle name="Comma 5 36" xfId="1606" xr:uid="{00000000-0005-0000-0000-000006060000}"/>
    <cellStyle name="Comma 5 36 2" xfId="1607" xr:uid="{00000000-0005-0000-0000-000007060000}"/>
    <cellStyle name="Comma 5 37" xfId="1608" xr:uid="{00000000-0005-0000-0000-000008060000}"/>
    <cellStyle name="Comma 5 37 2" xfId="1609" xr:uid="{00000000-0005-0000-0000-000009060000}"/>
    <cellStyle name="Comma 5 38" xfId="1610" xr:uid="{00000000-0005-0000-0000-00000A060000}"/>
    <cellStyle name="Comma 5 38 2" xfId="1611" xr:uid="{00000000-0005-0000-0000-00000B060000}"/>
    <cellStyle name="Comma 5 39" xfId="1612" xr:uid="{00000000-0005-0000-0000-00000C060000}"/>
    <cellStyle name="Comma 5 39 2" xfId="1613" xr:uid="{00000000-0005-0000-0000-00000D060000}"/>
    <cellStyle name="Comma 5 4" xfId="1614" xr:uid="{00000000-0005-0000-0000-00000E060000}"/>
    <cellStyle name="Comma 5 4 2" xfId="1615" xr:uid="{00000000-0005-0000-0000-00000F060000}"/>
    <cellStyle name="Comma 5 4 2 2" xfId="1616" xr:uid="{00000000-0005-0000-0000-000010060000}"/>
    <cellStyle name="Comma 5 4 2 3" xfId="1617" xr:uid="{00000000-0005-0000-0000-000011060000}"/>
    <cellStyle name="Comma 5 4 3" xfId="1618" xr:uid="{00000000-0005-0000-0000-000012060000}"/>
    <cellStyle name="Comma 5 40" xfId="1619" xr:uid="{00000000-0005-0000-0000-000013060000}"/>
    <cellStyle name="Comma 5 40 2" xfId="1620" xr:uid="{00000000-0005-0000-0000-000014060000}"/>
    <cellStyle name="Comma 5 41" xfId="1621" xr:uid="{00000000-0005-0000-0000-000015060000}"/>
    <cellStyle name="Comma 5 41 2" xfId="1622" xr:uid="{00000000-0005-0000-0000-000016060000}"/>
    <cellStyle name="Comma 5 42" xfId="1623" xr:uid="{00000000-0005-0000-0000-000017060000}"/>
    <cellStyle name="Comma 5 42 2" xfId="1624" xr:uid="{00000000-0005-0000-0000-000018060000}"/>
    <cellStyle name="Comma 5 43" xfId="1625" xr:uid="{00000000-0005-0000-0000-000019060000}"/>
    <cellStyle name="Comma 5 43 2" xfId="1626" xr:uid="{00000000-0005-0000-0000-00001A060000}"/>
    <cellStyle name="Comma 5 44" xfId="1627" xr:uid="{00000000-0005-0000-0000-00001B060000}"/>
    <cellStyle name="Comma 5 44 2" xfId="1628" xr:uid="{00000000-0005-0000-0000-00001C060000}"/>
    <cellStyle name="Comma 5 45" xfId="1629" xr:uid="{00000000-0005-0000-0000-00001D060000}"/>
    <cellStyle name="Comma 5 45 2" xfId="1630" xr:uid="{00000000-0005-0000-0000-00001E060000}"/>
    <cellStyle name="Comma 5 46" xfId="1631" xr:uid="{00000000-0005-0000-0000-00001F060000}"/>
    <cellStyle name="Comma 5 46 2" xfId="1632" xr:uid="{00000000-0005-0000-0000-000020060000}"/>
    <cellStyle name="Comma 5 47" xfId="1633" xr:uid="{00000000-0005-0000-0000-000021060000}"/>
    <cellStyle name="Comma 5 47 2" xfId="1634" xr:uid="{00000000-0005-0000-0000-000022060000}"/>
    <cellStyle name="Comma 5 48" xfId="1635" xr:uid="{00000000-0005-0000-0000-000023060000}"/>
    <cellStyle name="Comma 5 48 2" xfId="1636" xr:uid="{00000000-0005-0000-0000-000024060000}"/>
    <cellStyle name="Comma 5 49" xfId="1637" xr:uid="{00000000-0005-0000-0000-000025060000}"/>
    <cellStyle name="Comma 5 49 2" xfId="1638" xr:uid="{00000000-0005-0000-0000-000026060000}"/>
    <cellStyle name="Comma 5 5" xfId="1639" xr:uid="{00000000-0005-0000-0000-000027060000}"/>
    <cellStyle name="Comma 5 5 2" xfId="1640" xr:uid="{00000000-0005-0000-0000-000028060000}"/>
    <cellStyle name="Comma 5 5 2 2" xfId="1641" xr:uid="{00000000-0005-0000-0000-000029060000}"/>
    <cellStyle name="Comma 5 5 2 3" xfId="1642" xr:uid="{00000000-0005-0000-0000-00002A060000}"/>
    <cellStyle name="Comma 5 5 3" xfId="1643" xr:uid="{00000000-0005-0000-0000-00002B060000}"/>
    <cellStyle name="Comma 5 50" xfId="1644" xr:uid="{00000000-0005-0000-0000-00002C060000}"/>
    <cellStyle name="Comma 5 50 2" xfId="1645" xr:uid="{00000000-0005-0000-0000-00002D060000}"/>
    <cellStyle name="Comma 5 51" xfId="1646" xr:uid="{00000000-0005-0000-0000-00002E060000}"/>
    <cellStyle name="Comma 5 51 2" xfId="1647" xr:uid="{00000000-0005-0000-0000-00002F060000}"/>
    <cellStyle name="Comma 5 52" xfId="1648" xr:uid="{00000000-0005-0000-0000-000030060000}"/>
    <cellStyle name="Comma 5 52 2" xfId="1649" xr:uid="{00000000-0005-0000-0000-000031060000}"/>
    <cellStyle name="Comma 5 53" xfId="1650" xr:uid="{00000000-0005-0000-0000-000032060000}"/>
    <cellStyle name="Comma 5 53 2" xfId="1651" xr:uid="{00000000-0005-0000-0000-000033060000}"/>
    <cellStyle name="Comma 5 54" xfId="1652" xr:uid="{00000000-0005-0000-0000-000034060000}"/>
    <cellStyle name="Comma 5 54 2" xfId="1653" xr:uid="{00000000-0005-0000-0000-000035060000}"/>
    <cellStyle name="Comma 5 55" xfId="1654" xr:uid="{00000000-0005-0000-0000-000036060000}"/>
    <cellStyle name="Comma 5 55 2" xfId="1655" xr:uid="{00000000-0005-0000-0000-000037060000}"/>
    <cellStyle name="Comma 5 56" xfId="1656" xr:uid="{00000000-0005-0000-0000-000038060000}"/>
    <cellStyle name="Comma 5 56 2" xfId="1657" xr:uid="{00000000-0005-0000-0000-000039060000}"/>
    <cellStyle name="Comma 5 57" xfId="1658" xr:uid="{00000000-0005-0000-0000-00003A060000}"/>
    <cellStyle name="Comma 5 57 2" xfId="1659" xr:uid="{00000000-0005-0000-0000-00003B060000}"/>
    <cellStyle name="Comma 5 58" xfId="1660" xr:uid="{00000000-0005-0000-0000-00003C060000}"/>
    <cellStyle name="Comma 5 58 2" xfId="1661" xr:uid="{00000000-0005-0000-0000-00003D060000}"/>
    <cellStyle name="Comma 5 59" xfId="1662" xr:uid="{00000000-0005-0000-0000-00003E060000}"/>
    <cellStyle name="Comma 5 59 2" xfId="1663" xr:uid="{00000000-0005-0000-0000-00003F060000}"/>
    <cellStyle name="Comma 5 6" xfId="1664" xr:uid="{00000000-0005-0000-0000-000040060000}"/>
    <cellStyle name="Comma 5 6 2" xfId="1665" xr:uid="{00000000-0005-0000-0000-000041060000}"/>
    <cellStyle name="Comma 5 6 2 2" xfId="1666" xr:uid="{00000000-0005-0000-0000-000042060000}"/>
    <cellStyle name="Comma 5 6 2 3" xfId="1667" xr:uid="{00000000-0005-0000-0000-000043060000}"/>
    <cellStyle name="Comma 5 6 3" xfId="1668" xr:uid="{00000000-0005-0000-0000-000044060000}"/>
    <cellStyle name="Comma 5 60" xfId="1669" xr:uid="{00000000-0005-0000-0000-000045060000}"/>
    <cellStyle name="Comma 5 60 2" xfId="1670" xr:uid="{00000000-0005-0000-0000-000046060000}"/>
    <cellStyle name="Comma 5 61" xfId="1671" xr:uid="{00000000-0005-0000-0000-000047060000}"/>
    <cellStyle name="Comma 5 61 2" xfId="1672" xr:uid="{00000000-0005-0000-0000-000048060000}"/>
    <cellStyle name="Comma 5 62" xfId="1673" xr:uid="{00000000-0005-0000-0000-000049060000}"/>
    <cellStyle name="Comma 5 63" xfId="1674" xr:uid="{00000000-0005-0000-0000-00004A060000}"/>
    <cellStyle name="Comma 5 64" xfId="1675" xr:uid="{00000000-0005-0000-0000-00004B060000}"/>
    <cellStyle name="Comma 5 65" xfId="1676" xr:uid="{00000000-0005-0000-0000-00004C060000}"/>
    <cellStyle name="Comma 5 66" xfId="1677" xr:uid="{00000000-0005-0000-0000-00004D060000}"/>
    <cellStyle name="Comma 5 67" xfId="1678" xr:uid="{00000000-0005-0000-0000-00004E060000}"/>
    <cellStyle name="Comma 5 68" xfId="1679" xr:uid="{00000000-0005-0000-0000-00004F060000}"/>
    <cellStyle name="Comma 5 69" xfId="1680" xr:uid="{00000000-0005-0000-0000-000050060000}"/>
    <cellStyle name="Comma 5 7" xfId="1681" xr:uid="{00000000-0005-0000-0000-000051060000}"/>
    <cellStyle name="Comma 5 7 2" xfId="1682" xr:uid="{00000000-0005-0000-0000-000052060000}"/>
    <cellStyle name="Comma 5 7 2 2" xfId="1683" xr:uid="{00000000-0005-0000-0000-000053060000}"/>
    <cellStyle name="Comma 5 7 2 3" xfId="1684" xr:uid="{00000000-0005-0000-0000-000054060000}"/>
    <cellStyle name="Comma 5 7 3" xfId="1685" xr:uid="{00000000-0005-0000-0000-000055060000}"/>
    <cellStyle name="Comma 5 70" xfId="1686" xr:uid="{00000000-0005-0000-0000-000056060000}"/>
    <cellStyle name="Comma 5 71" xfId="1687" xr:uid="{00000000-0005-0000-0000-000057060000}"/>
    <cellStyle name="Comma 5 72" xfId="1688" xr:uid="{00000000-0005-0000-0000-000058060000}"/>
    <cellStyle name="Comma 5 73" xfId="1689" xr:uid="{00000000-0005-0000-0000-000059060000}"/>
    <cellStyle name="Comma 5 74" xfId="1690" xr:uid="{00000000-0005-0000-0000-00005A060000}"/>
    <cellStyle name="Comma 5 75" xfId="1691" xr:uid="{00000000-0005-0000-0000-00005B060000}"/>
    <cellStyle name="Comma 5 76" xfId="1692" xr:uid="{00000000-0005-0000-0000-00005C060000}"/>
    <cellStyle name="Comma 5 77" xfId="1693" xr:uid="{00000000-0005-0000-0000-00005D060000}"/>
    <cellStyle name="Comma 5 78" xfId="1694" xr:uid="{00000000-0005-0000-0000-00005E060000}"/>
    <cellStyle name="Comma 5 79" xfId="1695" xr:uid="{00000000-0005-0000-0000-00005F060000}"/>
    <cellStyle name="Comma 5 8" xfId="1696" xr:uid="{00000000-0005-0000-0000-000060060000}"/>
    <cellStyle name="Comma 5 8 2" xfId="1697" xr:uid="{00000000-0005-0000-0000-000061060000}"/>
    <cellStyle name="Comma 5 8 2 2" xfId="1698" xr:uid="{00000000-0005-0000-0000-000062060000}"/>
    <cellStyle name="Comma 5 8 2 3" xfId="1699" xr:uid="{00000000-0005-0000-0000-000063060000}"/>
    <cellStyle name="Comma 5 8 3" xfId="1700" xr:uid="{00000000-0005-0000-0000-000064060000}"/>
    <cellStyle name="Comma 5 80" xfId="1701" xr:uid="{00000000-0005-0000-0000-000065060000}"/>
    <cellStyle name="Comma 5 81" xfId="1702" xr:uid="{00000000-0005-0000-0000-000066060000}"/>
    <cellStyle name="Comma 5 82" xfId="1703" xr:uid="{00000000-0005-0000-0000-000067060000}"/>
    <cellStyle name="Comma 5 83" xfId="1704" xr:uid="{00000000-0005-0000-0000-000068060000}"/>
    <cellStyle name="Comma 5 84" xfId="1705" xr:uid="{00000000-0005-0000-0000-000069060000}"/>
    <cellStyle name="Comma 5 85" xfId="1706" xr:uid="{00000000-0005-0000-0000-00006A060000}"/>
    <cellStyle name="Comma 5 86" xfId="1707" xr:uid="{00000000-0005-0000-0000-00006B060000}"/>
    <cellStyle name="Comma 5 87" xfId="1708" xr:uid="{00000000-0005-0000-0000-00006C060000}"/>
    <cellStyle name="Comma 5 88" xfId="1709" xr:uid="{00000000-0005-0000-0000-00006D060000}"/>
    <cellStyle name="Comma 5 89" xfId="1710" xr:uid="{00000000-0005-0000-0000-00006E060000}"/>
    <cellStyle name="Comma 5 9" xfId="1711" xr:uid="{00000000-0005-0000-0000-00006F060000}"/>
    <cellStyle name="Comma 5 9 2" xfId="1712" xr:uid="{00000000-0005-0000-0000-000070060000}"/>
    <cellStyle name="Comma 5 9 2 2" xfId="1713" xr:uid="{00000000-0005-0000-0000-000071060000}"/>
    <cellStyle name="Comma 5 9 2 3" xfId="1714" xr:uid="{00000000-0005-0000-0000-000072060000}"/>
    <cellStyle name="Comma 5 9 3" xfId="1715" xr:uid="{00000000-0005-0000-0000-000073060000}"/>
    <cellStyle name="Comma 5 90" xfId="1716" xr:uid="{00000000-0005-0000-0000-000074060000}"/>
    <cellStyle name="Comma 5 91" xfId="1717" xr:uid="{00000000-0005-0000-0000-000075060000}"/>
    <cellStyle name="Comma 5 92" xfId="1718" xr:uid="{00000000-0005-0000-0000-000076060000}"/>
    <cellStyle name="Comma 5 92 2" xfId="1719" xr:uid="{00000000-0005-0000-0000-000077060000}"/>
    <cellStyle name="Comma 5 93" xfId="1720" xr:uid="{00000000-0005-0000-0000-000078060000}"/>
    <cellStyle name="Comma 5 94" xfId="1721" xr:uid="{00000000-0005-0000-0000-000079060000}"/>
    <cellStyle name="Comma 5 95" xfId="1722" xr:uid="{00000000-0005-0000-0000-00007A060000}"/>
    <cellStyle name="Comma 5 96" xfId="1723" xr:uid="{00000000-0005-0000-0000-00007B060000}"/>
    <cellStyle name="Comma 5 97" xfId="1724" xr:uid="{00000000-0005-0000-0000-00007C060000}"/>
    <cellStyle name="Comma 5 98" xfId="1725" xr:uid="{00000000-0005-0000-0000-00007D060000}"/>
    <cellStyle name="Comma 5 99" xfId="1726" xr:uid="{00000000-0005-0000-0000-00007E060000}"/>
    <cellStyle name="Comma 50" xfId="1727" xr:uid="{00000000-0005-0000-0000-00007F060000}"/>
    <cellStyle name="Comma 51" xfId="1728" xr:uid="{00000000-0005-0000-0000-000080060000}"/>
    <cellStyle name="Comma 52" xfId="1729" xr:uid="{00000000-0005-0000-0000-000081060000}"/>
    <cellStyle name="Comma 53" xfId="1730" xr:uid="{00000000-0005-0000-0000-000082060000}"/>
    <cellStyle name="Comma 54" xfId="1731" xr:uid="{00000000-0005-0000-0000-000083060000}"/>
    <cellStyle name="Comma 55" xfId="1732" xr:uid="{00000000-0005-0000-0000-000084060000}"/>
    <cellStyle name="Comma 56" xfId="1733" xr:uid="{00000000-0005-0000-0000-000085060000}"/>
    <cellStyle name="Comma 57" xfId="1734" xr:uid="{00000000-0005-0000-0000-000086060000}"/>
    <cellStyle name="Comma 58" xfId="1735" xr:uid="{00000000-0005-0000-0000-000087060000}"/>
    <cellStyle name="Comma 59" xfId="1736" xr:uid="{00000000-0005-0000-0000-000088060000}"/>
    <cellStyle name="Comma 6" xfId="1737" xr:uid="{00000000-0005-0000-0000-000089060000}"/>
    <cellStyle name="Comma 6 2" xfId="1738" xr:uid="{00000000-0005-0000-0000-00008A060000}"/>
    <cellStyle name="Comma 60" xfId="1739" xr:uid="{00000000-0005-0000-0000-00008B060000}"/>
    <cellStyle name="Comma 61" xfId="1740" xr:uid="{00000000-0005-0000-0000-00008C060000}"/>
    <cellStyle name="Comma 62" xfId="1741" xr:uid="{00000000-0005-0000-0000-00008D060000}"/>
    <cellStyle name="Comma 63" xfId="1742" xr:uid="{00000000-0005-0000-0000-00008E060000}"/>
    <cellStyle name="Comma 64" xfId="1743" xr:uid="{00000000-0005-0000-0000-00008F060000}"/>
    <cellStyle name="Comma 65" xfId="1744" xr:uid="{00000000-0005-0000-0000-000090060000}"/>
    <cellStyle name="Comma 66" xfId="1745" xr:uid="{00000000-0005-0000-0000-000091060000}"/>
    <cellStyle name="Comma 67" xfId="1746" xr:uid="{00000000-0005-0000-0000-000092060000}"/>
    <cellStyle name="Comma 68" xfId="1747" xr:uid="{00000000-0005-0000-0000-000093060000}"/>
    <cellStyle name="Comma 69" xfId="1748" xr:uid="{00000000-0005-0000-0000-000094060000}"/>
    <cellStyle name="Comma 7" xfId="1749" xr:uid="{00000000-0005-0000-0000-000095060000}"/>
    <cellStyle name="Comma 7 10" xfId="1750" xr:uid="{00000000-0005-0000-0000-000096060000}"/>
    <cellStyle name="Comma 7 11" xfId="1751" xr:uid="{00000000-0005-0000-0000-000097060000}"/>
    <cellStyle name="Comma 7 12" xfId="1752" xr:uid="{00000000-0005-0000-0000-000098060000}"/>
    <cellStyle name="Comma 7 12 2" xfId="1753" xr:uid="{00000000-0005-0000-0000-000099060000}"/>
    <cellStyle name="Comma 7 13" xfId="1754" xr:uid="{00000000-0005-0000-0000-00009A060000}"/>
    <cellStyle name="Comma 7 14" xfId="1755" xr:uid="{00000000-0005-0000-0000-00009B060000}"/>
    <cellStyle name="Comma 7 2" xfId="1756" xr:uid="{00000000-0005-0000-0000-00009C060000}"/>
    <cellStyle name="Comma 7 2 10" xfId="1757" xr:uid="{00000000-0005-0000-0000-00009D060000}"/>
    <cellStyle name="Comma 7 2 10 2" xfId="1758" xr:uid="{00000000-0005-0000-0000-00009E060000}"/>
    <cellStyle name="Comma 7 2 10 2 2" xfId="1759" xr:uid="{00000000-0005-0000-0000-00009F060000}"/>
    <cellStyle name="Comma 7 2 10 3" xfId="1760" xr:uid="{00000000-0005-0000-0000-0000A0060000}"/>
    <cellStyle name="Comma 7 2 11" xfId="1761" xr:uid="{00000000-0005-0000-0000-0000A1060000}"/>
    <cellStyle name="Comma 7 2 11 2" xfId="1762" xr:uid="{00000000-0005-0000-0000-0000A2060000}"/>
    <cellStyle name="Comma 7 2 11 2 2" xfId="1763" xr:uid="{00000000-0005-0000-0000-0000A3060000}"/>
    <cellStyle name="Comma 7 2 11 3" xfId="1764" xr:uid="{00000000-0005-0000-0000-0000A4060000}"/>
    <cellStyle name="Comma 7 2 12" xfId="1765" xr:uid="{00000000-0005-0000-0000-0000A5060000}"/>
    <cellStyle name="Comma 7 2 12 2" xfId="1766" xr:uid="{00000000-0005-0000-0000-0000A6060000}"/>
    <cellStyle name="Comma 7 2 12 3" xfId="1767" xr:uid="{00000000-0005-0000-0000-0000A7060000}"/>
    <cellStyle name="Comma 7 2 13" xfId="1768" xr:uid="{00000000-0005-0000-0000-0000A8060000}"/>
    <cellStyle name="Comma 7 2 13 2" xfId="1769" xr:uid="{00000000-0005-0000-0000-0000A9060000}"/>
    <cellStyle name="Comma 7 2 13 3" xfId="1770" xr:uid="{00000000-0005-0000-0000-0000AA060000}"/>
    <cellStyle name="Comma 7 2 14" xfId="1771" xr:uid="{00000000-0005-0000-0000-0000AB060000}"/>
    <cellStyle name="Comma 7 2 2" xfId="1772" xr:uid="{00000000-0005-0000-0000-0000AC060000}"/>
    <cellStyle name="Comma 7 2 2 2" xfId="1773" xr:uid="{00000000-0005-0000-0000-0000AD060000}"/>
    <cellStyle name="Comma 7 2 2 2 2" xfId="1774" xr:uid="{00000000-0005-0000-0000-0000AE060000}"/>
    <cellStyle name="Comma 7 2 2 3" xfId="1775" xr:uid="{00000000-0005-0000-0000-0000AF060000}"/>
    <cellStyle name="Comma 7 2 3" xfId="1776" xr:uid="{00000000-0005-0000-0000-0000B0060000}"/>
    <cellStyle name="Comma 7 2 3 2" xfId="1777" xr:uid="{00000000-0005-0000-0000-0000B1060000}"/>
    <cellStyle name="Comma 7 2 3 2 2" xfId="1778" xr:uid="{00000000-0005-0000-0000-0000B2060000}"/>
    <cellStyle name="Comma 7 2 3 3" xfId="1779" xr:uid="{00000000-0005-0000-0000-0000B3060000}"/>
    <cellStyle name="Comma 7 2 4" xfId="1780" xr:uid="{00000000-0005-0000-0000-0000B4060000}"/>
    <cellStyle name="Comma 7 2 4 2" xfId="1781" xr:uid="{00000000-0005-0000-0000-0000B5060000}"/>
    <cellStyle name="Comma 7 2 4 2 2" xfId="1782" xr:uid="{00000000-0005-0000-0000-0000B6060000}"/>
    <cellStyle name="Comma 7 2 4 3" xfId="1783" xr:uid="{00000000-0005-0000-0000-0000B7060000}"/>
    <cellStyle name="Comma 7 2 5" xfId="1784" xr:uid="{00000000-0005-0000-0000-0000B8060000}"/>
    <cellStyle name="Comma 7 2 5 2" xfId="1785" xr:uid="{00000000-0005-0000-0000-0000B9060000}"/>
    <cellStyle name="Comma 7 2 5 2 2" xfId="1786" xr:uid="{00000000-0005-0000-0000-0000BA060000}"/>
    <cellStyle name="Comma 7 2 5 3" xfId="1787" xr:uid="{00000000-0005-0000-0000-0000BB060000}"/>
    <cellStyle name="Comma 7 2 6" xfId="1788" xr:uid="{00000000-0005-0000-0000-0000BC060000}"/>
    <cellStyle name="Comma 7 2 6 2" xfId="1789" xr:uid="{00000000-0005-0000-0000-0000BD060000}"/>
    <cellStyle name="Comma 7 2 6 2 2" xfId="1790" xr:uid="{00000000-0005-0000-0000-0000BE060000}"/>
    <cellStyle name="Comma 7 2 6 3" xfId="1791" xr:uid="{00000000-0005-0000-0000-0000BF060000}"/>
    <cellStyle name="Comma 7 2 7" xfId="1792" xr:uid="{00000000-0005-0000-0000-0000C0060000}"/>
    <cellStyle name="Comma 7 2 7 2" xfId="1793" xr:uid="{00000000-0005-0000-0000-0000C1060000}"/>
    <cellStyle name="Comma 7 2 7 2 2" xfId="1794" xr:uid="{00000000-0005-0000-0000-0000C2060000}"/>
    <cellStyle name="Comma 7 2 7 3" xfId="1795" xr:uid="{00000000-0005-0000-0000-0000C3060000}"/>
    <cellStyle name="Comma 7 2 8" xfId="1796" xr:uid="{00000000-0005-0000-0000-0000C4060000}"/>
    <cellStyle name="Comma 7 2 8 2" xfId="1797" xr:uid="{00000000-0005-0000-0000-0000C5060000}"/>
    <cellStyle name="Comma 7 2 8 2 2" xfId="1798" xr:uid="{00000000-0005-0000-0000-0000C6060000}"/>
    <cellStyle name="Comma 7 2 8 3" xfId="1799" xr:uid="{00000000-0005-0000-0000-0000C7060000}"/>
    <cellStyle name="Comma 7 2 9" xfId="1800" xr:uid="{00000000-0005-0000-0000-0000C8060000}"/>
    <cellStyle name="Comma 7 2 9 2" xfId="1801" xr:uid="{00000000-0005-0000-0000-0000C9060000}"/>
    <cellStyle name="Comma 7 2 9 2 2" xfId="1802" xr:uid="{00000000-0005-0000-0000-0000CA060000}"/>
    <cellStyle name="Comma 7 2 9 3" xfId="1803" xr:uid="{00000000-0005-0000-0000-0000CB060000}"/>
    <cellStyle name="Comma 7 3" xfId="1804" xr:uid="{00000000-0005-0000-0000-0000CC060000}"/>
    <cellStyle name="Comma 7 4" xfId="1805" xr:uid="{00000000-0005-0000-0000-0000CD060000}"/>
    <cellStyle name="Comma 7 5" xfId="1806" xr:uid="{00000000-0005-0000-0000-0000CE060000}"/>
    <cellStyle name="Comma 7 6" xfId="1807" xr:uid="{00000000-0005-0000-0000-0000CF060000}"/>
    <cellStyle name="Comma 7 7" xfId="1808" xr:uid="{00000000-0005-0000-0000-0000D0060000}"/>
    <cellStyle name="Comma 7 8" xfId="1809" xr:uid="{00000000-0005-0000-0000-0000D1060000}"/>
    <cellStyle name="Comma 7 9" xfId="1810" xr:uid="{00000000-0005-0000-0000-0000D2060000}"/>
    <cellStyle name="Comma 70" xfId="1811" xr:uid="{00000000-0005-0000-0000-0000D3060000}"/>
    <cellStyle name="Comma 71" xfId="1812" xr:uid="{00000000-0005-0000-0000-0000D4060000}"/>
    <cellStyle name="Comma 72" xfId="1813" xr:uid="{00000000-0005-0000-0000-0000D5060000}"/>
    <cellStyle name="Comma 73" xfId="1814" xr:uid="{00000000-0005-0000-0000-0000D6060000}"/>
    <cellStyle name="Comma 74" xfId="1815" xr:uid="{00000000-0005-0000-0000-0000D7060000}"/>
    <cellStyle name="Comma 75" xfId="1816" xr:uid="{00000000-0005-0000-0000-0000D8060000}"/>
    <cellStyle name="Comma 76" xfId="1817" xr:uid="{00000000-0005-0000-0000-0000D9060000}"/>
    <cellStyle name="Comma 77" xfId="1818" xr:uid="{00000000-0005-0000-0000-0000DA060000}"/>
    <cellStyle name="Comma 78" xfId="1819" xr:uid="{00000000-0005-0000-0000-0000DB060000}"/>
    <cellStyle name="Comma 79" xfId="1820" xr:uid="{00000000-0005-0000-0000-0000DC060000}"/>
    <cellStyle name="Comma 8" xfId="1821" xr:uid="{00000000-0005-0000-0000-0000DD060000}"/>
    <cellStyle name="Comma 8 2" xfId="1822" xr:uid="{00000000-0005-0000-0000-0000DE060000}"/>
    <cellStyle name="Comma 8 2 2" xfId="1823" xr:uid="{00000000-0005-0000-0000-0000DF060000}"/>
    <cellStyle name="Comma 8 2 3" xfId="1824" xr:uid="{00000000-0005-0000-0000-0000E0060000}"/>
    <cellStyle name="Comma 8 3" xfId="1825" xr:uid="{00000000-0005-0000-0000-0000E1060000}"/>
    <cellStyle name="Comma 80" xfId="1826" xr:uid="{00000000-0005-0000-0000-0000E2060000}"/>
    <cellStyle name="Comma 81" xfId="1827" xr:uid="{00000000-0005-0000-0000-0000E3060000}"/>
    <cellStyle name="Comma 82" xfId="1828" xr:uid="{00000000-0005-0000-0000-0000E4060000}"/>
    <cellStyle name="Comma 83" xfId="1829" xr:uid="{00000000-0005-0000-0000-0000E5060000}"/>
    <cellStyle name="Comma 84" xfId="1830" xr:uid="{00000000-0005-0000-0000-0000E6060000}"/>
    <cellStyle name="Comma 85" xfId="1831" xr:uid="{00000000-0005-0000-0000-0000E7060000}"/>
    <cellStyle name="Comma 86" xfId="1832" xr:uid="{00000000-0005-0000-0000-0000E8060000}"/>
    <cellStyle name="Comma 87" xfId="1833" xr:uid="{00000000-0005-0000-0000-0000E9060000}"/>
    <cellStyle name="Comma 88" xfId="1834" xr:uid="{00000000-0005-0000-0000-0000EA060000}"/>
    <cellStyle name="Comma 88 2 2" xfId="35" xr:uid="{00000000-0005-0000-0000-0000EB060000}"/>
    <cellStyle name="Comma 89" xfId="1835" xr:uid="{00000000-0005-0000-0000-0000EC060000}"/>
    <cellStyle name="Comma 9" xfId="1836" xr:uid="{00000000-0005-0000-0000-0000ED060000}"/>
    <cellStyle name="Comma 9 2" xfId="1837" xr:uid="{00000000-0005-0000-0000-0000EE060000}"/>
    <cellStyle name="Comma 9 3" xfId="1838" xr:uid="{00000000-0005-0000-0000-0000EF060000}"/>
    <cellStyle name="Comma 9 4" xfId="1839" xr:uid="{00000000-0005-0000-0000-0000F0060000}"/>
    <cellStyle name="Comma 90" xfId="1840" xr:uid="{00000000-0005-0000-0000-0000F1060000}"/>
    <cellStyle name="Comma 91" xfId="1841" xr:uid="{00000000-0005-0000-0000-0000F2060000}"/>
    <cellStyle name="Comma 92" xfId="1842" xr:uid="{00000000-0005-0000-0000-0000F3060000}"/>
    <cellStyle name="Comma 93" xfId="1843" xr:uid="{00000000-0005-0000-0000-0000F4060000}"/>
    <cellStyle name="Comma 94" xfId="1844" xr:uid="{00000000-0005-0000-0000-0000F5060000}"/>
    <cellStyle name="Comma 94 2" xfId="1845" xr:uid="{00000000-0005-0000-0000-0000F6060000}"/>
    <cellStyle name="Comma 95" xfId="1846" xr:uid="{00000000-0005-0000-0000-0000F7060000}"/>
    <cellStyle name="Comma 96" xfId="1847" xr:uid="{00000000-0005-0000-0000-0000F8060000}"/>
    <cellStyle name="Comma 97" xfId="1848" xr:uid="{00000000-0005-0000-0000-0000F9060000}"/>
    <cellStyle name="Comma 98" xfId="27" xr:uid="{00000000-0005-0000-0000-0000FA060000}"/>
    <cellStyle name="Comma0" xfId="1849" xr:uid="{00000000-0005-0000-0000-0000FB060000}"/>
    <cellStyle name="corpload" xfId="1850" xr:uid="{00000000-0005-0000-0000-0000FC060000}"/>
    <cellStyle name="Currency" xfId="29" builtinId="4"/>
    <cellStyle name="Currency [0] 2" xfId="1851" xr:uid="{00000000-0005-0000-0000-0000FE060000}"/>
    <cellStyle name="Currency [0] 2 2" xfId="1852" xr:uid="{00000000-0005-0000-0000-0000FF060000}"/>
    <cellStyle name="Currency [0] 2 2 2" xfId="9444" xr:uid="{00000000-0005-0000-0000-000000070000}"/>
    <cellStyle name="Currency [0] 3" xfId="1853" xr:uid="{00000000-0005-0000-0000-000001070000}"/>
    <cellStyle name="Currency 10" xfId="28" xr:uid="{00000000-0005-0000-0000-000002070000}"/>
    <cellStyle name="Currency 11" xfId="1854" xr:uid="{00000000-0005-0000-0000-000003070000}"/>
    <cellStyle name="Currency 12" xfId="1855" xr:uid="{00000000-0005-0000-0000-000004070000}"/>
    <cellStyle name="Currency 12 2" xfId="1856" xr:uid="{00000000-0005-0000-0000-000005070000}"/>
    <cellStyle name="Currency 13" xfId="1857" xr:uid="{00000000-0005-0000-0000-000006070000}"/>
    <cellStyle name="Currency 14" xfId="1858" xr:uid="{00000000-0005-0000-0000-000007070000}"/>
    <cellStyle name="Currency 15" xfId="1859" xr:uid="{00000000-0005-0000-0000-000008070000}"/>
    <cellStyle name="Currency 16" xfId="1860" xr:uid="{00000000-0005-0000-0000-000009070000}"/>
    <cellStyle name="Currency 17" xfId="1861" xr:uid="{00000000-0005-0000-0000-00000A070000}"/>
    <cellStyle name="Currency 18" xfId="1862" xr:uid="{00000000-0005-0000-0000-00000B070000}"/>
    <cellStyle name="Currency 19" xfId="1863" xr:uid="{00000000-0005-0000-0000-00000C070000}"/>
    <cellStyle name="Currency 2" xfId="1864" xr:uid="{00000000-0005-0000-0000-00000D070000}"/>
    <cellStyle name="Currency 2 10" xfId="38" xr:uid="{00000000-0005-0000-0000-00000E070000}"/>
    <cellStyle name="Currency 2 10 2" xfId="1865" xr:uid="{00000000-0005-0000-0000-00000F070000}"/>
    <cellStyle name="Currency 2 10 2 2" xfId="1866" xr:uid="{00000000-0005-0000-0000-000010070000}"/>
    <cellStyle name="Currency 2 10 2 3" xfId="1867" xr:uid="{00000000-0005-0000-0000-000011070000}"/>
    <cellStyle name="Currency 2 10 3" xfId="1868" xr:uid="{00000000-0005-0000-0000-000012070000}"/>
    <cellStyle name="Currency 2 100" xfId="1869" xr:uid="{00000000-0005-0000-0000-000013070000}"/>
    <cellStyle name="Currency 2 101" xfId="1870" xr:uid="{00000000-0005-0000-0000-000014070000}"/>
    <cellStyle name="Currency 2 102" xfId="1871" xr:uid="{00000000-0005-0000-0000-000015070000}"/>
    <cellStyle name="Currency 2 103" xfId="1872" xr:uid="{00000000-0005-0000-0000-000016070000}"/>
    <cellStyle name="Currency 2 104" xfId="1873" xr:uid="{00000000-0005-0000-0000-000017070000}"/>
    <cellStyle name="Currency 2 105" xfId="1874" xr:uid="{00000000-0005-0000-0000-000018070000}"/>
    <cellStyle name="Currency 2 106" xfId="1875" xr:uid="{00000000-0005-0000-0000-000019070000}"/>
    <cellStyle name="Currency 2 107" xfId="1876" xr:uid="{00000000-0005-0000-0000-00001A070000}"/>
    <cellStyle name="Currency 2 108" xfId="1877" xr:uid="{00000000-0005-0000-0000-00001B070000}"/>
    <cellStyle name="Currency 2 109" xfId="1878" xr:uid="{00000000-0005-0000-0000-00001C070000}"/>
    <cellStyle name="Currency 2 11" xfId="1879" xr:uid="{00000000-0005-0000-0000-00001D070000}"/>
    <cellStyle name="Currency 2 11 2" xfId="1880" xr:uid="{00000000-0005-0000-0000-00001E070000}"/>
    <cellStyle name="Currency 2 11 2 2" xfId="1881" xr:uid="{00000000-0005-0000-0000-00001F070000}"/>
    <cellStyle name="Currency 2 11 2 3" xfId="1882" xr:uid="{00000000-0005-0000-0000-000020070000}"/>
    <cellStyle name="Currency 2 11 3" xfId="1883" xr:uid="{00000000-0005-0000-0000-000021070000}"/>
    <cellStyle name="Currency 2 110" xfId="1884" xr:uid="{00000000-0005-0000-0000-000022070000}"/>
    <cellStyle name="Currency 2 111" xfId="1885" xr:uid="{00000000-0005-0000-0000-000023070000}"/>
    <cellStyle name="Currency 2 112" xfId="1886" xr:uid="{00000000-0005-0000-0000-000024070000}"/>
    <cellStyle name="Currency 2 113" xfId="1887" xr:uid="{00000000-0005-0000-0000-000025070000}"/>
    <cellStyle name="Currency 2 114" xfId="1888" xr:uid="{00000000-0005-0000-0000-000026070000}"/>
    <cellStyle name="Currency 2 115" xfId="1889" xr:uid="{00000000-0005-0000-0000-000027070000}"/>
    <cellStyle name="Currency 2 116" xfId="1890" xr:uid="{00000000-0005-0000-0000-000028070000}"/>
    <cellStyle name="Currency 2 117" xfId="1891" xr:uid="{00000000-0005-0000-0000-000029070000}"/>
    <cellStyle name="Currency 2 118" xfId="1892" xr:uid="{00000000-0005-0000-0000-00002A070000}"/>
    <cellStyle name="Currency 2 119" xfId="1893" xr:uid="{00000000-0005-0000-0000-00002B070000}"/>
    <cellStyle name="Currency 2 12" xfId="1894" xr:uid="{00000000-0005-0000-0000-00002C070000}"/>
    <cellStyle name="Currency 2 12 2" xfId="1895" xr:uid="{00000000-0005-0000-0000-00002D070000}"/>
    <cellStyle name="Currency 2 12 2 2" xfId="1896" xr:uid="{00000000-0005-0000-0000-00002E070000}"/>
    <cellStyle name="Currency 2 12 2 3" xfId="1897" xr:uid="{00000000-0005-0000-0000-00002F070000}"/>
    <cellStyle name="Currency 2 12 3" xfId="1898" xr:uid="{00000000-0005-0000-0000-000030070000}"/>
    <cellStyle name="Currency 2 120" xfId="1899" xr:uid="{00000000-0005-0000-0000-000031070000}"/>
    <cellStyle name="Currency 2 121" xfId="1900" xr:uid="{00000000-0005-0000-0000-000032070000}"/>
    <cellStyle name="Currency 2 122" xfId="1901" xr:uid="{00000000-0005-0000-0000-000033070000}"/>
    <cellStyle name="Currency 2 123" xfId="1902" xr:uid="{00000000-0005-0000-0000-000034070000}"/>
    <cellStyle name="Currency 2 124" xfId="1903" xr:uid="{00000000-0005-0000-0000-000035070000}"/>
    <cellStyle name="Currency 2 125" xfId="1904" xr:uid="{00000000-0005-0000-0000-000036070000}"/>
    <cellStyle name="Currency 2 126" xfId="1905" xr:uid="{00000000-0005-0000-0000-000037070000}"/>
    <cellStyle name="Currency 2 127" xfId="1906" xr:uid="{00000000-0005-0000-0000-000038070000}"/>
    <cellStyle name="Currency 2 128" xfId="1907" xr:uid="{00000000-0005-0000-0000-000039070000}"/>
    <cellStyle name="Currency 2 129" xfId="1908" xr:uid="{00000000-0005-0000-0000-00003A070000}"/>
    <cellStyle name="Currency 2 13" xfId="1909" xr:uid="{00000000-0005-0000-0000-00003B070000}"/>
    <cellStyle name="Currency 2 13 2" xfId="1910" xr:uid="{00000000-0005-0000-0000-00003C070000}"/>
    <cellStyle name="Currency 2 13 2 2" xfId="1911" xr:uid="{00000000-0005-0000-0000-00003D070000}"/>
    <cellStyle name="Currency 2 13 2 3" xfId="1912" xr:uid="{00000000-0005-0000-0000-00003E070000}"/>
    <cellStyle name="Currency 2 13 3" xfId="1913" xr:uid="{00000000-0005-0000-0000-00003F070000}"/>
    <cellStyle name="Currency 2 130" xfId="1914" xr:uid="{00000000-0005-0000-0000-000040070000}"/>
    <cellStyle name="Currency 2 131" xfId="1915" xr:uid="{00000000-0005-0000-0000-000041070000}"/>
    <cellStyle name="Currency 2 132" xfId="1916" xr:uid="{00000000-0005-0000-0000-000042070000}"/>
    <cellStyle name="Currency 2 133" xfId="1917" xr:uid="{00000000-0005-0000-0000-000043070000}"/>
    <cellStyle name="Currency 2 134" xfId="1918" xr:uid="{00000000-0005-0000-0000-000044070000}"/>
    <cellStyle name="Currency 2 135" xfId="1919" xr:uid="{00000000-0005-0000-0000-000045070000}"/>
    <cellStyle name="Currency 2 136" xfId="1920" xr:uid="{00000000-0005-0000-0000-000046070000}"/>
    <cellStyle name="Currency 2 137" xfId="1921" xr:uid="{00000000-0005-0000-0000-000047070000}"/>
    <cellStyle name="Currency 2 138" xfId="1922" xr:uid="{00000000-0005-0000-0000-000048070000}"/>
    <cellStyle name="Currency 2 14" xfId="1923" xr:uid="{00000000-0005-0000-0000-000049070000}"/>
    <cellStyle name="Currency 2 14 2" xfId="1924" xr:uid="{00000000-0005-0000-0000-00004A070000}"/>
    <cellStyle name="Currency 2 14 2 2" xfId="1925" xr:uid="{00000000-0005-0000-0000-00004B070000}"/>
    <cellStyle name="Currency 2 14 2 3" xfId="1926" xr:uid="{00000000-0005-0000-0000-00004C070000}"/>
    <cellStyle name="Currency 2 14 3" xfId="1927" xr:uid="{00000000-0005-0000-0000-00004D070000}"/>
    <cellStyle name="Currency 2 15" xfId="1928" xr:uid="{00000000-0005-0000-0000-00004E070000}"/>
    <cellStyle name="Currency 2 15 2" xfId="1929" xr:uid="{00000000-0005-0000-0000-00004F070000}"/>
    <cellStyle name="Currency 2 15 2 2" xfId="1930" xr:uid="{00000000-0005-0000-0000-000050070000}"/>
    <cellStyle name="Currency 2 15 2 3" xfId="1931" xr:uid="{00000000-0005-0000-0000-000051070000}"/>
    <cellStyle name="Currency 2 15 3" xfId="1932" xr:uid="{00000000-0005-0000-0000-000052070000}"/>
    <cellStyle name="Currency 2 16" xfId="1933" xr:uid="{00000000-0005-0000-0000-000053070000}"/>
    <cellStyle name="Currency 2 16 2" xfId="1934" xr:uid="{00000000-0005-0000-0000-000054070000}"/>
    <cellStyle name="Currency 2 16 2 2" xfId="1935" xr:uid="{00000000-0005-0000-0000-000055070000}"/>
    <cellStyle name="Currency 2 16 2 3" xfId="1936" xr:uid="{00000000-0005-0000-0000-000056070000}"/>
    <cellStyle name="Currency 2 16 3" xfId="1937" xr:uid="{00000000-0005-0000-0000-000057070000}"/>
    <cellStyle name="Currency 2 17" xfId="1938" xr:uid="{00000000-0005-0000-0000-000058070000}"/>
    <cellStyle name="Currency 2 17 2" xfId="1939" xr:uid="{00000000-0005-0000-0000-000059070000}"/>
    <cellStyle name="Currency 2 18" xfId="1940" xr:uid="{00000000-0005-0000-0000-00005A070000}"/>
    <cellStyle name="Currency 2 18 2" xfId="1941" xr:uid="{00000000-0005-0000-0000-00005B070000}"/>
    <cellStyle name="Currency 2 19" xfId="1942" xr:uid="{00000000-0005-0000-0000-00005C070000}"/>
    <cellStyle name="Currency 2 19 2" xfId="1943" xr:uid="{00000000-0005-0000-0000-00005D070000}"/>
    <cellStyle name="Currency 2 2" xfId="1944" xr:uid="{00000000-0005-0000-0000-00005E070000}"/>
    <cellStyle name="Currency 2 2 10" xfId="1945" xr:uid="{00000000-0005-0000-0000-00005F070000}"/>
    <cellStyle name="Currency 2 2 10 2" xfId="1946" xr:uid="{00000000-0005-0000-0000-000060070000}"/>
    <cellStyle name="Currency 2 2 11" xfId="1947" xr:uid="{00000000-0005-0000-0000-000061070000}"/>
    <cellStyle name="Currency 2 2 11 2" xfId="1948" xr:uid="{00000000-0005-0000-0000-000062070000}"/>
    <cellStyle name="Currency 2 2 12" xfId="1949" xr:uid="{00000000-0005-0000-0000-000063070000}"/>
    <cellStyle name="Currency 2 2 12 2" xfId="1950" xr:uid="{00000000-0005-0000-0000-000064070000}"/>
    <cellStyle name="Currency 2 2 12 2 2" xfId="1951" xr:uid="{00000000-0005-0000-0000-000065070000}"/>
    <cellStyle name="Currency 2 2 12 3" xfId="1952" xr:uid="{00000000-0005-0000-0000-000066070000}"/>
    <cellStyle name="Currency 2 2 13" xfId="1953" xr:uid="{00000000-0005-0000-0000-000067070000}"/>
    <cellStyle name="Currency 2 2 13 2" xfId="1954" xr:uid="{00000000-0005-0000-0000-000068070000}"/>
    <cellStyle name="Currency 2 2 14" xfId="1955" xr:uid="{00000000-0005-0000-0000-000069070000}"/>
    <cellStyle name="Currency 2 2 14 2" xfId="1956" xr:uid="{00000000-0005-0000-0000-00006A070000}"/>
    <cellStyle name="Currency 2 2 14 2 2" xfId="1957" xr:uid="{00000000-0005-0000-0000-00006B070000}"/>
    <cellStyle name="Currency 2 2 14 3" xfId="1958" xr:uid="{00000000-0005-0000-0000-00006C070000}"/>
    <cellStyle name="Currency 2 2 15" xfId="1959" xr:uid="{00000000-0005-0000-0000-00006D070000}"/>
    <cellStyle name="Currency 2 2 15 2" xfId="1960" xr:uid="{00000000-0005-0000-0000-00006E070000}"/>
    <cellStyle name="Currency 2 2 15 2 2" xfId="1961" xr:uid="{00000000-0005-0000-0000-00006F070000}"/>
    <cellStyle name="Currency 2 2 15 3" xfId="1962" xr:uid="{00000000-0005-0000-0000-000070070000}"/>
    <cellStyle name="Currency 2 2 16" xfId="1963" xr:uid="{00000000-0005-0000-0000-000071070000}"/>
    <cellStyle name="Currency 2 2 16 2" xfId="1964" xr:uid="{00000000-0005-0000-0000-000072070000}"/>
    <cellStyle name="Currency 2 2 16 2 2" xfId="1965" xr:uid="{00000000-0005-0000-0000-000073070000}"/>
    <cellStyle name="Currency 2 2 16 3" xfId="1966" xr:uid="{00000000-0005-0000-0000-000074070000}"/>
    <cellStyle name="Currency 2 2 17" xfId="1967" xr:uid="{00000000-0005-0000-0000-000075070000}"/>
    <cellStyle name="Currency 2 2 17 2" xfId="1968" xr:uid="{00000000-0005-0000-0000-000076070000}"/>
    <cellStyle name="Currency 2 2 17 2 2" xfId="1969" xr:uid="{00000000-0005-0000-0000-000077070000}"/>
    <cellStyle name="Currency 2 2 17 3" xfId="1970" xr:uid="{00000000-0005-0000-0000-000078070000}"/>
    <cellStyle name="Currency 2 2 18" xfId="1971" xr:uid="{00000000-0005-0000-0000-000079070000}"/>
    <cellStyle name="Currency 2 2 19" xfId="1972" xr:uid="{00000000-0005-0000-0000-00007A070000}"/>
    <cellStyle name="Currency 2 2 2" xfId="1973" xr:uid="{00000000-0005-0000-0000-00007B070000}"/>
    <cellStyle name="Currency 2 2 2 10" xfId="1974" xr:uid="{00000000-0005-0000-0000-00007C070000}"/>
    <cellStyle name="Currency 2 2 2 11" xfId="1975" xr:uid="{00000000-0005-0000-0000-00007D070000}"/>
    <cellStyle name="Currency 2 2 2 12" xfId="1976" xr:uid="{00000000-0005-0000-0000-00007E070000}"/>
    <cellStyle name="Currency 2 2 2 13" xfId="1977" xr:uid="{00000000-0005-0000-0000-00007F070000}"/>
    <cellStyle name="Currency 2 2 2 14" xfId="1978" xr:uid="{00000000-0005-0000-0000-000080070000}"/>
    <cellStyle name="Currency 2 2 2 15" xfId="1979" xr:uid="{00000000-0005-0000-0000-000081070000}"/>
    <cellStyle name="Currency 2 2 2 16" xfId="1980" xr:uid="{00000000-0005-0000-0000-000082070000}"/>
    <cellStyle name="Currency 2 2 2 17" xfId="1981" xr:uid="{00000000-0005-0000-0000-000083070000}"/>
    <cellStyle name="Currency 2 2 2 18" xfId="1982" xr:uid="{00000000-0005-0000-0000-000084070000}"/>
    <cellStyle name="Currency 2 2 2 18 2" xfId="1983" xr:uid="{00000000-0005-0000-0000-000085070000}"/>
    <cellStyle name="Currency 2 2 2 19" xfId="1984" xr:uid="{00000000-0005-0000-0000-000086070000}"/>
    <cellStyle name="Currency 2 2 2 2" xfId="1985" xr:uid="{00000000-0005-0000-0000-000087070000}"/>
    <cellStyle name="Currency 2 2 2 2 10" xfId="1986" xr:uid="{00000000-0005-0000-0000-000088070000}"/>
    <cellStyle name="Currency 2 2 2 2 10 2" xfId="1987" xr:uid="{00000000-0005-0000-0000-000089070000}"/>
    <cellStyle name="Currency 2 2 2 2 10 2 2" xfId="1988" xr:uid="{00000000-0005-0000-0000-00008A070000}"/>
    <cellStyle name="Currency 2 2 2 2 10 3" xfId="1989" xr:uid="{00000000-0005-0000-0000-00008B070000}"/>
    <cellStyle name="Currency 2 2 2 2 11" xfId="1990" xr:uid="{00000000-0005-0000-0000-00008C070000}"/>
    <cellStyle name="Currency 2 2 2 2 11 2" xfId="1991" xr:uid="{00000000-0005-0000-0000-00008D070000}"/>
    <cellStyle name="Currency 2 2 2 2 11 2 2" xfId="1992" xr:uid="{00000000-0005-0000-0000-00008E070000}"/>
    <cellStyle name="Currency 2 2 2 2 11 3" xfId="1993" xr:uid="{00000000-0005-0000-0000-00008F070000}"/>
    <cellStyle name="Currency 2 2 2 2 12" xfId="1994" xr:uid="{00000000-0005-0000-0000-000090070000}"/>
    <cellStyle name="Currency 2 2 2 2 12 2" xfId="1995" xr:uid="{00000000-0005-0000-0000-000091070000}"/>
    <cellStyle name="Currency 2 2 2 2 12 2 2" xfId="1996" xr:uid="{00000000-0005-0000-0000-000092070000}"/>
    <cellStyle name="Currency 2 2 2 2 12 3" xfId="1997" xr:uid="{00000000-0005-0000-0000-000093070000}"/>
    <cellStyle name="Currency 2 2 2 2 13" xfId="1998" xr:uid="{00000000-0005-0000-0000-000094070000}"/>
    <cellStyle name="Currency 2 2 2 2 13 2" xfId="1999" xr:uid="{00000000-0005-0000-0000-000095070000}"/>
    <cellStyle name="Currency 2 2 2 2 13 2 2" xfId="2000" xr:uid="{00000000-0005-0000-0000-000096070000}"/>
    <cellStyle name="Currency 2 2 2 2 13 3" xfId="2001" xr:uid="{00000000-0005-0000-0000-000097070000}"/>
    <cellStyle name="Currency 2 2 2 2 14" xfId="2002" xr:uid="{00000000-0005-0000-0000-000098070000}"/>
    <cellStyle name="Currency 2 2 2 2 14 2" xfId="2003" xr:uid="{00000000-0005-0000-0000-000099070000}"/>
    <cellStyle name="Currency 2 2 2 2 14 2 2" xfId="2004" xr:uid="{00000000-0005-0000-0000-00009A070000}"/>
    <cellStyle name="Currency 2 2 2 2 14 3" xfId="2005" xr:uid="{00000000-0005-0000-0000-00009B070000}"/>
    <cellStyle name="Currency 2 2 2 2 15" xfId="2006" xr:uid="{00000000-0005-0000-0000-00009C070000}"/>
    <cellStyle name="Currency 2 2 2 2 15 2" xfId="2007" xr:uid="{00000000-0005-0000-0000-00009D070000}"/>
    <cellStyle name="Currency 2 2 2 2 15 2 2" xfId="2008" xr:uid="{00000000-0005-0000-0000-00009E070000}"/>
    <cellStyle name="Currency 2 2 2 2 15 3" xfId="2009" xr:uid="{00000000-0005-0000-0000-00009F070000}"/>
    <cellStyle name="Currency 2 2 2 2 16" xfId="2010" xr:uid="{00000000-0005-0000-0000-0000A0070000}"/>
    <cellStyle name="Currency 2 2 2 2 16 2" xfId="2011" xr:uid="{00000000-0005-0000-0000-0000A1070000}"/>
    <cellStyle name="Currency 2 2 2 2 16 2 2" xfId="2012" xr:uid="{00000000-0005-0000-0000-0000A2070000}"/>
    <cellStyle name="Currency 2 2 2 2 16 3" xfId="2013" xr:uid="{00000000-0005-0000-0000-0000A3070000}"/>
    <cellStyle name="Currency 2 2 2 2 17" xfId="2014" xr:uid="{00000000-0005-0000-0000-0000A4070000}"/>
    <cellStyle name="Currency 2 2 2 2 17 2" xfId="2015" xr:uid="{00000000-0005-0000-0000-0000A5070000}"/>
    <cellStyle name="Currency 2 2 2 2 17 2 2" xfId="2016" xr:uid="{00000000-0005-0000-0000-0000A6070000}"/>
    <cellStyle name="Currency 2 2 2 2 17 3" xfId="2017" xr:uid="{00000000-0005-0000-0000-0000A7070000}"/>
    <cellStyle name="Currency 2 2 2 2 2" xfId="2018" xr:uid="{00000000-0005-0000-0000-0000A8070000}"/>
    <cellStyle name="Currency 2 2 2 2 2 2" xfId="2019" xr:uid="{00000000-0005-0000-0000-0000A9070000}"/>
    <cellStyle name="Currency 2 2 2 2 2 2 2" xfId="2020" xr:uid="{00000000-0005-0000-0000-0000AA070000}"/>
    <cellStyle name="Currency 2 2 2 2 2 2 2 2" xfId="2021" xr:uid="{00000000-0005-0000-0000-0000AB070000}"/>
    <cellStyle name="Currency 2 2 2 2 2 2 2 2 2" xfId="2022" xr:uid="{00000000-0005-0000-0000-0000AC070000}"/>
    <cellStyle name="Currency 2 2 2 2 2 2 2 3" xfId="2023" xr:uid="{00000000-0005-0000-0000-0000AD070000}"/>
    <cellStyle name="Currency 2 2 2 2 2 2 3" xfId="2024" xr:uid="{00000000-0005-0000-0000-0000AE070000}"/>
    <cellStyle name="Currency 2 2 2 2 2 2 3 2" xfId="2025" xr:uid="{00000000-0005-0000-0000-0000AF070000}"/>
    <cellStyle name="Currency 2 2 2 2 2 2 3 2 2" xfId="2026" xr:uid="{00000000-0005-0000-0000-0000B0070000}"/>
    <cellStyle name="Currency 2 2 2 2 2 2 3 3" xfId="2027" xr:uid="{00000000-0005-0000-0000-0000B1070000}"/>
    <cellStyle name="Currency 2 2 2 2 2 2 4" xfId="2028" xr:uid="{00000000-0005-0000-0000-0000B2070000}"/>
    <cellStyle name="Currency 2 2 2 2 2 2 4 2" xfId="2029" xr:uid="{00000000-0005-0000-0000-0000B3070000}"/>
    <cellStyle name="Currency 2 2 2 2 2 2 4 2 2" xfId="2030" xr:uid="{00000000-0005-0000-0000-0000B4070000}"/>
    <cellStyle name="Currency 2 2 2 2 2 2 4 3" xfId="2031" xr:uid="{00000000-0005-0000-0000-0000B5070000}"/>
    <cellStyle name="Currency 2 2 2 2 2 2 5" xfId="2032" xr:uid="{00000000-0005-0000-0000-0000B6070000}"/>
    <cellStyle name="Currency 2 2 2 2 2 2 5 2" xfId="2033" xr:uid="{00000000-0005-0000-0000-0000B7070000}"/>
    <cellStyle name="Currency 2 2 2 2 2 2 5 2 2" xfId="2034" xr:uid="{00000000-0005-0000-0000-0000B8070000}"/>
    <cellStyle name="Currency 2 2 2 2 2 2 5 3" xfId="2035" xr:uid="{00000000-0005-0000-0000-0000B9070000}"/>
    <cellStyle name="Currency 2 2 2 2 2 3" xfId="2036" xr:uid="{00000000-0005-0000-0000-0000BA070000}"/>
    <cellStyle name="Currency 2 2 2 2 2 4" xfId="2037" xr:uid="{00000000-0005-0000-0000-0000BB070000}"/>
    <cellStyle name="Currency 2 2 2 2 2 5" xfId="2038" xr:uid="{00000000-0005-0000-0000-0000BC070000}"/>
    <cellStyle name="Currency 2 2 2 2 2 6" xfId="2039" xr:uid="{00000000-0005-0000-0000-0000BD070000}"/>
    <cellStyle name="Currency 2 2 2 2 2 6 2" xfId="2040" xr:uid="{00000000-0005-0000-0000-0000BE070000}"/>
    <cellStyle name="Currency 2 2 2 2 2 7" xfId="2041" xr:uid="{00000000-0005-0000-0000-0000BF070000}"/>
    <cellStyle name="Currency 2 2 2 2 3" xfId="2042" xr:uid="{00000000-0005-0000-0000-0000C0070000}"/>
    <cellStyle name="Currency 2 2 2 2 3 2" xfId="2043" xr:uid="{00000000-0005-0000-0000-0000C1070000}"/>
    <cellStyle name="Currency 2 2 2 2 3 2 2" xfId="2044" xr:uid="{00000000-0005-0000-0000-0000C2070000}"/>
    <cellStyle name="Currency 2 2 2 2 3 3" xfId="2045" xr:uid="{00000000-0005-0000-0000-0000C3070000}"/>
    <cellStyle name="Currency 2 2 2 2 4" xfId="2046" xr:uid="{00000000-0005-0000-0000-0000C4070000}"/>
    <cellStyle name="Currency 2 2 2 2 4 2" xfId="2047" xr:uid="{00000000-0005-0000-0000-0000C5070000}"/>
    <cellStyle name="Currency 2 2 2 2 4 2 2" xfId="2048" xr:uid="{00000000-0005-0000-0000-0000C6070000}"/>
    <cellStyle name="Currency 2 2 2 2 4 3" xfId="2049" xr:uid="{00000000-0005-0000-0000-0000C7070000}"/>
    <cellStyle name="Currency 2 2 2 2 5" xfId="2050" xr:uid="{00000000-0005-0000-0000-0000C8070000}"/>
    <cellStyle name="Currency 2 2 2 2 5 2" xfId="2051" xr:uid="{00000000-0005-0000-0000-0000C9070000}"/>
    <cellStyle name="Currency 2 2 2 2 5 2 2" xfId="2052" xr:uid="{00000000-0005-0000-0000-0000CA070000}"/>
    <cellStyle name="Currency 2 2 2 2 5 3" xfId="2053" xr:uid="{00000000-0005-0000-0000-0000CB070000}"/>
    <cellStyle name="Currency 2 2 2 2 6" xfId="2054" xr:uid="{00000000-0005-0000-0000-0000CC070000}"/>
    <cellStyle name="Currency 2 2 2 2 6 2" xfId="2055" xr:uid="{00000000-0005-0000-0000-0000CD070000}"/>
    <cellStyle name="Currency 2 2 2 2 6 2 2" xfId="2056" xr:uid="{00000000-0005-0000-0000-0000CE070000}"/>
    <cellStyle name="Currency 2 2 2 2 6 3" xfId="2057" xr:uid="{00000000-0005-0000-0000-0000CF070000}"/>
    <cellStyle name="Currency 2 2 2 2 7" xfId="2058" xr:uid="{00000000-0005-0000-0000-0000D0070000}"/>
    <cellStyle name="Currency 2 2 2 2 7 2" xfId="2059" xr:uid="{00000000-0005-0000-0000-0000D1070000}"/>
    <cellStyle name="Currency 2 2 2 2 7 2 2" xfId="2060" xr:uid="{00000000-0005-0000-0000-0000D2070000}"/>
    <cellStyle name="Currency 2 2 2 2 7 3" xfId="2061" xr:uid="{00000000-0005-0000-0000-0000D3070000}"/>
    <cellStyle name="Currency 2 2 2 2 8" xfId="2062" xr:uid="{00000000-0005-0000-0000-0000D4070000}"/>
    <cellStyle name="Currency 2 2 2 2 8 2" xfId="2063" xr:uid="{00000000-0005-0000-0000-0000D5070000}"/>
    <cellStyle name="Currency 2 2 2 2 8 2 2" xfId="2064" xr:uid="{00000000-0005-0000-0000-0000D6070000}"/>
    <cellStyle name="Currency 2 2 2 2 8 3" xfId="2065" xr:uid="{00000000-0005-0000-0000-0000D7070000}"/>
    <cellStyle name="Currency 2 2 2 2 9" xfId="2066" xr:uid="{00000000-0005-0000-0000-0000D8070000}"/>
    <cellStyle name="Currency 2 2 2 2 9 2" xfId="2067" xr:uid="{00000000-0005-0000-0000-0000D9070000}"/>
    <cellStyle name="Currency 2 2 2 2 9 2 2" xfId="2068" xr:uid="{00000000-0005-0000-0000-0000DA070000}"/>
    <cellStyle name="Currency 2 2 2 2 9 3" xfId="2069" xr:uid="{00000000-0005-0000-0000-0000DB070000}"/>
    <cellStyle name="Currency 2 2 2 3" xfId="2070" xr:uid="{00000000-0005-0000-0000-0000DC070000}"/>
    <cellStyle name="Currency 2 2 2 4" xfId="2071" xr:uid="{00000000-0005-0000-0000-0000DD070000}"/>
    <cellStyle name="Currency 2 2 2 5" xfId="2072" xr:uid="{00000000-0005-0000-0000-0000DE070000}"/>
    <cellStyle name="Currency 2 2 2 6" xfId="2073" xr:uid="{00000000-0005-0000-0000-0000DF070000}"/>
    <cellStyle name="Currency 2 2 2 7" xfId="2074" xr:uid="{00000000-0005-0000-0000-0000E0070000}"/>
    <cellStyle name="Currency 2 2 2 8" xfId="2075" xr:uid="{00000000-0005-0000-0000-0000E1070000}"/>
    <cellStyle name="Currency 2 2 2 9" xfId="2076" xr:uid="{00000000-0005-0000-0000-0000E2070000}"/>
    <cellStyle name="Currency 2 2 20" xfId="2077" xr:uid="{00000000-0005-0000-0000-0000E3070000}"/>
    <cellStyle name="Currency 2 2 3" xfId="2078" xr:uid="{00000000-0005-0000-0000-0000E4070000}"/>
    <cellStyle name="Currency 2 2 3 2" xfId="2079" xr:uid="{00000000-0005-0000-0000-0000E5070000}"/>
    <cellStyle name="Currency 2 2 4" xfId="2080" xr:uid="{00000000-0005-0000-0000-0000E6070000}"/>
    <cellStyle name="Currency 2 2 4 2" xfId="2081" xr:uid="{00000000-0005-0000-0000-0000E7070000}"/>
    <cellStyle name="Currency 2 2 5" xfId="2082" xr:uid="{00000000-0005-0000-0000-0000E8070000}"/>
    <cellStyle name="Currency 2 2 5 2" xfId="2083" xr:uid="{00000000-0005-0000-0000-0000E9070000}"/>
    <cellStyle name="Currency 2 2 6" xfId="2084" xr:uid="{00000000-0005-0000-0000-0000EA070000}"/>
    <cellStyle name="Currency 2 2 6 2" xfId="2085" xr:uid="{00000000-0005-0000-0000-0000EB070000}"/>
    <cellStyle name="Currency 2 2 7" xfId="2086" xr:uid="{00000000-0005-0000-0000-0000EC070000}"/>
    <cellStyle name="Currency 2 2 7 2" xfId="2087" xr:uid="{00000000-0005-0000-0000-0000ED070000}"/>
    <cellStyle name="Currency 2 2 8" xfId="2088" xr:uid="{00000000-0005-0000-0000-0000EE070000}"/>
    <cellStyle name="Currency 2 2 8 2" xfId="2089" xr:uid="{00000000-0005-0000-0000-0000EF070000}"/>
    <cellStyle name="Currency 2 2 9" xfId="2090" xr:uid="{00000000-0005-0000-0000-0000F0070000}"/>
    <cellStyle name="Currency 2 2 9 2" xfId="2091" xr:uid="{00000000-0005-0000-0000-0000F1070000}"/>
    <cellStyle name="Currency 2 20" xfId="2092" xr:uid="{00000000-0005-0000-0000-0000F2070000}"/>
    <cellStyle name="Currency 2 20 2" xfId="2093" xr:uid="{00000000-0005-0000-0000-0000F3070000}"/>
    <cellStyle name="Currency 2 21" xfId="2094" xr:uid="{00000000-0005-0000-0000-0000F4070000}"/>
    <cellStyle name="Currency 2 21 2" xfId="2095" xr:uid="{00000000-0005-0000-0000-0000F5070000}"/>
    <cellStyle name="Currency 2 22" xfId="2096" xr:uid="{00000000-0005-0000-0000-0000F6070000}"/>
    <cellStyle name="Currency 2 22 2" xfId="2097" xr:uid="{00000000-0005-0000-0000-0000F7070000}"/>
    <cellStyle name="Currency 2 23" xfId="2098" xr:uid="{00000000-0005-0000-0000-0000F8070000}"/>
    <cellStyle name="Currency 2 23 2" xfId="2099" xr:uid="{00000000-0005-0000-0000-0000F9070000}"/>
    <cellStyle name="Currency 2 24" xfId="2100" xr:uid="{00000000-0005-0000-0000-0000FA070000}"/>
    <cellStyle name="Currency 2 24 2" xfId="2101" xr:uid="{00000000-0005-0000-0000-0000FB070000}"/>
    <cellStyle name="Currency 2 25" xfId="2102" xr:uid="{00000000-0005-0000-0000-0000FC070000}"/>
    <cellStyle name="Currency 2 25 2" xfId="2103" xr:uid="{00000000-0005-0000-0000-0000FD070000}"/>
    <cellStyle name="Currency 2 26" xfId="2104" xr:uid="{00000000-0005-0000-0000-0000FE070000}"/>
    <cellStyle name="Currency 2 26 2" xfId="2105" xr:uid="{00000000-0005-0000-0000-0000FF070000}"/>
    <cellStyle name="Currency 2 27" xfId="2106" xr:uid="{00000000-0005-0000-0000-000000080000}"/>
    <cellStyle name="Currency 2 27 2" xfId="2107" xr:uid="{00000000-0005-0000-0000-000001080000}"/>
    <cellStyle name="Currency 2 28" xfId="2108" xr:uid="{00000000-0005-0000-0000-000002080000}"/>
    <cellStyle name="Currency 2 28 2" xfId="2109" xr:uid="{00000000-0005-0000-0000-000003080000}"/>
    <cellStyle name="Currency 2 29" xfId="2110" xr:uid="{00000000-0005-0000-0000-000004080000}"/>
    <cellStyle name="Currency 2 29 2" xfId="2111" xr:uid="{00000000-0005-0000-0000-000005080000}"/>
    <cellStyle name="Currency 2 3" xfId="2112" xr:uid="{00000000-0005-0000-0000-000006080000}"/>
    <cellStyle name="Currency 2 3 2" xfId="2113" xr:uid="{00000000-0005-0000-0000-000007080000}"/>
    <cellStyle name="Currency 2 3 2 2" xfId="2114" xr:uid="{00000000-0005-0000-0000-000008080000}"/>
    <cellStyle name="Currency 2 3 2 3" xfId="2115" xr:uid="{00000000-0005-0000-0000-000009080000}"/>
    <cellStyle name="Currency 2 3 3" xfId="2116" xr:uid="{00000000-0005-0000-0000-00000A080000}"/>
    <cellStyle name="Currency 2 30" xfId="2117" xr:uid="{00000000-0005-0000-0000-00000B080000}"/>
    <cellStyle name="Currency 2 30 2" xfId="2118" xr:uid="{00000000-0005-0000-0000-00000C080000}"/>
    <cellStyle name="Currency 2 31" xfId="2119" xr:uid="{00000000-0005-0000-0000-00000D080000}"/>
    <cellStyle name="Currency 2 31 2" xfId="2120" xr:uid="{00000000-0005-0000-0000-00000E080000}"/>
    <cellStyle name="Currency 2 32" xfId="2121" xr:uid="{00000000-0005-0000-0000-00000F080000}"/>
    <cellStyle name="Currency 2 32 2" xfId="2122" xr:uid="{00000000-0005-0000-0000-000010080000}"/>
    <cellStyle name="Currency 2 33" xfId="2123" xr:uid="{00000000-0005-0000-0000-000011080000}"/>
    <cellStyle name="Currency 2 33 2" xfId="2124" xr:uid="{00000000-0005-0000-0000-000012080000}"/>
    <cellStyle name="Currency 2 34" xfId="2125" xr:uid="{00000000-0005-0000-0000-000013080000}"/>
    <cellStyle name="Currency 2 34 2" xfId="2126" xr:uid="{00000000-0005-0000-0000-000014080000}"/>
    <cellStyle name="Currency 2 35" xfId="2127" xr:uid="{00000000-0005-0000-0000-000015080000}"/>
    <cellStyle name="Currency 2 35 2" xfId="2128" xr:uid="{00000000-0005-0000-0000-000016080000}"/>
    <cellStyle name="Currency 2 36" xfId="2129" xr:uid="{00000000-0005-0000-0000-000017080000}"/>
    <cellStyle name="Currency 2 36 2" xfId="2130" xr:uid="{00000000-0005-0000-0000-000018080000}"/>
    <cellStyle name="Currency 2 37" xfId="2131" xr:uid="{00000000-0005-0000-0000-000019080000}"/>
    <cellStyle name="Currency 2 37 2" xfId="2132" xr:uid="{00000000-0005-0000-0000-00001A080000}"/>
    <cellStyle name="Currency 2 38" xfId="2133" xr:uid="{00000000-0005-0000-0000-00001B080000}"/>
    <cellStyle name="Currency 2 38 2" xfId="2134" xr:uid="{00000000-0005-0000-0000-00001C080000}"/>
    <cellStyle name="Currency 2 39" xfId="2135" xr:uid="{00000000-0005-0000-0000-00001D080000}"/>
    <cellStyle name="Currency 2 39 2" xfId="2136" xr:uid="{00000000-0005-0000-0000-00001E080000}"/>
    <cellStyle name="Currency 2 4" xfId="2137" xr:uid="{00000000-0005-0000-0000-00001F080000}"/>
    <cellStyle name="Currency 2 4 2" xfId="2138" xr:uid="{00000000-0005-0000-0000-000020080000}"/>
    <cellStyle name="Currency 2 4 2 2" xfId="2139" xr:uid="{00000000-0005-0000-0000-000021080000}"/>
    <cellStyle name="Currency 2 4 2 3" xfId="2140" xr:uid="{00000000-0005-0000-0000-000022080000}"/>
    <cellStyle name="Currency 2 4 3" xfId="2141" xr:uid="{00000000-0005-0000-0000-000023080000}"/>
    <cellStyle name="Currency 2 40" xfId="2142" xr:uid="{00000000-0005-0000-0000-000024080000}"/>
    <cellStyle name="Currency 2 40 2" xfId="2143" xr:uid="{00000000-0005-0000-0000-000025080000}"/>
    <cellStyle name="Currency 2 41" xfId="2144" xr:uid="{00000000-0005-0000-0000-000026080000}"/>
    <cellStyle name="Currency 2 41 2" xfId="2145" xr:uid="{00000000-0005-0000-0000-000027080000}"/>
    <cellStyle name="Currency 2 42" xfId="2146" xr:uid="{00000000-0005-0000-0000-000028080000}"/>
    <cellStyle name="Currency 2 42 2" xfId="2147" xr:uid="{00000000-0005-0000-0000-000029080000}"/>
    <cellStyle name="Currency 2 43" xfId="2148" xr:uid="{00000000-0005-0000-0000-00002A080000}"/>
    <cellStyle name="Currency 2 43 2" xfId="2149" xr:uid="{00000000-0005-0000-0000-00002B080000}"/>
    <cellStyle name="Currency 2 44" xfId="2150" xr:uid="{00000000-0005-0000-0000-00002C080000}"/>
    <cellStyle name="Currency 2 44 2" xfId="2151" xr:uid="{00000000-0005-0000-0000-00002D080000}"/>
    <cellStyle name="Currency 2 45" xfId="2152" xr:uid="{00000000-0005-0000-0000-00002E080000}"/>
    <cellStyle name="Currency 2 45 2" xfId="2153" xr:uid="{00000000-0005-0000-0000-00002F080000}"/>
    <cellStyle name="Currency 2 46" xfId="2154" xr:uid="{00000000-0005-0000-0000-000030080000}"/>
    <cellStyle name="Currency 2 46 2" xfId="2155" xr:uid="{00000000-0005-0000-0000-000031080000}"/>
    <cellStyle name="Currency 2 47" xfId="2156" xr:uid="{00000000-0005-0000-0000-000032080000}"/>
    <cellStyle name="Currency 2 47 2" xfId="2157" xr:uid="{00000000-0005-0000-0000-000033080000}"/>
    <cellStyle name="Currency 2 48" xfId="2158" xr:uid="{00000000-0005-0000-0000-000034080000}"/>
    <cellStyle name="Currency 2 48 2" xfId="2159" xr:uid="{00000000-0005-0000-0000-000035080000}"/>
    <cellStyle name="Currency 2 49" xfId="2160" xr:uid="{00000000-0005-0000-0000-000036080000}"/>
    <cellStyle name="Currency 2 49 2" xfId="2161" xr:uid="{00000000-0005-0000-0000-000037080000}"/>
    <cellStyle name="Currency 2 5" xfId="2162" xr:uid="{00000000-0005-0000-0000-000038080000}"/>
    <cellStyle name="Currency 2 5 2" xfId="2163" xr:uid="{00000000-0005-0000-0000-000039080000}"/>
    <cellStyle name="Currency 2 5 2 2" xfId="2164" xr:uid="{00000000-0005-0000-0000-00003A080000}"/>
    <cellStyle name="Currency 2 5 2 3" xfId="2165" xr:uid="{00000000-0005-0000-0000-00003B080000}"/>
    <cellStyle name="Currency 2 5 3" xfId="2166" xr:uid="{00000000-0005-0000-0000-00003C080000}"/>
    <cellStyle name="Currency 2 50" xfId="2167" xr:uid="{00000000-0005-0000-0000-00003D080000}"/>
    <cellStyle name="Currency 2 50 2" xfId="2168" xr:uid="{00000000-0005-0000-0000-00003E080000}"/>
    <cellStyle name="Currency 2 51" xfId="2169" xr:uid="{00000000-0005-0000-0000-00003F080000}"/>
    <cellStyle name="Currency 2 51 2" xfId="2170" xr:uid="{00000000-0005-0000-0000-000040080000}"/>
    <cellStyle name="Currency 2 52" xfId="2171" xr:uid="{00000000-0005-0000-0000-000041080000}"/>
    <cellStyle name="Currency 2 52 2" xfId="2172" xr:uid="{00000000-0005-0000-0000-000042080000}"/>
    <cellStyle name="Currency 2 53" xfId="2173" xr:uid="{00000000-0005-0000-0000-000043080000}"/>
    <cellStyle name="Currency 2 53 2" xfId="2174" xr:uid="{00000000-0005-0000-0000-000044080000}"/>
    <cellStyle name="Currency 2 54" xfId="2175" xr:uid="{00000000-0005-0000-0000-000045080000}"/>
    <cellStyle name="Currency 2 54 2" xfId="2176" xr:uid="{00000000-0005-0000-0000-000046080000}"/>
    <cellStyle name="Currency 2 55" xfId="2177" xr:uid="{00000000-0005-0000-0000-000047080000}"/>
    <cellStyle name="Currency 2 55 2" xfId="2178" xr:uid="{00000000-0005-0000-0000-000048080000}"/>
    <cellStyle name="Currency 2 56" xfId="2179" xr:uid="{00000000-0005-0000-0000-000049080000}"/>
    <cellStyle name="Currency 2 56 2" xfId="2180" xr:uid="{00000000-0005-0000-0000-00004A080000}"/>
    <cellStyle name="Currency 2 57" xfId="2181" xr:uid="{00000000-0005-0000-0000-00004B080000}"/>
    <cellStyle name="Currency 2 57 2" xfId="2182" xr:uid="{00000000-0005-0000-0000-00004C080000}"/>
    <cellStyle name="Currency 2 58" xfId="2183" xr:uid="{00000000-0005-0000-0000-00004D080000}"/>
    <cellStyle name="Currency 2 58 2" xfId="2184" xr:uid="{00000000-0005-0000-0000-00004E080000}"/>
    <cellStyle name="Currency 2 59" xfId="2185" xr:uid="{00000000-0005-0000-0000-00004F080000}"/>
    <cellStyle name="Currency 2 59 2" xfId="2186" xr:uid="{00000000-0005-0000-0000-000050080000}"/>
    <cellStyle name="Currency 2 6" xfId="2187" xr:uid="{00000000-0005-0000-0000-000051080000}"/>
    <cellStyle name="Currency 2 6 2" xfId="2188" xr:uid="{00000000-0005-0000-0000-000052080000}"/>
    <cellStyle name="Currency 2 6 2 2" xfId="2189" xr:uid="{00000000-0005-0000-0000-000053080000}"/>
    <cellStyle name="Currency 2 6 2 3" xfId="2190" xr:uid="{00000000-0005-0000-0000-000054080000}"/>
    <cellStyle name="Currency 2 6 3" xfId="2191" xr:uid="{00000000-0005-0000-0000-000055080000}"/>
    <cellStyle name="Currency 2 60" xfId="2192" xr:uid="{00000000-0005-0000-0000-000056080000}"/>
    <cellStyle name="Currency 2 60 2" xfId="2193" xr:uid="{00000000-0005-0000-0000-000057080000}"/>
    <cellStyle name="Currency 2 61" xfId="2194" xr:uid="{00000000-0005-0000-0000-000058080000}"/>
    <cellStyle name="Currency 2 61 2" xfId="2195" xr:uid="{00000000-0005-0000-0000-000059080000}"/>
    <cellStyle name="Currency 2 62" xfId="2196" xr:uid="{00000000-0005-0000-0000-00005A080000}"/>
    <cellStyle name="Currency 2 63" xfId="2197" xr:uid="{00000000-0005-0000-0000-00005B080000}"/>
    <cellStyle name="Currency 2 64" xfId="2198" xr:uid="{00000000-0005-0000-0000-00005C080000}"/>
    <cellStyle name="Currency 2 65" xfId="2199" xr:uid="{00000000-0005-0000-0000-00005D080000}"/>
    <cellStyle name="Currency 2 66" xfId="2200" xr:uid="{00000000-0005-0000-0000-00005E080000}"/>
    <cellStyle name="Currency 2 67" xfId="2201" xr:uid="{00000000-0005-0000-0000-00005F080000}"/>
    <cellStyle name="Currency 2 68" xfId="2202" xr:uid="{00000000-0005-0000-0000-000060080000}"/>
    <cellStyle name="Currency 2 69" xfId="2203" xr:uid="{00000000-0005-0000-0000-000061080000}"/>
    <cellStyle name="Currency 2 7" xfId="2204" xr:uid="{00000000-0005-0000-0000-000062080000}"/>
    <cellStyle name="Currency 2 7 2" xfId="2205" xr:uid="{00000000-0005-0000-0000-000063080000}"/>
    <cellStyle name="Currency 2 7 2 2" xfId="2206" xr:uid="{00000000-0005-0000-0000-000064080000}"/>
    <cellStyle name="Currency 2 7 2 3" xfId="2207" xr:uid="{00000000-0005-0000-0000-000065080000}"/>
    <cellStyle name="Currency 2 7 3" xfId="2208" xr:uid="{00000000-0005-0000-0000-000066080000}"/>
    <cellStyle name="Currency 2 70" xfId="2209" xr:uid="{00000000-0005-0000-0000-000067080000}"/>
    <cellStyle name="Currency 2 71" xfId="2210" xr:uid="{00000000-0005-0000-0000-000068080000}"/>
    <cellStyle name="Currency 2 72" xfId="2211" xr:uid="{00000000-0005-0000-0000-000069080000}"/>
    <cellStyle name="Currency 2 73" xfId="2212" xr:uid="{00000000-0005-0000-0000-00006A080000}"/>
    <cellStyle name="Currency 2 74" xfId="2213" xr:uid="{00000000-0005-0000-0000-00006B080000}"/>
    <cellStyle name="Currency 2 75" xfId="2214" xr:uid="{00000000-0005-0000-0000-00006C080000}"/>
    <cellStyle name="Currency 2 76" xfId="2215" xr:uid="{00000000-0005-0000-0000-00006D080000}"/>
    <cellStyle name="Currency 2 77" xfId="2216" xr:uid="{00000000-0005-0000-0000-00006E080000}"/>
    <cellStyle name="Currency 2 78" xfId="2217" xr:uid="{00000000-0005-0000-0000-00006F080000}"/>
    <cellStyle name="Currency 2 79" xfId="2218" xr:uid="{00000000-0005-0000-0000-000070080000}"/>
    <cellStyle name="Currency 2 8" xfId="2219" xr:uid="{00000000-0005-0000-0000-000071080000}"/>
    <cellStyle name="Currency 2 8 2" xfId="2220" xr:uid="{00000000-0005-0000-0000-000072080000}"/>
    <cellStyle name="Currency 2 8 2 2" xfId="2221" xr:uid="{00000000-0005-0000-0000-000073080000}"/>
    <cellStyle name="Currency 2 8 2 3" xfId="2222" xr:uid="{00000000-0005-0000-0000-000074080000}"/>
    <cellStyle name="Currency 2 8 3" xfId="2223" xr:uid="{00000000-0005-0000-0000-000075080000}"/>
    <cellStyle name="Currency 2 80" xfId="2224" xr:uid="{00000000-0005-0000-0000-000076080000}"/>
    <cellStyle name="Currency 2 81" xfId="2225" xr:uid="{00000000-0005-0000-0000-000077080000}"/>
    <cellStyle name="Currency 2 82" xfId="2226" xr:uid="{00000000-0005-0000-0000-000078080000}"/>
    <cellStyle name="Currency 2 83" xfId="2227" xr:uid="{00000000-0005-0000-0000-000079080000}"/>
    <cellStyle name="Currency 2 84" xfId="2228" xr:uid="{00000000-0005-0000-0000-00007A080000}"/>
    <cellStyle name="Currency 2 85" xfId="2229" xr:uid="{00000000-0005-0000-0000-00007B080000}"/>
    <cellStyle name="Currency 2 86" xfId="2230" xr:uid="{00000000-0005-0000-0000-00007C080000}"/>
    <cellStyle name="Currency 2 87" xfId="2231" xr:uid="{00000000-0005-0000-0000-00007D080000}"/>
    <cellStyle name="Currency 2 88" xfId="2232" xr:uid="{00000000-0005-0000-0000-00007E080000}"/>
    <cellStyle name="Currency 2 89" xfId="2233" xr:uid="{00000000-0005-0000-0000-00007F080000}"/>
    <cellStyle name="Currency 2 9" xfId="2234" xr:uid="{00000000-0005-0000-0000-000080080000}"/>
    <cellStyle name="Currency 2 9 2" xfId="2235" xr:uid="{00000000-0005-0000-0000-000081080000}"/>
    <cellStyle name="Currency 2 9 2 2" xfId="2236" xr:uid="{00000000-0005-0000-0000-000082080000}"/>
    <cellStyle name="Currency 2 9 2 3" xfId="2237" xr:uid="{00000000-0005-0000-0000-000083080000}"/>
    <cellStyle name="Currency 2 9 3" xfId="2238" xr:uid="{00000000-0005-0000-0000-000084080000}"/>
    <cellStyle name="Currency 2 90" xfId="2239" xr:uid="{00000000-0005-0000-0000-000085080000}"/>
    <cellStyle name="Currency 2 91" xfId="2240" xr:uid="{00000000-0005-0000-0000-000086080000}"/>
    <cellStyle name="Currency 2 92" xfId="2241" xr:uid="{00000000-0005-0000-0000-000087080000}"/>
    <cellStyle name="Currency 2 93" xfId="2242" xr:uid="{00000000-0005-0000-0000-000088080000}"/>
    <cellStyle name="Currency 2 94" xfId="2243" xr:uid="{00000000-0005-0000-0000-000089080000}"/>
    <cellStyle name="Currency 2 95" xfId="2244" xr:uid="{00000000-0005-0000-0000-00008A080000}"/>
    <cellStyle name="Currency 2 96" xfId="2245" xr:uid="{00000000-0005-0000-0000-00008B080000}"/>
    <cellStyle name="Currency 2 97" xfId="2246" xr:uid="{00000000-0005-0000-0000-00008C080000}"/>
    <cellStyle name="Currency 2 98" xfId="2247" xr:uid="{00000000-0005-0000-0000-00008D080000}"/>
    <cellStyle name="Currency 2 99" xfId="2248" xr:uid="{00000000-0005-0000-0000-00008E080000}"/>
    <cellStyle name="Currency 20" xfId="2249" xr:uid="{00000000-0005-0000-0000-00008F080000}"/>
    <cellStyle name="Currency 21" xfId="2250" xr:uid="{00000000-0005-0000-0000-000090080000}"/>
    <cellStyle name="Currency 22" xfId="2251" xr:uid="{00000000-0005-0000-0000-000091080000}"/>
    <cellStyle name="Currency 23" xfId="2252" xr:uid="{00000000-0005-0000-0000-000092080000}"/>
    <cellStyle name="Currency 24" xfId="2253" xr:uid="{00000000-0005-0000-0000-000093080000}"/>
    <cellStyle name="Currency 25" xfId="2254" xr:uid="{00000000-0005-0000-0000-000094080000}"/>
    <cellStyle name="Currency 25 2" xfId="2255" xr:uid="{00000000-0005-0000-0000-000095080000}"/>
    <cellStyle name="Currency 25 3" xfId="2256" xr:uid="{00000000-0005-0000-0000-000096080000}"/>
    <cellStyle name="Currency 26" xfId="2257" xr:uid="{00000000-0005-0000-0000-000097080000}"/>
    <cellStyle name="Currency 27" xfId="2258" xr:uid="{00000000-0005-0000-0000-000098080000}"/>
    <cellStyle name="Currency 28" xfId="2259" xr:uid="{00000000-0005-0000-0000-000099080000}"/>
    <cellStyle name="Currency 29" xfId="2260" xr:uid="{00000000-0005-0000-0000-00009A080000}"/>
    <cellStyle name="Currency 3" xfId="2261" xr:uid="{00000000-0005-0000-0000-00009B080000}"/>
    <cellStyle name="Currency 3 10" xfId="2262" xr:uid="{00000000-0005-0000-0000-00009C080000}"/>
    <cellStyle name="Currency 3 10 2" xfId="2263" xr:uid="{00000000-0005-0000-0000-00009D080000}"/>
    <cellStyle name="Currency 3 10 2 2" xfId="2264" xr:uid="{00000000-0005-0000-0000-00009E080000}"/>
    <cellStyle name="Currency 3 10 2 3" xfId="2265" xr:uid="{00000000-0005-0000-0000-00009F080000}"/>
    <cellStyle name="Currency 3 10 3" xfId="2266" xr:uid="{00000000-0005-0000-0000-0000A0080000}"/>
    <cellStyle name="Currency 3 100" xfId="2267" xr:uid="{00000000-0005-0000-0000-0000A1080000}"/>
    <cellStyle name="Currency 3 101" xfId="2268" xr:uid="{00000000-0005-0000-0000-0000A2080000}"/>
    <cellStyle name="Currency 3 102" xfId="2269" xr:uid="{00000000-0005-0000-0000-0000A3080000}"/>
    <cellStyle name="Currency 3 103" xfId="2270" xr:uid="{00000000-0005-0000-0000-0000A4080000}"/>
    <cellStyle name="Currency 3 104" xfId="2271" xr:uid="{00000000-0005-0000-0000-0000A5080000}"/>
    <cellStyle name="Currency 3 105" xfId="2272" xr:uid="{00000000-0005-0000-0000-0000A6080000}"/>
    <cellStyle name="Currency 3 106" xfId="2273" xr:uid="{00000000-0005-0000-0000-0000A7080000}"/>
    <cellStyle name="Currency 3 107" xfId="2274" xr:uid="{00000000-0005-0000-0000-0000A8080000}"/>
    <cellStyle name="Currency 3 108" xfId="2275" xr:uid="{00000000-0005-0000-0000-0000A9080000}"/>
    <cellStyle name="Currency 3 109" xfId="2276" xr:uid="{00000000-0005-0000-0000-0000AA080000}"/>
    <cellStyle name="Currency 3 11" xfId="2277" xr:uid="{00000000-0005-0000-0000-0000AB080000}"/>
    <cellStyle name="Currency 3 11 2" xfId="2278" xr:uid="{00000000-0005-0000-0000-0000AC080000}"/>
    <cellStyle name="Currency 3 11 2 2" xfId="2279" xr:uid="{00000000-0005-0000-0000-0000AD080000}"/>
    <cellStyle name="Currency 3 11 2 3" xfId="2280" xr:uid="{00000000-0005-0000-0000-0000AE080000}"/>
    <cellStyle name="Currency 3 11 3" xfId="2281" xr:uid="{00000000-0005-0000-0000-0000AF080000}"/>
    <cellStyle name="Currency 3 110" xfId="2282" xr:uid="{00000000-0005-0000-0000-0000B0080000}"/>
    <cellStyle name="Currency 3 111" xfId="2283" xr:uid="{00000000-0005-0000-0000-0000B1080000}"/>
    <cellStyle name="Currency 3 112" xfId="2284" xr:uid="{00000000-0005-0000-0000-0000B2080000}"/>
    <cellStyle name="Currency 3 113" xfId="2285" xr:uid="{00000000-0005-0000-0000-0000B3080000}"/>
    <cellStyle name="Currency 3 114" xfId="2286" xr:uid="{00000000-0005-0000-0000-0000B4080000}"/>
    <cellStyle name="Currency 3 115" xfId="2287" xr:uid="{00000000-0005-0000-0000-0000B5080000}"/>
    <cellStyle name="Currency 3 116" xfId="2288" xr:uid="{00000000-0005-0000-0000-0000B6080000}"/>
    <cellStyle name="Currency 3 117" xfId="2289" xr:uid="{00000000-0005-0000-0000-0000B7080000}"/>
    <cellStyle name="Currency 3 118" xfId="2290" xr:uid="{00000000-0005-0000-0000-0000B8080000}"/>
    <cellStyle name="Currency 3 119" xfId="2291" xr:uid="{00000000-0005-0000-0000-0000B9080000}"/>
    <cellStyle name="Currency 3 12" xfId="2292" xr:uid="{00000000-0005-0000-0000-0000BA080000}"/>
    <cellStyle name="Currency 3 12 2" xfId="2293" xr:uid="{00000000-0005-0000-0000-0000BB080000}"/>
    <cellStyle name="Currency 3 12 2 2" xfId="2294" xr:uid="{00000000-0005-0000-0000-0000BC080000}"/>
    <cellStyle name="Currency 3 12 2 3" xfId="2295" xr:uid="{00000000-0005-0000-0000-0000BD080000}"/>
    <cellStyle name="Currency 3 12 3" xfId="2296" xr:uid="{00000000-0005-0000-0000-0000BE080000}"/>
    <cellStyle name="Currency 3 120" xfId="2297" xr:uid="{00000000-0005-0000-0000-0000BF080000}"/>
    <cellStyle name="Currency 3 121" xfId="2298" xr:uid="{00000000-0005-0000-0000-0000C0080000}"/>
    <cellStyle name="Currency 3 122" xfId="2299" xr:uid="{00000000-0005-0000-0000-0000C1080000}"/>
    <cellStyle name="Currency 3 123" xfId="2300" xr:uid="{00000000-0005-0000-0000-0000C2080000}"/>
    <cellStyle name="Currency 3 124" xfId="2301" xr:uid="{00000000-0005-0000-0000-0000C3080000}"/>
    <cellStyle name="Currency 3 125" xfId="2302" xr:uid="{00000000-0005-0000-0000-0000C4080000}"/>
    <cellStyle name="Currency 3 126" xfId="2303" xr:uid="{00000000-0005-0000-0000-0000C5080000}"/>
    <cellStyle name="Currency 3 127" xfId="2304" xr:uid="{00000000-0005-0000-0000-0000C6080000}"/>
    <cellStyle name="Currency 3 128" xfId="2305" xr:uid="{00000000-0005-0000-0000-0000C7080000}"/>
    <cellStyle name="Currency 3 129" xfId="2306" xr:uid="{00000000-0005-0000-0000-0000C8080000}"/>
    <cellStyle name="Currency 3 13" xfId="2307" xr:uid="{00000000-0005-0000-0000-0000C9080000}"/>
    <cellStyle name="Currency 3 13 2" xfId="2308" xr:uid="{00000000-0005-0000-0000-0000CA080000}"/>
    <cellStyle name="Currency 3 13 2 2" xfId="2309" xr:uid="{00000000-0005-0000-0000-0000CB080000}"/>
    <cellStyle name="Currency 3 13 2 3" xfId="2310" xr:uid="{00000000-0005-0000-0000-0000CC080000}"/>
    <cellStyle name="Currency 3 13 3" xfId="2311" xr:uid="{00000000-0005-0000-0000-0000CD080000}"/>
    <cellStyle name="Currency 3 130" xfId="2312" xr:uid="{00000000-0005-0000-0000-0000CE080000}"/>
    <cellStyle name="Currency 3 131" xfId="2313" xr:uid="{00000000-0005-0000-0000-0000CF080000}"/>
    <cellStyle name="Currency 3 132" xfId="2314" xr:uid="{00000000-0005-0000-0000-0000D0080000}"/>
    <cellStyle name="Currency 3 133" xfId="2315" xr:uid="{00000000-0005-0000-0000-0000D1080000}"/>
    <cellStyle name="Currency 3 134" xfId="2316" xr:uid="{00000000-0005-0000-0000-0000D2080000}"/>
    <cellStyle name="Currency 3 135" xfId="2317" xr:uid="{00000000-0005-0000-0000-0000D3080000}"/>
    <cellStyle name="Currency 3 136" xfId="2318" xr:uid="{00000000-0005-0000-0000-0000D4080000}"/>
    <cellStyle name="Currency 3 137" xfId="2319" xr:uid="{00000000-0005-0000-0000-0000D5080000}"/>
    <cellStyle name="Currency 3 138" xfId="2320" xr:uid="{00000000-0005-0000-0000-0000D6080000}"/>
    <cellStyle name="Currency 3 139" xfId="2321" xr:uid="{00000000-0005-0000-0000-0000D7080000}"/>
    <cellStyle name="Currency 3 14" xfId="2322" xr:uid="{00000000-0005-0000-0000-0000D8080000}"/>
    <cellStyle name="Currency 3 14 2" xfId="2323" xr:uid="{00000000-0005-0000-0000-0000D9080000}"/>
    <cellStyle name="Currency 3 14 2 2" xfId="2324" xr:uid="{00000000-0005-0000-0000-0000DA080000}"/>
    <cellStyle name="Currency 3 14 2 3" xfId="2325" xr:uid="{00000000-0005-0000-0000-0000DB080000}"/>
    <cellStyle name="Currency 3 14 3" xfId="2326" xr:uid="{00000000-0005-0000-0000-0000DC080000}"/>
    <cellStyle name="Currency 3 15" xfId="2327" xr:uid="{00000000-0005-0000-0000-0000DD080000}"/>
    <cellStyle name="Currency 3 15 2" xfId="2328" xr:uid="{00000000-0005-0000-0000-0000DE080000}"/>
    <cellStyle name="Currency 3 15 2 2" xfId="2329" xr:uid="{00000000-0005-0000-0000-0000DF080000}"/>
    <cellStyle name="Currency 3 15 2 3" xfId="2330" xr:uid="{00000000-0005-0000-0000-0000E0080000}"/>
    <cellStyle name="Currency 3 15 3" xfId="2331" xr:uid="{00000000-0005-0000-0000-0000E1080000}"/>
    <cellStyle name="Currency 3 16" xfId="2332" xr:uid="{00000000-0005-0000-0000-0000E2080000}"/>
    <cellStyle name="Currency 3 16 2" xfId="2333" xr:uid="{00000000-0005-0000-0000-0000E3080000}"/>
    <cellStyle name="Currency 3 16 2 2" xfId="2334" xr:uid="{00000000-0005-0000-0000-0000E4080000}"/>
    <cellStyle name="Currency 3 16 2 3" xfId="2335" xr:uid="{00000000-0005-0000-0000-0000E5080000}"/>
    <cellStyle name="Currency 3 16 3" xfId="2336" xr:uid="{00000000-0005-0000-0000-0000E6080000}"/>
    <cellStyle name="Currency 3 17" xfId="2337" xr:uid="{00000000-0005-0000-0000-0000E7080000}"/>
    <cellStyle name="Currency 3 17 2" xfId="2338" xr:uid="{00000000-0005-0000-0000-0000E8080000}"/>
    <cellStyle name="Currency 3 17 2 2" xfId="2339" xr:uid="{00000000-0005-0000-0000-0000E9080000}"/>
    <cellStyle name="Currency 3 17 2 3" xfId="2340" xr:uid="{00000000-0005-0000-0000-0000EA080000}"/>
    <cellStyle name="Currency 3 17 3" xfId="2341" xr:uid="{00000000-0005-0000-0000-0000EB080000}"/>
    <cellStyle name="Currency 3 18" xfId="2342" xr:uid="{00000000-0005-0000-0000-0000EC080000}"/>
    <cellStyle name="Currency 3 18 2" xfId="2343" xr:uid="{00000000-0005-0000-0000-0000ED080000}"/>
    <cellStyle name="Currency 3 18 2 2" xfId="2344" xr:uid="{00000000-0005-0000-0000-0000EE080000}"/>
    <cellStyle name="Currency 3 18 2 3" xfId="2345" xr:uid="{00000000-0005-0000-0000-0000EF080000}"/>
    <cellStyle name="Currency 3 18 3" xfId="2346" xr:uid="{00000000-0005-0000-0000-0000F0080000}"/>
    <cellStyle name="Currency 3 19" xfId="2347" xr:uid="{00000000-0005-0000-0000-0000F1080000}"/>
    <cellStyle name="Currency 3 19 2" xfId="2348" xr:uid="{00000000-0005-0000-0000-0000F2080000}"/>
    <cellStyle name="Currency 3 19 2 2" xfId="2349" xr:uid="{00000000-0005-0000-0000-0000F3080000}"/>
    <cellStyle name="Currency 3 19 2 3" xfId="2350" xr:uid="{00000000-0005-0000-0000-0000F4080000}"/>
    <cellStyle name="Currency 3 19 3" xfId="2351" xr:uid="{00000000-0005-0000-0000-0000F5080000}"/>
    <cellStyle name="Currency 3 2" xfId="2352" xr:uid="{00000000-0005-0000-0000-0000F6080000}"/>
    <cellStyle name="Currency 3 2 10" xfId="2353" xr:uid="{00000000-0005-0000-0000-0000F7080000}"/>
    <cellStyle name="Currency 3 2 11" xfId="2354" xr:uid="{00000000-0005-0000-0000-0000F8080000}"/>
    <cellStyle name="Currency 3 2 12" xfId="2355" xr:uid="{00000000-0005-0000-0000-0000F9080000}"/>
    <cellStyle name="Currency 3 2 13" xfId="2356" xr:uid="{00000000-0005-0000-0000-0000FA080000}"/>
    <cellStyle name="Currency 3 2 14" xfId="2357" xr:uid="{00000000-0005-0000-0000-0000FB080000}"/>
    <cellStyle name="Currency 3 2 15" xfId="2358" xr:uid="{00000000-0005-0000-0000-0000FC080000}"/>
    <cellStyle name="Currency 3 2 15 2" xfId="2359" xr:uid="{00000000-0005-0000-0000-0000FD080000}"/>
    <cellStyle name="Currency 3 2 16" xfId="2360" xr:uid="{00000000-0005-0000-0000-0000FE080000}"/>
    <cellStyle name="Currency 3 2 17" xfId="2361" xr:uid="{00000000-0005-0000-0000-0000FF080000}"/>
    <cellStyle name="Currency 3 2 18" xfId="2362" xr:uid="{00000000-0005-0000-0000-000000090000}"/>
    <cellStyle name="Currency 3 2 18 2" xfId="2363" xr:uid="{00000000-0005-0000-0000-000001090000}"/>
    <cellStyle name="Currency 3 2 19" xfId="2364" xr:uid="{00000000-0005-0000-0000-000002090000}"/>
    <cellStyle name="Currency 3 2 2" xfId="2365" xr:uid="{00000000-0005-0000-0000-000003090000}"/>
    <cellStyle name="Currency 3 2 2 10" xfId="2366" xr:uid="{00000000-0005-0000-0000-000004090000}"/>
    <cellStyle name="Currency 3 2 2 11" xfId="2367" xr:uid="{00000000-0005-0000-0000-000005090000}"/>
    <cellStyle name="Currency 3 2 2 12" xfId="2368" xr:uid="{00000000-0005-0000-0000-000006090000}"/>
    <cellStyle name="Currency 3 2 2 13" xfId="2369" xr:uid="{00000000-0005-0000-0000-000007090000}"/>
    <cellStyle name="Currency 3 2 2 14" xfId="2370" xr:uid="{00000000-0005-0000-0000-000008090000}"/>
    <cellStyle name="Currency 3 2 2 15" xfId="2371" xr:uid="{00000000-0005-0000-0000-000009090000}"/>
    <cellStyle name="Currency 3 2 2 16" xfId="2372" xr:uid="{00000000-0005-0000-0000-00000A090000}"/>
    <cellStyle name="Currency 3 2 2 17" xfId="2373" xr:uid="{00000000-0005-0000-0000-00000B090000}"/>
    <cellStyle name="Currency 3 2 2 18" xfId="2374" xr:uid="{00000000-0005-0000-0000-00000C090000}"/>
    <cellStyle name="Currency 3 2 2 2" xfId="2375" xr:uid="{00000000-0005-0000-0000-00000D090000}"/>
    <cellStyle name="Currency 3 2 2 2 10" xfId="2376" xr:uid="{00000000-0005-0000-0000-00000E090000}"/>
    <cellStyle name="Currency 3 2 2 2 11" xfId="2377" xr:uid="{00000000-0005-0000-0000-00000F090000}"/>
    <cellStyle name="Currency 3 2 2 2 12" xfId="2378" xr:uid="{00000000-0005-0000-0000-000010090000}"/>
    <cellStyle name="Currency 3 2 2 2 13" xfId="2379" xr:uid="{00000000-0005-0000-0000-000011090000}"/>
    <cellStyle name="Currency 3 2 2 2 14" xfId="2380" xr:uid="{00000000-0005-0000-0000-000012090000}"/>
    <cellStyle name="Currency 3 2 2 2 15" xfId="2381" xr:uid="{00000000-0005-0000-0000-000013090000}"/>
    <cellStyle name="Currency 3 2 2 2 16" xfId="2382" xr:uid="{00000000-0005-0000-0000-000014090000}"/>
    <cellStyle name="Currency 3 2 2 2 17" xfId="2383" xr:uid="{00000000-0005-0000-0000-000015090000}"/>
    <cellStyle name="Currency 3 2 2 2 2" xfId="2384" xr:uid="{00000000-0005-0000-0000-000016090000}"/>
    <cellStyle name="Currency 3 2 2 2 2 2" xfId="2385" xr:uid="{00000000-0005-0000-0000-000017090000}"/>
    <cellStyle name="Currency 3 2 2 2 2 2 2" xfId="2386" xr:uid="{00000000-0005-0000-0000-000018090000}"/>
    <cellStyle name="Currency 3 2 2 2 2 2 3" xfId="2387" xr:uid="{00000000-0005-0000-0000-000019090000}"/>
    <cellStyle name="Currency 3 2 2 2 2 2 4" xfId="2388" xr:uid="{00000000-0005-0000-0000-00001A090000}"/>
    <cellStyle name="Currency 3 2 2 2 2 2 5" xfId="2389" xr:uid="{00000000-0005-0000-0000-00001B090000}"/>
    <cellStyle name="Currency 3 2 2 2 2 3" xfId="2390" xr:uid="{00000000-0005-0000-0000-00001C090000}"/>
    <cellStyle name="Currency 3 2 2 2 2 4" xfId="2391" xr:uid="{00000000-0005-0000-0000-00001D090000}"/>
    <cellStyle name="Currency 3 2 2 2 2 5" xfId="2392" xr:uid="{00000000-0005-0000-0000-00001E090000}"/>
    <cellStyle name="Currency 3 2 2 2 3" xfId="2393" xr:uid="{00000000-0005-0000-0000-00001F090000}"/>
    <cellStyle name="Currency 3 2 2 2 4" xfId="2394" xr:uid="{00000000-0005-0000-0000-000020090000}"/>
    <cellStyle name="Currency 3 2 2 2 5" xfId="2395" xr:uid="{00000000-0005-0000-0000-000021090000}"/>
    <cellStyle name="Currency 3 2 2 2 6" xfId="2396" xr:uid="{00000000-0005-0000-0000-000022090000}"/>
    <cellStyle name="Currency 3 2 2 2 7" xfId="2397" xr:uid="{00000000-0005-0000-0000-000023090000}"/>
    <cellStyle name="Currency 3 2 2 2 8" xfId="2398" xr:uid="{00000000-0005-0000-0000-000024090000}"/>
    <cellStyle name="Currency 3 2 2 2 9" xfId="2399" xr:uid="{00000000-0005-0000-0000-000025090000}"/>
    <cellStyle name="Currency 3 2 2 3" xfId="2400" xr:uid="{00000000-0005-0000-0000-000026090000}"/>
    <cellStyle name="Currency 3 2 2 4" xfId="2401" xr:uid="{00000000-0005-0000-0000-000027090000}"/>
    <cellStyle name="Currency 3 2 2 5" xfId="2402" xr:uid="{00000000-0005-0000-0000-000028090000}"/>
    <cellStyle name="Currency 3 2 2 6" xfId="2403" xr:uid="{00000000-0005-0000-0000-000029090000}"/>
    <cellStyle name="Currency 3 2 2 7" xfId="2404" xr:uid="{00000000-0005-0000-0000-00002A090000}"/>
    <cellStyle name="Currency 3 2 2 8" xfId="2405" xr:uid="{00000000-0005-0000-0000-00002B090000}"/>
    <cellStyle name="Currency 3 2 2 9" xfId="2406" xr:uid="{00000000-0005-0000-0000-00002C090000}"/>
    <cellStyle name="Currency 3 2 20" xfId="2407" xr:uid="{00000000-0005-0000-0000-00002D090000}"/>
    <cellStyle name="Currency 3 2 21" xfId="2408" xr:uid="{00000000-0005-0000-0000-00002E090000}"/>
    <cellStyle name="Currency 3 2 3" xfId="2409" xr:uid="{00000000-0005-0000-0000-00002F090000}"/>
    <cellStyle name="Currency 3 2 4" xfId="2410" xr:uid="{00000000-0005-0000-0000-000030090000}"/>
    <cellStyle name="Currency 3 2 5" xfId="2411" xr:uid="{00000000-0005-0000-0000-000031090000}"/>
    <cellStyle name="Currency 3 2 6" xfId="2412" xr:uid="{00000000-0005-0000-0000-000032090000}"/>
    <cellStyle name="Currency 3 2 7" xfId="2413" xr:uid="{00000000-0005-0000-0000-000033090000}"/>
    <cellStyle name="Currency 3 2 8" xfId="2414" xr:uid="{00000000-0005-0000-0000-000034090000}"/>
    <cellStyle name="Currency 3 2 9" xfId="2415" xr:uid="{00000000-0005-0000-0000-000035090000}"/>
    <cellStyle name="Currency 3 20" xfId="2416" xr:uid="{00000000-0005-0000-0000-000036090000}"/>
    <cellStyle name="Currency 3 20 2" xfId="2417" xr:uid="{00000000-0005-0000-0000-000037090000}"/>
    <cellStyle name="Currency 3 20 3" xfId="2418" xr:uid="{00000000-0005-0000-0000-000038090000}"/>
    <cellStyle name="Currency 3 20 4" xfId="2419" xr:uid="{00000000-0005-0000-0000-000039090000}"/>
    <cellStyle name="Currency 3 21" xfId="2420" xr:uid="{00000000-0005-0000-0000-00003A090000}"/>
    <cellStyle name="Currency 3 21 2" xfId="2421" xr:uid="{00000000-0005-0000-0000-00003B090000}"/>
    <cellStyle name="Currency 3 22" xfId="2422" xr:uid="{00000000-0005-0000-0000-00003C090000}"/>
    <cellStyle name="Currency 3 22 2" xfId="2423" xr:uid="{00000000-0005-0000-0000-00003D090000}"/>
    <cellStyle name="Currency 3 23" xfId="2424" xr:uid="{00000000-0005-0000-0000-00003E090000}"/>
    <cellStyle name="Currency 3 23 2" xfId="2425" xr:uid="{00000000-0005-0000-0000-00003F090000}"/>
    <cellStyle name="Currency 3 24" xfId="2426" xr:uid="{00000000-0005-0000-0000-000040090000}"/>
    <cellStyle name="Currency 3 24 2" xfId="2427" xr:uid="{00000000-0005-0000-0000-000041090000}"/>
    <cellStyle name="Currency 3 25" xfId="2428" xr:uid="{00000000-0005-0000-0000-000042090000}"/>
    <cellStyle name="Currency 3 25 2" xfId="2429" xr:uid="{00000000-0005-0000-0000-000043090000}"/>
    <cellStyle name="Currency 3 26" xfId="2430" xr:uid="{00000000-0005-0000-0000-000044090000}"/>
    <cellStyle name="Currency 3 26 2" xfId="2431" xr:uid="{00000000-0005-0000-0000-000045090000}"/>
    <cellStyle name="Currency 3 27" xfId="2432" xr:uid="{00000000-0005-0000-0000-000046090000}"/>
    <cellStyle name="Currency 3 27 2" xfId="2433" xr:uid="{00000000-0005-0000-0000-000047090000}"/>
    <cellStyle name="Currency 3 28" xfId="2434" xr:uid="{00000000-0005-0000-0000-000048090000}"/>
    <cellStyle name="Currency 3 28 2" xfId="2435" xr:uid="{00000000-0005-0000-0000-000049090000}"/>
    <cellStyle name="Currency 3 29" xfId="2436" xr:uid="{00000000-0005-0000-0000-00004A090000}"/>
    <cellStyle name="Currency 3 29 2" xfId="2437" xr:uid="{00000000-0005-0000-0000-00004B090000}"/>
    <cellStyle name="Currency 3 3" xfId="2438" xr:uid="{00000000-0005-0000-0000-00004C090000}"/>
    <cellStyle name="Currency 3 3 10" xfId="2439" xr:uid="{00000000-0005-0000-0000-00004D090000}"/>
    <cellStyle name="Currency 3 3 10 2" xfId="2440" xr:uid="{00000000-0005-0000-0000-00004E090000}"/>
    <cellStyle name="Currency 3 3 11" xfId="2441" xr:uid="{00000000-0005-0000-0000-00004F090000}"/>
    <cellStyle name="Currency 3 3 11 2" xfId="2442" xr:uid="{00000000-0005-0000-0000-000050090000}"/>
    <cellStyle name="Currency 3 3 12" xfId="2443" xr:uid="{00000000-0005-0000-0000-000051090000}"/>
    <cellStyle name="Currency 3 3 13" xfId="2444" xr:uid="{00000000-0005-0000-0000-000052090000}"/>
    <cellStyle name="Currency 3 3 14" xfId="2445" xr:uid="{00000000-0005-0000-0000-000053090000}"/>
    <cellStyle name="Currency 3 3 14 2" xfId="2446" xr:uid="{00000000-0005-0000-0000-000054090000}"/>
    <cellStyle name="Currency 3 3 15" xfId="2447" xr:uid="{00000000-0005-0000-0000-000055090000}"/>
    <cellStyle name="Currency 3 3 2" xfId="2448" xr:uid="{00000000-0005-0000-0000-000056090000}"/>
    <cellStyle name="Currency 3 3 2 10" xfId="2449" xr:uid="{00000000-0005-0000-0000-000057090000}"/>
    <cellStyle name="Currency 3 3 2 10 2" xfId="2450" xr:uid="{00000000-0005-0000-0000-000058090000}"/>
    <cellStyle name="Currency 3 3 2 10 2 2" xfId="2451" xr:uid="{00000000-0005-0000-0000-000059090000}"/>
    <cellStyle name="Currency 3 3 2 10 3" xfId="2452" xr:uid="{00000000-0005-0000-0000-00005A090000}"/>
    <cellStyle name="Currency 3 3 2 11" xfId="2453" xr:uid="{00000000-0005-0000-0000-00005B090000}"/>
    <cellStyle name="Currency 3 3 2 11 2" xfId="2454" xr:uid="{00000000-0005-0000-0000-00005C090000}"/>
    <cellStyle name="Currency 3 3 2 11 2 2" xfId="2455" xr:uid="{00000000-0005-0000-0000-00005D090000}"/>
    <cellStyle name="Currency 3 3 2 11 3" xfId="2456" xr:uid="{00000000-0005-0000-0000-00005E090000}"/>
    <cellStyle name="Currency 3 3 2 12" xfId="2457" xr:uid="{00000000-0005-0000-0000-00005F090000}"/>
    <cellStyle name="Currency 3 3 2 12 2" xfId="2458" xr:uid="{00000000-0005-0000-0000-000060090000}"/>
    <cellStyle name="Currency 3 3 2 12 2 2" xfId="2459" xr:uid="{00000000-0005-0000-0000-000061090000}"/>
    <cellStyle name="Currency 3 3 2 12 3" xfId="2460" xr:uid="{00000000-0005-0000-0000-000062090000}"/>
    <cellStyle name="Currency 3 3 2 12 4" xfId="2461" xr:uid="{00000000-0005-0000-0000-000063090000}"/>
    <cellStyle name="Currency 3 3 2 13" xfId="2462" xr:uid="{00000000-0005-0000-0000-000064090000}"/>
    <cellStyle name="Currency 3 3 2 13 2" xfId="2463" xr:uid="{00000000-0005-0000-0000-000065090000}"/>
    <cellStyle name="Currency 3 3 2 13 2 2" xfId="2464" xr:uid="{00000000-0005-0000-0000-000066090000}"/>
    <cellStyle name="Currency 3 3 2 13 3" xfId="2465" xr:uid="{00000000-0005-0000-0000-000067090000}"/>
    <cellStyle name="Currency 3 3 2 14" xfId="2466" xr:uid="{00000000-0005-0000-0000-000068090000}"/>
    <cellStyle name="Currency 3 3 2 15" xfId="2467" xr:uid="{00000000-0005-0000-0000-000069090000}"/>
    <cellStyle name="Currency 3 3 2 2" xfId="2468" xr:uid="{00000000-0005-0000-0000-00006A090000}"/>
    <cellStyle name="Currency 3 3 2 2 2" xfId="2469" xr:uid="{00000000-0005-0000-0000-00006B090000}"/>
    <cellStyle name="Currency 3 3 2 2 2 2" xfId="2470" xr:uid="{00000000-0005-0000-0000-00006C090000}"/>
    <cellStyle name="Currency 3 3 2 2 3" xfId="2471" xr:uid="{00000000-0005-0000-0000-00006D090000}"/>
    <cellStyle name="Currency 3 3 2 3" xfId="2472" xr:uid="{00000000-0005-0000-0000-00006E090000}"/>
    <cellStyle name="Currency 3 3 2 3 2" xfId="2473" xr:uid="{00000000-0005-0000-0000-00006F090000}"/>
    <cellStyle name="Currency 3 3 2 3 2 2" xfId="2474" xr:uid="{00000000-0005-0000-0000-000070090000}"/>
    <cellStyle name="Currency 3 3 2 3 3" xfId="2475" xr:uid="{00000000-0005-0000-0000-000071090000}"/>
    <cellStyle name="Currency 3 3 2 4" xfId="2476" xr:uid="{00000000-0005-0000-0000-000072090000}"/>
    <cellStyle name="Currency 3 3 2 4 2" xfId="2477" xr:uid="{00000000-0005-0000-0000-000073090000}"/>
    <cellStyle name="Currency 3 3 2 4 2 2" xfId="2478" xr:uid="{00000000-0005-0000-0000-000074090000}"/>
    <cellStyle name="Currency 3 3 2 4 3" xfId="2479" xr:uid="{00000000-0005-0000-0000-000075090000}"/>
    <cellStyle name="Currency 3 3 2 5" xfId="2480" xr:uid="{00000000-0005-0000-0000-000076090000}"/>
    <cellStyle name="Currency 3 3 2 5 2" xfId="2481" xr:uid="{00000000-0005-0000-0000-000077090000}"/>
    <cellStyle name="Currency 3 3 2 5 2 2" xfId="2482" xr:uid="{00000000-0005-0000-0000-000078090000}"/>
    <cellStyle name="Currency 3 3 2 5 3" xfId="2483" xr:uid="{00000000-0005-0000-0000-000079090000}"/>
    <cellStyle name="Currency 3 3 2 6" xfId="2484" xr:uid="{00000000-0005-0000-0000-00007A090000}"/>
    <cellStyle name="Currency 3 3 2 6 2" xfId="2485" xr:uid="{00000000-0005-0000-0000-00007B090000}"/>
    <cellStyle name="Currency 3 3 2 6 2 2" xfId="2486" xr:uid="{00000000-0005-0000-0000-00007C090000}"/>
    <cellStyle name="Currency 3 3 2 6 3" xfId="2487" xr:uid="{00000000-0005-0000-0000-00007D090000}"/>
    <cellStyle name="Currency 3 3 2 7" xfId="2488" xr:uid="{00000000-0005-0000-0000-00007E090000}"/>
    <cellStyle name="Currency 3 3 2 7 2" xfId="2489" xr:uid="{00000000-0005-0000-0000-00007F090000}"/>
    <cellStyle name="Currency 3 3 2 7 2 2" xfId="2490" xr:uid="{00000000-0005-0000-0000-000080090000}"/>
    <cellStyle name="Currency 3 3 2 7 3" xfId="2491" xr:uid="{00000000-0005-0000-0000-000081090000}"/>
    <cellStyle name="Currency 3 3 2 8" xfId="2492" xr:uid="{00000000-0005-0000-0000-000082090000}"/>
    <cellStyle name="Currency 3 3 2 8 2" xfId="2493" xr:uid="{00000000-0005-0000-0000-000083090000}"/>
    <cellStyle name="Currency 3 3 2 8 2 2" xfId="2494" xr:uid="{00000000-0005-0000-0000-000084090000}"/>
    <cellStyle name="Currency 3 3 2 8 3" xfId="2495" xr:uid="{00000000-0005-0000-0000-000085090000}"/>
    <cellStyle name="Currency 3 3 2 9" xfId="2496" xr:uid="{00000000-0005-0000-0000-000086090000}"/>
    <cellStyle name="Currency 3 3 2 9 2" xfId="2497" xr:uid="{00000000-0005-0000-0000-000087090000}"/>
    <cellStyle name="Currency 3 3 2 9 2 2" xfId="2498" xr:uid="{00000000-0005-0000-0000-000088090000}"/>
    <cellStyle name="Currency 3 3 2 9 3" xfId="2499" xr:uid="{00000000-0005-0000-0000-000089090000}"/>
    <cellStyle name="Currency 3 3 3" xfId="2500" xr:uid="{00000000-0005-0000-0000-00008A090000}"/>
    <cellStyle name="Currency 3 3 3 2" xfId="2501" xr:uid="{00000000-0005-0000-0000-00008B090000}"/>
    <cellStyle name="Currency 3 3 4" xfId="2502" xr:uid="{00000000-0005-0000-0000-00008C090000}"/>
    <cellStyle name="Currency 3 3 4 2" xfId="2503" xr:uid="{00000000-0005-0000-0000-00008D090000}"/>
    <cellStyle name="Currency 3 3 5" xfId="2504" xr:uid="{00000000-0005-0000-0000-00008E090000}"/>
    <cellStyle name="Currency 3 3 5 2" xfId="2505" xr:uid="{00000000-0005-0000-0000-00008F090000}"/>
    <cellStyle name="Currency 3 3 6" xfId="2506" xr:uid="{00000000-0005-0000-0000-000090090000}"/>
    <cellStyle name="Currency 3 3 6 2" xfId="2507" xr:uid="{00000000-0005-0000-0000-000091090000}"/>
    <cellStyle name="Currency 3 3 7" xfId="2508" xr:uid="{00000000-0005-0000-0000-000092090000}"/>
    <cellStyle name="Currency 3 3 7 2" xfId="2509" xr:uid="{00000000-0005-0000-0000-000093090000}"/>
    <cellStyle name="Currency 3 3 8" xfId="2510" xr:uid="{00000000-0005-0000-0000-000094090000}"/>
    <cellStyle name="Currency 3 3 8 2" xfId="2511" xr:uid="{00000000-0005-0000-0000-000095090000}"/>
    <cellStyle name="Currency 3 3 9" xfId="2512" xr:uid="{00000000-0005-0000-0000-000096090000}"/>
    <cellStyle name="Currency 3 3 9 2" xfId="2513" xr:uid="{00000000-0005-0000-0000-000097090000}"/>
    <cellStyle name="Currency 3 30" xfId="2514" xr:uid="{00000000-0005-0000-0000-000098090000}"/>
    <cellStyle name="Currency 3 30 2" xfId="2515" xr:uid="{00000000-0005-0000-0000-000099090000}"/>
    <cellStyle name="Currency 3 31" xfId="2516" xr:uid="{00000000-0005-0000-0000-00009A090000}"/>
    <cellStyle name="Currency 3 31 2" xfId="2517" xr:uid="{00000000-0005-0000-0000-00009B090000}"/>
    <cellStyle name="Currency 3 32" xfId="2518" xr:uid="{00000000-0005-0000-0000-00009C090000}"/>
    <cellStyle name="Currency 3 32 2" xfId="2519" xr:uid="{00000000-0005-0000-0000-00009D090000}"/>
    <cellStyle name="Currency 3 33" xfId="2520" xr:uid="{00000000-0005-0000-0000-00009E090000}"/>
    <cellStyle name="Currency 3 33 2" xfId="2521" xr:uid="{00000000-0005-0000-0000-00009F090000}"/>
    <cellStyle name="Currency 3 34" xfId="2522" xr:uid="{00000000-0005-0000-0000-0000A0090000}"/>
    <cellStyle name="Currency 3 34 2" xfId="2523" xr:uid="{00000000-0005-0000-0000-0000A1090000}"/>
    <cellStyle name="Currency 3 35" xfId="2524" xr:uid="{00000000-0005-0000-0000-0000A2090000}"/>
    <cellStyle name="Currency 3 35 2" xfId="2525" xr:uid="{00000000-0005-0000-0000-0000A3090000}"/>
    <cellStyle name="Currency 3 36" xfId="2526" xr:uid="{00000000-0005-0000-0000-0000A4090000}"/>
    <cellStyle name="Currency 3 36 2" xfId="2527" xr:uid="{00000000-0005-0000-0000-0000A5090000}"/>
    <cellStyle name="Currency 3 37" xfId="2528" xr:uid="{00000000-0005-0000-0000-0000A6090000}"/>
    <cellStyle name="Currency 3 37 2" xfId="2529" xr:uid="{00000000-0005-0000-0000-0000A7090000}"/>
    <cellStyle name="Currency 3 38" xfId="2530" xr:uid="{00000000-0005-0000-0000-0000A8090000}"/>
    <cellStyle name="Currency 3 38 2" xfId="2531" xr:uid="{00000000-0005-0000-0000-0000A9090000}"/>
    <cellStyle name="Currency 3 39" xfId="2532" xr:uid="{00000000-0005-0000-0000-0000AA090000}"/>
    <cellStyle name="Currency 3 39 2" xfId="2533" xr:uid="{00000000-0005-0000-0000-0000AB090000}"/>
    <cellStyle name="Currency 3 4" xfId="2534" xr:uid="{00000000-0005-0000-0000-0000AC090000}"/>
    <cellStyle name="Currency 3 4 2" xfId="2535" xr:uid="{00000000-0005-0000-0000-0000AD090000}"/>
    <cellStyle name="Currency 3 4 2 2" xfId="2536" xr:uid="{00000000-0005-0000-0000-0000AE090000}"/>
    <cellStyle name="Currency 3 4 2 2 2" xfId="2537" xr:uid="{00000000-0005-0000-0000-0000AF090000}"/>
    <cellStyle name="Currency 3 4 2 3" xfId="2538" xr:uid="{00000000-0005-0000-0000-0000B0090000}"/>
    <cellStyle name="Currency 3 4 2 4" xfId="2539" xr:uid="{00000000-0005-0000-0000-0000B1090000}"/>
    <cellStyle name="Currency 3 4 2 5" xfId="2540" xr:uid="{00000000-0005-0000-0000-0000B2090000}"/>
    <cellStyle name="Currency 3 4 3" xfId="2541" xr:uid="{00000000-0005-0000-0000-0000B3090000}"/>
    <cellStyle name="Currency 3 4 4" xfId="2542" xr:uid="{00000000-0005-0000-0000-0000B4090000}"/>
    <cellStyle name="Currency 3 4 5" xfId="2543" xr:uid="{00000000-0005-0000-0000-0000B5090000}"/>
    <cellStyle name="Currency 3 4 6" xfId="2544" xr:uid="{00000000-0005-0000-0000-0000B6090000}"/>
    <cellStyle name="Currency 3 40" xfId="2545" xr:uid="{00000000-0005-0000-0000-0000B7090000}"/>
    <cellStyle name="Currency 3 40 2" xfId="2546" xr:uid="{00000000-0005-0000-0000-0000B8090000}"/>
    <cellStyle name="Currency 3 41" xfId="2547" xr:uid="{00000000-0005-0000-0000-0000B9090000}"/>
    <cellStyle name="Currency 3 41 2" xfId="2548" xr:uid="{00000000-0005-0000-0000-0000BA090000}"/>
    <cellStyle name="Currency 3 42" xfId="2549" xr:uid="{00000000-0005-0000-0000-0000BB090000}"/>
    <cellStyle name="Currency 3 42 2" xfId="2550" xr:uid="{00000000-0005-0000-0000-0000BC090000}"/>
    <cellStyle name="Currency 3 43" xfId="2551" xr:uid="{00000000-0005-0000-0000-0000BD090000}"/>
    <cellStyle name="Currency 3 43 2" xfId="2552" xr:uid="{00000000-0005-0000-0000-0000BE090000}"/>
    <cellStyle name="Currency 3 44" xfId="2553" xr:uid="{00000000-0005-0000-0000-0000BF090000}"/>
    <cellStyle name="Currency 3 44 2" xfId="2554" xr:uid="{00000000-0005-0000-0000-0000C0090000}"/>
    <cellStyle name="Currency 3 45" xfId="2555" xr:uid="{00000000-0005-0000-0000-0000C1090000}"/>
    <cellStyle name="Currency 3 45 2" xfId="2556" xr:uid="{00000000-0005-0000-0000-0000C2090000}"/>
    <cellStyle name="Currency 3 46" xfId="2557" xr:uid="{00000000-0005-0000-0000-0000C3090000}"/>
    <cellStyle name="Currency 3 46 2" xfId="2558" xr:uid="{00000000-0005-0000-0000-0000C4090000}"/>
    <cellStyle name="Currency 3 47" xfId="2559" xr:uid="{00000000-0005-0000-0000-0000C5090000}"/>
    <cellStyle name="Currency 3 47 2" xfId="2560" xr:uid="{00000000-0005-0000-0000-0000C6090000}"/>
    <cellStyle name="Currency 3 48" xfId="2561" xr:uid="{00000000-0005-0000-0000-0000C7090000}"/>
    <cellStyle name="Currency 3 48 2" xfId="2562" xr:uid="{00000000-0005-0000-0000-0000C8090000}"/>
    <cellStyle name="Currency 3 49" xfId="2563" xr:uid="{00000000-0005-0000-0000-0000C9090000}"/>
    <cellStyle name="Currency 3 49 2" xfId="2564" xr:uid="{00000000-0005-0000-0000-0000CA090000}"/>
    <cellStyle name="Currency 3 5" xfId="2565" xr:uid="{00000000-0005-0000-0000-0000CB090000}"/>
    <cellStyle name="Currency 3 5 2" xfId="2566" xr:uid="{00000000-0005-0000-0000-0000CC090000}"/>
    <cellStyle name="Currency 3 5 2 2" xfId="2567" xr:uid="{00000000-0005-0000-0000-0000CD090000}"/>
    <cellStyle name="Currency 3 5 2 3" xfId="2568" xr:uid="{00000000-0005-0000-0000-0000CE090000}"/>
    <cellStyle name="Currency 3 5 3" xfId="2569" xr:uid="{00000000-0005-0000-0000-0000CF090000}"/>
    <cellStyle name="Currency 3 50" xfId="2570" xr:uid="{00000000-0005-0000-0000-0000D0090000}"/>
    <cellStyle name="Currency 3 50 2" xfId="2571" xr:uid="{00000000-0005-0000-0000-0000D1090000}"/>
    <cellStyle name="Currency 3 51" xfId="2572" xr:uid="{00000000-0005-0000-0000-0000D2090000}"/>
    <cellStyle name="Currency 3 51 2" xfId="2573" xr:uid="{00000000-0005-0000-0000-0000D3090000}"/>
    <cellStyle name="Currency 3 52" xfId="2574" xr:uid="{00000000-0005-0000-0000-0000D4090000}"/>
    <cellStyle name="Currency 3 52 2" xfId="2575" xr:uid="{00000000-0005-0000-0000-0000D5090000}"/>
    <cellStyle name="Currency 3 53" xfId="2576" xr:uid="{00000000-0005-0000-0000-0000D6090000}"/>
    <cellStyle name="Currency 3 53 2" xfId="2577" xr:uid="{00000000-0005-0000-0000-0000D7090000}"/>
    <cellStyle name="Currency 3 54" xfId="2578" xr:uid="{00000000-0005-0000-0000-0000D8090000}"/>
    <cellStyle name="Currency 3 54 2" xfId="2579" xr:uid="{00000000-0005-0000-0000-0000D9090000}"/>
    <cellStyle name="Currency 3 55" xfId="2580" xr:uid="{00000000-0005-0000-0000-0000DA090000}"/>
    <cellStyle name="Currency 3 55 2" xfId="2581" xr:uid="{00000000-0005-0000-0000-0000DB090000}"/>
    <cellStyle name="Currency 3 56" xfId="2582" xr:uid="{00000000-0005-0000-0000-0000DC090000}"/>
    <cellStyle name="Currency 3 56 2" xfId="2583" xr:uid="{00000000-0005-0000-0000-0000DD090000}"/>
    <cellStyle name="Currency 3 57" xfId="2584" xr:uid="{00000000-0005-0000-0000-0000DE090000}"/>
    <cellStyle name="Currency 3 57 2" xfId="2585" xr:uid="{00000000-0005-0000-0000-0000DF090000}"/>
    <cellStyle name="Currency 3 58" xfId="2586" xr:uid="{00000000-0005-0000-0000-0000E0090000}"/>
    <cellStyle name="Currency 3 58 2" xfId="2587" xr:uid="{00000000-0005-0000-0000-0000E1090000}"/>
    <cellStyle name="Currency 3 59" xfId="2588" xr:uid="{00000000-0005-0000-0000-0000E2090000}"/>
    <cellStyle name="Currency 3 59 2" xfId="2589" xr:uid="{00000000-0005-0000-0000-0000E3090000}"/>
    <cellStyle name="Currency 3 6" xfId="2590" xr:uid="{00000000-0005-0000-0000-0000E4090000}"/>
    <cellStyle name="Currency 3 6 2" xfId="2591" xr:uid="{00000000-0005-0000-0000-0000E5090000}"/>
    <cellStyle name="Currency 3 6 2 2" xfId="2592" xr:uid="{00000000-0005-0000-0000-0000E6090000}"/>
    <cellStyle name="Currency 3 6 2 3" xfId="2593" xr:uid="{00000000-0005-0000-0000-0000E7090000}"/>
    <cellStyle name="Currency 3 6 3" xfId="2594" xr:uid="{00000000-0005-0000-0000-0000E8090000}"/>
    <cellStyle name="Currency 3 60" xfId="2595" xr:uid="{00000000-0005-0000-0000-0000E9090000}"/>
    <cellStyle name="Currency 3 60 2" xfId="2596" xr:uid="{00000000-0005-0000-0000-0000EA090000}"/>
    <cellStyle name="Currency 3 61" xfId="2597" xr:uid="{00000000-0005-0000-0000-0000EB090000}"/>
    <cellStyle name="Currency 3 61 2" xfId="2598" xr:uid="{00000000-0005-0000-0000-0000EC090000}"/>
    <cellStyle name="Currency 3 62" xfId="2599" xr:uid="{00000000-0005-0000-0000-0000ED090000}"/>
    <cellStyle name="Currency 3 63" xfId="2600" xr:uid="{00000000-0005-0000-0000-0000EE090000}"/>
    <cellStyle name="Currency 3 64" xfId="2601" xr:uid="{00000000-0005-0000-0000-0000EF090000}"/>
    <cellStyle name="Currency 3 65" xfId="2602" xr:uid="{00000000-0005-0000-0000-0000F0090000}"/>
    <cellStyle name="Currency 3 66" xfId="2603" xr:uid="{00000000-0005-0000-0000-0000F1090000}"/>
    <cellStyle name="Currency 3 67" xfId="2604" xr:uid="{00000000-0005-0000-0000-0000F2090000}"/>
    <cellStyle name="Currency 3 68" xfId="2605" xr:uid="{00000000-0005-0000-0000-0000F3090000}"/>
    <cellStyle name="Currency 3 69" xfId="2606" xr:uid="{00000000-0005-0000-0000-0000F4090000}"/>
    <cellStyle name="Currency 3 7" xfId="2607" xr:uid="{00000000-0005-0000-0000-0000F5090000}"/>
    <cellStyle name="Currency 3 7 2" xfId="2608" xr:uid="{00000000-0005-0000-0000-0000F6090000}"/>
    <cellStyle name="Currency 3 7 2 2" xfId="2609" xr:uid="{00000000-0005-0000-0000-0000F7090000}"/>
    <cellStyle name="Currency 3 7 2 3" xfId="2610" xr:uid="{00000000-0005-0000-0000-0000F8090000}"/>
    <cellStyle name="Currency 3 7 3" xfId="2611" xr:uid="{00000000-0005-0000-0000-0000F9090000}"/>
    <cellStyle name="Currency 3 70" xfId="2612" xr:uid="{00000000-0005-0000-0000-0000FA090000}"/>
    <cellStyle name="Currency 3 71" xfId="2613" xr:uid="{00000000-0005-0000-0000-0000FB090000}"/>
    <cellStyle name="Currency 3 72" xfId="2614" xr:uid="{00000000-0005-0000-0000-0000FC090000}"/>
    <cellStyle name="Currency 3 73" xfId="2615" xr:uid="{00000000-0005-0000-0000-0000FD090000}"/>
    <cellStyle name="Currency 3 74" xfId="2616" xr:uid="{00000000-0005-0000-0000-0000FE090000}"/>
    <cellStyle name="Currency 3 75" xfId="2617" xr:uid="{00000000-0005-0000-0000-0000FF090000}"/>
    <cellStyle name="Currency 3 76" xfId="2618" xr:uid="{00000000-0005-0000-0000-0000000A0000}"/>
    <cellStyle name="Currency 3 77" xfId="2619" xr:uid="{00000000-0005-0000-0000-0000010A0000}"/>
    <cellStyle name="Currency 3 78" xfId="2620" xr:uid="{00000000-0005-0000-0000-0000020A0000}"/>
    <cellStyle name="Currency 3 79" xfId="2621" xr:uid="{00000000-0005-0000-0000-0000030A0000}"/>
    <cellStyle name="Currency 3 8" xfId="2622" xr:uid="{00000000-0005-0000-0000-0000040A0000}"/>
    <cellStyle name="Currency 3 8 2" xfId="2623" xr:uid="{00000000-0005-0000-0000-0000050A0000}"/>
    <cellStyle name="Currency 3 8 2 2" xfId="2624" xr:uid="{00000000-0005-0000-0000-0000060A0000}"/>
    <cellStyle name="Currency 3 8 2 3" xfId="2625" xr:uid="{00000000-0005-0000-0000-0000070A0000}"/>
    <cellStyle name="Currency 3 8 3" xfId="2626" xr:uid="{00000000-0005-0000-0000-0000080A0000}"/>
    <cellStyle name="Currency 3 80" xfId="2627" xr:uid="{00000000-0005-0000-0000-0000090A0000}"/>
    <cellStyle name="Currency 3 81" xfId="2628" xr:uid="{00000000-0005-0000-0000-00000A0A0000}"/>
    <cellStyle name="Currency 3 82" xfId="2629" xr:uid="{00000000-0005-0000-0000-00000B0A0000}"/>
    <cellStyle name="Currency 3 83" xfId="2630" xr:uid="{00000000-0005-0000-0000-00000C0A0000}"/>
    <cellStyle name="Currency 3 84" xfId="2631" xr:uid="{00000000-0005-0000-0000-00000D0A0000}"/>
    <cellStyle name="Currency 3 85" xfId="2632" xr:uid="{00000000-0005-0000-0000-00000E0A0000}"/>
    <cellStyle name="Currency 3 86" xfId="2633" xr:uid="{00000000-0005-0000-0000-00000F0A0000}"/>
    <cellStyle name="Currency 3 87" xfId="2634" xr:uid="{00000000-0005-0000-0000-0000100A0000}"/>
    <cellStyle name="Currency 3 88" xfId="2635" xr:uid="{00000000-0005-0000-0000-0000110A0000}"/>
    <cellStyle name="Currency 3 89" xfId="2636" xr:uid="{00000000-0005-0000-0000-0000120A0000}"/>
    <cellStyle name="Currency 3 9" xfId="2637" xr:uid="{00000000-0005-0000-0000-0000130A0000}"/>
    <cellStyle name="Currency 3 9 2" xfId="2638" xr:uid="{00000000-0005-0000-0000-0000140A0000}"/>
    <cellStyle name="Currency 3 9 2 2" xfId="2639" xr:uid="{00000000-0005-0000-0000-0000150A0000}"/>
    <cellStyle name="Currency 3 9 2 3" xfId="2640" xr:uid="{00000000-0005-0000-0000-0000160A0000}"/>
    <cellStyle name="Currency 3 9 3" xfId="2641" xr:uid="{00000000-0005-0000-0000-0000170A0000}"/>
    <cellStyle name="Currency 3 90" xfId="2642" xr:uid="{00000000-0005-0000-0000-0000180A0000}"/>
    <cellStyle name="Currency 3 91" xfId="2643" xr:uid="{00000000-0005-0000-0000-0000190A0000}"/>
    <cellStyle name="Currency 3 92" xfId="2644" xr:uid="{00000000-0005-0000-0000-00001A0A0000}"/>
    <cellStyle name="Currency 3 92 2" xfId="2645" xr:uid="{00000000-0005-0000-0000-00001B0A0000}"/>
    <cellStyle name="Currency 3 93" xfId="2646" xr:uid="{00000000-0005-0000-0000-00001C0A0000}"/>
    <cellStyle name="Currency 3 94" xfId="2647" xr:uid="{00000000-0005-0000-0000-00001D0A0000}"/>
    <cellStyle name="Currency 3 95" xfId="2648" xr:uid="{00000000-0005-0000-0000-00001E0A0000}"/>
    <cellStyle name="Currency 3 96" xfId="2649" xr:uid="{00000000-0005-0000-0000-00001F0A0000}"/>
    <cellStyle name="Currency 3 97" xfId="2650" xr:uid="{00000000-0005-0000-0000-0000200A0000}"/>
    <cellStyle name="Currency 3 98" xfId="2651" xr:uid="{00000000-0005-0000-0000-0000210A0000}"/>
    <cellStyle name="Currency 3 99" xfId="2652" xr:uid="{00000000-0005-0000-0000-0000220A0000}"/>
    <cellStyle name="Currency 30" xfId="2653" xr:uid="{00000000-0005-0000-0000-0000230A0000}"/>
    <cellStyle name="Currency 31" xfId="2654" xr:uid="{00000000-0005-0000-0000-0000240A0000}"/>
    <cellStyle name="Currency 32" xfId="2655" xr:uid="{00000000-0005-0000-0000-0000250A0000}"/>
    <cellStyle name="Currency 33" xfId="2656" xr:uid="{00000000-0005-0000-0000-0000260A0000}"/>
    <cellStyle name="Currency 34" xfId="2657" xr:uid="{00000000-0005-0000-0000-0000270A0000}"/>
    <cellStyle name="Currency 35" xfId="2658" xr:uid="{00000000-0005-0000-0000-0000280A0000}"/>
    <cellStyle name="Currency 36" xfId="2659" xr:uid="{00000000-0005-0000-0000-0000290A0000}"/>
    <cellStyle name="Currency 37" xfId="9441" xr:uid="{00000000-0005-0000-0000-00002A0A0000}"/>
    <cellStyle name="Currency 38" xfId="45" xr:uid="{00000000-0005-0000-0000-00002B0A0000}"/>
    <cellStyle name="Currency 38 2" xfId="9467" xr:uid="{00000000-0005-0000-0000-00002C0A0000}"/>
    <cellStyle name="Currency 4" xfId="2660" xr:uid="{00000000-0005-0000-0000-00002D0A0000}"/>
    <cellStyle name="Currency 4 10" xfId="2661" xr:uid="{00000000-0005-0000-0000-00002E0A0000}"/>
    <cellStyle name="Currency 4 11" xfId="2662" xr:uid="{00000000-0005-0000-0000-00002F0A0000}"/>
    <cellStyle name="Currency 4 12" xfId="2663" xr:uid="{00000000-0005-0000-0000-0000300A0000}"/>
    <cellStyle name="Currency 4 13" xfId="2664" xr:uid="{00000000-0005-0000-0000-0000310A0000}"/>
    <cellStyle name="Currency 4 14" xfId="2665" xr:uid="{00000000-0005-0000-0000-0000320A0000}"/>
    <cellStyle name="Currency 4 15" xfId="2666" xr:uid="{00000000-0005-0000-0000-0000330A0000}"/>
    <cellStyle name="Currency 4 16" xfId="2667" xr:uid="{00000000-0005-0000-0000-0000340A0000}"/>
    <cellStyle name="Currency 4 17" xfId="2668" xr:uid="{00000000-0005-0000-0000-0000350A0000}"/>
    <cellStyle name="Currency 4 18" xfId="2669" xr:uid="{00000000-0005-0000-0000-0000360A0000}"/>
    <cellStyle name="Currency 4 19" xfId="2670" xr:uid="{00000000-0005-0000-0000-0000370A0000}"/>
    <cellStyle name="Currency 4 2" xfId="2671" xr:uid="{00000000-0005-0000-0000-0000380A0000}"/>
    <cellStyle name="Currency 4 2 2" xfId="2672" xr:uid="{00000000-0005-0000-0000-0000390A0000}"/>
    <cellStyle name="Currency 4 2 2 2" xfId="2673" xr:uid="{00000000-0005-0000-0000-00003A0A0000}"/>
    <cellStyle name="Currency 4 2 2 3" xfId="2674" xr:uid="{00000000-0005-0000-0000-00003B0A0000}"/>
    <cellStyle name="Currency 4 2 2 4" xfId="2675" xr:uid="{00000000-0005-0000-0000-00003C0A0000}"/>
    <cellStyle name="Currency 4 2 2 5" xfId="2676" xr:uid="{00000000-0005-0000-0000-00003D0A0000}"/>
    <cellStyle name="Currency 4 2 2 6" xfId="2677" xr:uid="{00000000-0005-0000-0000-00003E0A0000}"/>
    <cellStyle name="Currency 4 2 2 7" xfId="2678" xr:uid="{00000000-0005-0000-0000-00003F0A0000}"/>
    <cellStyle name="Currency 4 2 2 8" xfId="2679" xr:uid="{00000000-0005-0000-0000-0000400A0000}"/>
    <cellStyle name="Currency 4 2 2 9" xfId="2680" xr:uid="{00000000-0005-0000-0000-0000410A0000}"/>
    <cellStyle name="Currency 4 2 3" xfId="2681" xr:uid="{00000000-0005-0000-0000-0000420A0000}"/>
    <cellStyle name="Currency 4 2 4" xfId="2682" xr:uid="{00000000-0005-0000-0000-0000430A0000}"/>
    <cellStyle name="Currency 4 2 5" xfId="2683" xr:uid="{00000000-0005-0000-0000-0000440A0000}"/>
    <cellStyle name="Currency 4 2 6" xfId="2684" xr:uid="{00000000-0005-0000-0000-0000450A0000}"/>
    <cellStyle name="Currency 4 2 7" xfId="2685" xr:uid="{00000000-0005-0000-0000-0000460A0000}"/>
    <cellStyle name="Currency 4 2 8" xfId="2686" xr:uid="{00000000-0005-0000-0000-0000470A0000}"/>
    <cellStyle name="Currency 4 2 9" xfId="2687" xr:uid="{00000000-0005-0000-0000-0000480A0000}"/>
    <cellStyle name="Currency 4 20" xfId="2688" xr:uid="{00000000-0005-0000-0000-0000490A0000}"/>
    <cellStyle name="Currency 4 21" xfId="2689" xr:uid="{00000000-0005-0000-0000-00004A0A0000}"/>
    <cellStyle name="Currency 4 22" xfId="2690" xr:uid="{00000000-0005-0000-0000-00004B0A0000}"/>
    <cellStyle name="Currency 4 23" xfId="2691" xr:uid="{00000000-0005-0000-0000-00004C0A0000}"/>
    <cellStyle name="Currency 4 24" xfId="2692" xr:uid="{00000000-0005-0000-0000-00004D0A0000}"/>
    <cellStyle name="Currency 4 25" xfId="2693" xr:uid="{00000000-0005-0000-0000-00004E0A0000}"/>
    <cellStyle name="Currency 4 26" xfId="2694" xr:uid="{00000000-0005-0000-0000-00004F0A0000}"/>
    <cellStyle name="Currency 4 27" xfId="2695" xr:uid="{00000000-0005-0000-0000-0000500A0000}"/>
    <cellStyle name="Currency 4 28" xfId="2696" xr:uid="{00000000-0005-0000-0000-0000510A0000}"/>
    <cellStyle name="Currency 4 29" xfId="2697" xr:uid="{00000000-0005-0000-0000-0000520A0000}"/>
    <cellStyle name="Currency 4 3" xfId="2698" xr:uid="{00000000-0005-0000-0000-0000530A0000}"/>
    <cellStyle name="Currency 4 30" xfId="2699" xr:uid="{00000000-0005-0000-0000-0000540A0000}"/>
    <cellStyle name="Currency 4 31" xfId="2700" xr:uid="{00000000-0005-0000-0000-0000550A0000}"/>
    <cellStyle name="Currency 4 32" xfId="2701" xr:uid="{00000000-0005-0000-0000-0000560A0000}"/>
    <cellStyle name="Currency 4 33" xfId="2702" xr:uid="{00000000-0005-0000-0000-0000570A0000}"/>
    <cellStyle name="Currency 4 34" xfId="2703" xr:uid="{00000000-0005-0000-0000-0000580A0000}"/>
    <cellStyle name="Currency 4 35" xfId="2704" xr:uid="{00000000-0005-0000-0000-0000590A0000}"/>
    <cellStyle name="Currency 4 36" xfId="2705" xr:uid="{00000000-0005-0000-0000-00005A0A0000}"/>
    <cellStyle name="Currency 4 37" xfId="2706" xr:uid="{00000000-0005-0000-0000-00005B0A0000}"/>
    <cellStyle name="Currency 4 38" xfId="2707" xr:uid="{00000000-0005-0000-0000-00005C0A0000}"/>
    <cellStyle name="Currency 4 39" xfId="2708" xr:uid="{00000000-0005-0000-0000-00005D0A0000}"/>
    <cellStyle name="Currency 4 4" xfId="2709" xr:uid="{00000000-0005-0000-0000-00005E0A0000}"/>
    <cellStyle name="Currency 4 40" xfId="2710" xr:uid="{00000000-0005-0000-0000-00005F0A0000}"/>
    <cellStyle name="Currency 4 41" xfId="2711" xr:uid="{00000000-0005-0000-0000-0000600A0000}"/>
    <cellStyle name="Currency 4 42" xfId="2712" xr:uid="{00000000-0005-0000-0000-0000610A0000}"/>
    <cellStyle name="Currency 4 43" xfId="2713" xr:uid="{00000000-0005-0000-0000-0000620A0000}"/>
    <cellStyle name="Currency 4 44" xfId="2714" xr:uid="{00000000-0005-0000-0000-0000630A0000}"/>
    <cellStyle name="Currency 4 45" xfId="2715" xr:uid="{00000000-0005-0000-0000-0000640A0000}"/>
    <cellStyle name="Currency 4 46" xfId="2716" xr:uid="{00000000-0005-0000-0000-0000650A0000}"/>
    <cellStyle name="Currency 4 5" xfId="2717" xr:uid="{00000000-0005-0000-0000-0000660A0000}"/>
    <cellStyle name="Currency 4 6" xfId="2718" xr:uid="{00000000-0005-0000-0000-0000670A0000}"/>
    <cellStyle name="Currency 4 7" xfId="2719" xr:uid="{00000000-0005-0000-0000-0000680A0000}"/>
    <cellStyle name="Currency 4 8" xfId="2720" xr:uid="{00000000-0005-0000-0000-0000690A0000}"/>
    <cellStyle name="Currency 4 9" xfId="2721" xr:uid="{00000000-0005-0000-0000-00006A0A0000}"/>
    <cellStyle name="Currency 5" xfId="2722" xr:uid="{00000000-0005-0000-0000-00006B0A0000}"/>
    <cellStyle name="Currency 5 10" xfId="2723" xr:uid="{00000000-0005-0000-0000-00006C0A0000}"/>
    <cellStyle name="Currency 5 100" xfId="2724" xr:uid="{00000000-0005-0000-0000-00006D0A0000}"/>
    <cellStyle name="Currency 5 11" xfId="2725" xr:uid="{00000000-0005-0000-0000-00006E0A0000}"/>
    <cellStyle name="Currency 5 12" xfId="2726" xr:uid="{00000000-0005-0000-0000-00006F0A0000}"/>
    <cellStyle name="Currency 5 13" xfId="2727" xr:uid="{00000000-0005-0000-0000-0000700A0000}"/>
    <cellStyle name="Currency 5 14" xfId="2728" xr:uid="{00000000-0005-0000-0000-0000710A0000}"/>
    <cellStyle name="Currency 5 15" xfId="2729" xr:uid="{00000000-0005-0000-0000-0000720A0000}"/>
    <cellStyle name="Currency 5 16" xfId="2730" xr:uid="{00000000-0005-0000-0000-0000730A0000}"/>
    <cellStyle name="Currency 5 17" xfId="2731" xr:uid="{00000000-0005-0000-0000-0000740A0000}"/>
    <cellStyle name="Currency 5 18" xfId="2732" xr:uid="{00000000-0005-0000-0000-0000750A0000}"/>
    <cellStyle name="Currency 5 19" xfId="2733" xr:uid="{00000000-0005-0000-0000-0000760A0000}"/>
    <cellStyle name="Currency 5 2" xfId="2734" xr:uid="{00000000-0005-0000-0000-0000770A0000}"/>
    <cellStyle name="Currency 5 2 10" xfId="2735" xr:uid="{00000000-0005-0000-0000-0000780A0000}"/>
    <cellStyle name="Currency 5 2 10 2" xfId="2736" xr:uid="{00000000-0005-0000-0000-0000790A0000}"/>
    <cellStyle name="Currency 5 2 11" xfId="2737" xr:uid="{00000000-0005-0000-0000-00007A0A0000}"/>
    <cellStyle name="Currency 5 2 11 2" xfId="2738" xr:uid="{00000000-0005-0000-0000-00007B0A0000}"/>
    <cellStyle name="Currency 5 2 12" xfId="2739" xr:uid="{00000000-0005-0000-0000-00007C0A0000}"/>
    <cellStyle name="Currency 5 2 13" xfId="2740" xr:uid="{00000000-0005-0000-0000-00007D0A0000}"/>
    <cellStyle name="Currency 5 2 14" xfId="2741" xr:uid="{00000000-0005-0000-0000-00007E0A0000}"/>
    <cellStyle name="Currency 5 2 14 2" xfId="2742" xr:uid="{00000000-0005-0000-0000-00007F0A0000}"/>
    <cellStyle name="Currency 5 2 15" xfId="2743" xr:uid="{00000000-0005-0000-0000-0000800A0000}"/>
    <cellStyle name="Currency 5 2 2" xfId="2744" xr:uid="{00000000-0005-0000-0000-0000810A0000}"/>
    <cellStyle name="Currency 5 2 2 10" xfId="2745" xr:uid="{00000000-0005-0000-0000-0000820A0000}"/>
    <cellStyle name="Currency 5 2 2 10 2" xfId="2746" xr:uid="{00000000-0005-0000-0000-0000830A0000}"/>
    <cellStyle name="Currency 5 2 2 10 2 2" xfId="2747" xr:uid="{00000000-0005-0000-0000-0000840A0000}"/>
    <cellStyle name="Currency 5 2 2 10 3" xfId="2748" xr:uid="{00000000-0005-0000-0000-0000850A0000}"/>
    <cellStyle name="Currency 5 2 2 11" xfId="2749" xr:uid="{00000000-0005-0000-0000-0000860A0000}"/>
    <cellStyle name="Currency 5 2 2 11 2" xfId="2750" xr:uid="{00000000-0005-0000-0000-0000870A0000}"/>
    <cellStyle name="Currency 5 2 2 11 2 2" xfId="2751" xr:uid="{00000000-0005-0000-0000-0000880A0000}"/>
    <cellStyle name="Currency 5 2 2 11 3" xfId="2752" xr:uid="{00000000-0005-0000-0000-0000890A0000}"/>
    <cellStyle name="Currency 5 2 2 12" xfId="2753" xr:uid="{00000000-0005-0000-0000-00008A0A0000}"/>
    <cellStyle name="Currency 5 2 2 12 2" xfId="2754" xr:uid="{00000000-0005-0000-0000-00008B0A0000}"/>
    <cellStyle name="Currency 5 2 2 12 2 2" xfId="2755" xr:uid="{00000000-0005-0000-0000-00008C0A0000}"/>
    <cellStyle name="Currency 5 2 2 12 3" xfId="2756" xr:uid="{00000000-0005-0000-0000-00008D0A0000}"/>
    <cellStyle name="Currency 5 2 2 12 4" xfId="2757" xr:uid="{00000000-0005-0000-0000-00008E0A0000}"/>
    <cellStyle name="Currency 5 2 2 13" xfId="2758" xr:uid="{00000000-0005-0000-0000-00008F0A0000}"/>
    <cellStyle name="Currency 5 2 2 13 2" xfId="2759" xr:uid="{00000000-0005-0000-0000-0000900A0000}"/>
    <cellStyle name="Currency 5 2 2 13 2 2" xfId="2760" xr:uid="{00000000-0005-0000-0000-0000910A0000}"/>
    <cellStyle name="Currency 5 2 2 13 3" xfId="2761" xr:uid="{00000000-0005-0000-0000-0000920A0000}"/>
    <cellStyle name="Currency 5 2 2 14" xfId="2762" xr:uid="{00000000-0005-0000-0000-0000930A0000}"/>
    <cellStyle name="Currency 5 2 2 15" xfId="2763" xr:uid="{00000000-0005-0000-0000-0000940A0000}"/>
    <cellStyle name="Currency 5 2 2 2" xfId="2764" xr:uid="{00000000-0005-0000-0000-0000950A0000}"/>
    <cellStyle name="Currency 5 2 2 2 2" xfId="2765" xr:uid="{00000000-0005-0000-0000-0000960A0000}"/>
    <cellStyle name="Currency 5 2 2 2 2 2" xfId="2766" xr:uid="{00000000-0005-0000-0000-0000970A0000}"/>
    <cellStyle name="Currency 5 2 2 2 3" xfId="2767" xr:uid="{00000000-0005-0000-0000-0000980A0000}"/>
    <cellStyle name="Currency 5 2 2 3" xfId="2768" xr:uid="{00000000-0005-0000-0000-0000990A0000}"/>
    <cellStyle name="Currency 5 2 2 3 2" xfId="2769" xr:uid="{00000000-0005-0000-0000-00009A0A0000}"/>
    <cellStyle name="Currency 5 2 2 3 2 2" xfId="2770" xr:uid="{00000000-0005-0000-0000-00009B0A0000}"/>
    <cellStyle name="Currency 5 2 2 3 3" xfId="2771" xr:uid="{00000000-0005-0000-0000-00009C0A0000}"/>
    <cellStyle name="Currency 5 2 2 4" xfId="2772" xr:uid="{00000000-0005-0000-0000-00009D0A0000}"/>
    <cellStyle name="Currency 5 2 2 4 2" xfId="2773" xr:uid="{00000000-0005-0000-0000-00009E0A0000}"/>
    <cellStyle name="Currency 5 2 2 4 2 2" xfId="2774" xr:uid="{00000000-0005-0000-0000-00009F0A0000}"/>
    <cellStyle name="Currency 5 2 2 4 3" xfId="2775" xr:uid="{00000000-0005-0000-0000-0000A00A0000}"/>
    <cellStyle name="Currency 5 2 2 5" xfId="2776" xr:uid="{00000000-0005-0000-0000-0000A10A0000}"/>
    <cellStyle name="Currency 5 2 2 5 2" xfId="2777" xr:uid="{00000000-0005-0000-0000-0000A20A0000}"/>
    <cellStyle name="Currency 5 2 2 5 2 2" xfId="2778" xr:uid="{00000000-0005-0000-0000-0000A30A0000}"/>
    <cellStyle name="Currency 5 2 2 5 3" xfId="2779" xr:uid="{00000000-0005-0000-0000-0000A40A0000}"/>
    <cellStyle name="Currency 5 2 2 6" xfId="2780" xr:uid="{00000000-0005-0000-0000-0000A50A0000}"/>
    <cellStyle name="Currency 5 2 2 6 2" xfId="2781" xr:uid="{00000000-0005-0000-0000-0000A60A0000}"/>
    <cellStyle name="Currency 5 2 2 6 2 2" xfId="2782" xr:uid="{00000000-0005-0000-0000-0000A70A0000}"/>
    <cellStyle name="Currency 5 2 2 6 3" xfId="2783" xr:uid="{00000000-0005-0000-0000-0000A80A0000}"/>
    <cellStyle name="Currency 5 2 2 7" xfId="2784" xr:uid="{00000000-0005-0000-0000-0000A90A0000}"/>
    <cellStyle name="Currency 5 2 2 7 2" xfId="2785" xr:uid="{00000000-0005-0000-0000-0000AA0A0000}"/>
    <cellStyle name="Currency 5 2 2 7 2 2" xfId="2786" xr:uid="{00000000-0005-0000-0000-0000AB0A0000}"/>
    <cellStyle name="Currency 5 2 2 7 3" xfId="2787" xr:uid="{00000000-0005-0000-0000-0000AC0A0000}"/>
    <cellStyle name="Currency 5 2 2 8" xfId="2788" xr:uid="{00000000-0005-0000-0000-0000AD0A0000}"/>
    <cellStyle name="Currency 5 2 2 8 2" xfId="2789" xr:uid="{00000000-0005-0000-0000-0000AE0A0000}"/>
    <cellStyle name="Currency 5 2 2 8 2 2" xfId="2790" xr:uid="{00000000-0005-0000-0000-0000AF0A0000}"/>
    <cellStyle name="Currency 5 2 2 8 3" xfId="2791" xr:uid="{00000000-0005-0000-0000-0000B00A0000}"/>
    <cellStyle name="Currency 5 2 2 9" xfId="2792" xr:uid="{00000000-0005-0000-0000-0000B10A0000}"/>
    <cellStyle name="Currency 5 2 2 9 2" xfId="2793" xr:uid="{00000000-0005-0000-0000-0000B20A0000}"/>
    <cellStyle name="Currency 5 2 2 9 2 2" xfId="2794" xr:uid="{00000000-0005-0000-0000-0000B30A0000}"/>
    <cellStyle name="Currency 5 2 2 9 3" xfId="2795" xr:uid="{00000000-0005-0000-0000-0000B40A0000}"/>
    <cellStyle name="Currency 5 2 3" xfId="2796" xr:uid="{00000000-0005-0000-0000-0000B50A0000}"/>
    <cellStyle name="Currency 5 2 3 2" xfId="2797" xr:uid="{00000000-0005-0000-0000-0000B60A0000}"/>
    <cellStyle name="Currency 5 2 4" xfId="2798" xr:uid="{00000000-0005-0000-0000-0000B70A0000}"/>
    <cellStyle name="Currency 5 2 4 2" xfId="2799" xr:uid="{00000000-0005-0000-0000-0000B80A0000}"/>
    <cellStyle name="Currency 5 2 5" xfId="2800" xr:uid="{00000000-0005-0000-0000-0000B90A0000}"/>
    <cellStyle name="Currency 5 2 5 2" xfId="2801" xr:uid="{00000000-0005-0000-0000-0000BA0A0000}"/>
    <cellStyle name="Currency 5 2 6" xfId="2802" xr:uid="{00000000-0005-0000-0000-0000BB0A0000}"/>
    <cellStyle name="Currency 5 2 6 2" xfId="2803" xr:uid="{00000000-0005-0000-0000-0000BC0A0000}"/>
    <cellStyle name="Currency 5 2 7" xfId="2804" xr:uid="{00000000-0005-0000-0000-0000BD0A0000}"/>
    <cellStyle name="Currency 5 2 7 2" xfId="2805" xr:uid="{00000000-0005-0000-0000-0000BE0A0000}"/>
    <cellStyle name="Currency 5 2 8" xfId="2806" xr:uid="{00000000-0005-0000-0000-0000BF0A0000}"/>
    <cellStyle name="Currency 5 2 8 2" xfId="2807" xr:uid="{00000000-0005-0000-0000-0000C00A0000}"/>
    <cellStyle name="Currency 5 2 9" xfId="2808" xr:uid="{00000000-0005-0000-0000-0000C10A0000}"/>
    <cellStyle name="Currency 5 2 9 2" xfId="2809" xr:uid="{00000000-0005-0000-0000-0000C20A0000}"/>
    <cellStyle name="Currency 5 20" xfId="2810" xr:uid="{00000000-0005-0000-0000-0000C30A0000}"/>
    <cellStyle name="Currency 5 21" xfId="2811" xr:uid="{00000000-0005-0000-0000-0000C40A0000}"/>
    <cellStyle name="Currency 5 22" xfId="2812" xr:uid="{00000000-0005-0000-0000-0000C50A0000}"/>
    <cellStyle name="Currency 5 23" xfId="2813" xr:uid="{00000000-0005-0000-0000-0000C60A0000}"/>
    <cellStyle name="Currency 5 24" xfId="2814" xr:uid="{00000000-0005-0000-0000-0000C70A0000}"/>
    <cellStyle name="Currency 5 25" xfId="2815" xr:uid="{00000000-0005-0000-0000-0000C80A0000}"/>
    <cellStyle name="Currency 5 26" xfId="2816" xr:uid="{00000000-0005-0000-0000-0000C90A0000}"/>
    <cellStyle name="Currency 5 27" xfId="2817" xr:uid="{00000000-0005-0000-0000-0000CA0A0000}"/>
    <cellStyle name="Currency 5 28" xfId="2818" xr:uid="{00000000-0005-0000-0000-0000CB0A0000}"/>
    <cellStyle name="Currency 5 29" xfId="2819" xr:uid="{00000000-0005-0000-0000-0000CC0A0000}"/>
    <cellStyle name="Currency 5 3" xfId="2820" xr:uid="{00000000-0005-0000-0000-0000CD0A0000}"/>
    <cellStyle name="Currency 5 3 2" xfId="2821" xr:uid="{00000000-0005-0000-0000-0000CE0A0000}"/>
    <cellStyle name="Currency 5 3 3" xfId="2822" xr:uid="{00000000-0005-0000-0000-0000CF0A0000}"/>
    <cellStyle name="Currency 5 30" xfId="2823" xr:uid="{00000000-0005-0000-0000-0000D00A0000}"/>
    <cellStyle name="Currency 5 31" xfId="2824" xr:uid="{00000000-0005-0000-0000-0000D10A0000}"/>
    <cellStyle name="Currency 5 32" xfId="2825" xr:uid="{00000000-0005-0000-0000-0000D20A0000}"/>
    <cellStyle name="Currency 5 33" xfId="2826" xr:uid="{00000000-0005-0000-0000-0000D30A0000}"/>
    <cellStyle name="Currency 5 34" xfId="2827" xr:uid="{00000000-0005-0000-0000-0000D40A0000}"/>
    <cellStyle name="Currency 5 35" xfId="2828" xr:uid="{00000000-0005-0000-0000-0000D50A0000}"/>
    <cellStyle name="Currency 5 36" xfId="2829" xr:uid="{00000000-0005-0000-0000-0000D60A0000}"/>
    <cellStyle name="Currency 5 37" xfId="2830" xr:uid="{00000000-0005-0000-0000-0000D70A0000}"/>
    <cellStyle name="Currency 5 38" xfId="2831" xr:uid="{00000000-0005-0000-0000-0000D80A0000}"/>
    <cellStyle name="Currency 5 39" xfId="2832" xr:uid="{00000000-0005-0000-0000-0000D90A0000}"/>
    <cellStyle name="Currency 5 4" xfId="2833" xr:uid="{00000000-0005-0000-0000-0000DA0A0000}"/>
    <cellStyle name="Currency 5 40" xfId="2834" xr:uid="{00000000-0005-0000-0000-0000DB0A0000}"/>
    <cellStyle name="Currency 5 41" xfId="2835" xr:uid="{00000000-0005-0000-0000-0000DC0A0000}"/>
    <cellStyle name="Currency 5 42" xfId="2836" xr:uid="{00000000-0005-0000-0000-0000DD0A0000}"/>
    <cellStyle name="Currency 5 43" xfId="2837" xr:uid="{00000000-0005-0000-0000-0000DE0A0000}"/>
    <cellStyle name="Currency 5 44" xfId="2838" xr:uid="{00000000-0005-0000-0000-0000DF0A0000}"/>
    <cellStyle name="Currency 5 45" xfId="2839" xr:uid="{00000000-0005-0000-0000-0000E00A0000}"/>
    <cellStyle name="Currency 5 46" xfId="2840" xr:uid="{00000000-0005-0000-0000-0000E10A0000}"/>
    <cellStyle name="Currency 5 47" xfId="2841" xr:uid="{00000000-0005-0000-0000-0000E20A0000}"/>
    <cellStyle name="Currency 5 48" xfId="2842" xr:uid="{00000000-0005-0000-0000-0000E30A0000}"/>
    <cellStyle name="Currency 5 49" xfId="2843" xr:uid="{00000000-0005-0000-0000-0000E40A0000}"/>
    <cellStyle name="Currency 5 5" xfId="2844" xr:uid="{00000000-0005-0000-0000-0000E50A0000}"/>
    <cellStyle name="Currency 5 50" xfId="2845" xr:uid="{00000000-0005-0000-0000-0000E60A0000}"/>
    <cellStyle name="Currency 5 51" xfId="2846" xr:uid="{00000000-0005-0000-0000-0000E70A0000}"/>
    <cellStyle name="Currency 5 52" xfId="2847" xr:uid="{00000000-0005-0000-0000-0000E80A0000}"/>
    <cellStyle name="Currency 5 53" xfId="2848" xr:uid="{00000000-0005-0000-0000-0000E90A0000}"/>
    <cellStyle name="Currency 5 54" xfId="2849" xr:uid="{00000000-0005-0000-0000-0000EA0A0000}"/>
    <cellStyle name="Currency 5 55" xfId="2850" xr:uid="{00000000-0005-0000-0000-0000EB0A0000}"/>
    <cellStyle name="Currency 5 56" xfId="2851" xr:uid="{00000000-0005-0000-0000-0000EC0A0000}"/>
    <cellStyle name="Currency 5 57" xfId="2852" xr:uid="{00000000-0005-0000-0000-0000ED0A0000}"/>
    <cellStyle name="Currency 5 58" xfId="2853" xr:uid="{00000000-0005-0000-0000-0000EE0A0000}"/>
    <cellStyle name="Currency 5 59" xfId="2854" xr:uid="{00000000-0005-0000-0000-0000EF0A0000}"/>
    <cellStyle name="Currency 5 6" xfId="2855" xr:uid="{00000000-0005-0000-0000-0000F00A0000}"/>
    <cellStyle name="Currency 5 60" xfId="2856" xr:uid="{00000000-0005-0000-0000-0000F10A0000}"/>
    <cellStyle name="Currency 5 61" xfId="2857" xr:uid="{00000000-0005-0000-0000-0000F20A0000}"/>
    <cellStyle name="Currency 5 62" xfId="2858" xr:uid="{00000000-0005-0000-0000-0000F30A0000}"/>
    <cellStyle name="Currency 5 63" xfId="2859" xr:uid="{00000000-0005-0000-0000-0000F40A0000}"/>
    <cellStyle name="Currency 5 64" xfId="2860" xr:uid="{00000000-0005-0000-0000-0000F50A0000}"/>
    <cellStyle name="Currency 5 65" xfId="2861" xr:uid="{00000000-0005-0000-0000-0000F60A0000}"/>
    <cellStyle name="Currency 5 66" xfId="2862" xr:uid="{00000000-0005-0000-0000-0000F70A0000}"/>
    <cellStyle name="Currency 5 67" xfId="2863" xr:uid="{00000000-0005-0000-0000-0000F80A0000}"/>
    <cellStyle name="Currency 5 68" xfId="2864" xr:uid="{00000000-0005-0000-0000-0000F90A0000}"/>
    <cellStyle name="Currency 5 69" xfId="2865" xr:uid="{00000000-0005-0000-0000-0000FA0A0000}"/>
    <cellStyle name="Currency 5 7" xfId="2866" xr:uid="{00000000-0005-0000-0000-0000FB0A0000}"/>
    <cellStyle name="Currency 5 70" xfId="2867" xr:uid="{00000000-0005-0000-0000-0000FC0A0000}"/>
    <cellStyle name="Currency 5 71" xfId="2868" xr:uid="{00000000-0005-0000-0000-0000FD0A0000}"/>
    <cellStyle name="Currency 5 72" xfId="2869" xr:uid="{00000000-0005-0000-0000-0000FE0A0000}"/>
    <cellStyle name="Currency 5 73" xfId="2870" xr:uid="{00000000-0005-0000-0000-0000FF0A0000}"/>
    <cellStyle name="Currency 5 74" xfId="2871" xr:uid="{00000000-0005-0000-0000-0000000B0000}"/>
    <cellStyle name="Currency 5 75" xfId="2872" xr:uid="{00000000-0005-0000-0000-0000010B0000}"/>
    <cellStyle name="Currency 5 76" xfId="2873" xr:uid="{00000000-0005-0000-0000-0000020B0000}"/>
    <cellStyle name="Currency 5 77" xfId="2874" xr:uid="{00000000-0005-0000-0000-0000030B0000}"/>
    <cellStyle name="Currency 5 78" xfId="2875" xr:uid="{00000000-0005-0000-0000-0000040B0000}"/>
    <cellStyle name="Currency 5 79" xfId="2876" xr:uid="{00000000-0005-0000-0000-0000050B0000}"/>
    <cellStyle name="Currency 5 8" xfId="2877" xr:uid="{00000000-0005-0000-0000-0000060B0000}"/>
    <cellStyle name="Currency 5 80" xfId="2878" xr:uid="{00000000-0005-0000-0000-0000070B0000}"/>
    <cellStyle name="Currency 5 81" xfId="2879" xr:uid="{00000000-0005-0000-0000-0000080B0000}"/>
    <cellStyle name="Currency 5 82" xfId="2880" xr:uid="{00000000-0005-0000-0000-0000090B0000}"/>
    <cellStyle name="Currency 5 83" xfId="2881" xr:uid="{00000000-0005-0000-0000-00000A0B0000}"/>
    <cellStyle name="Currency 5 84" xfId="2882" xr:uid="{00000000-0005-0000-0000-00000B0B0000}"/>
    <cellStyle name="Currency 5 85" xfId="2883" xr:uid="{00000000-0005-0000-0000-00000C0B0000}"/>
    <cellStyle name="Currency 5 86" xfId="2884" xr:uid="{00000000-0005-0000-0000-00000D0B0000}"/>
    <cellStyle name="Currency 5 87" xfId="2885" xr:uid="{00000000-0005-0000-0000-00000E0B0000}"/>
    <cellStyle name="Currency 5 88" xfId="2886" xr:uid="{00000000-0005-0000-0000-00000F0B0000}"/>
    <cellStyle name="Currency 5 89" xfId="2887" xr:uid="{00000000-0005-0000-0000-0000100B0000}"/>
    <cellStyle name="Currency 5 9" xfId="2888" xr:uid="{00000000-0005-0000-0000-0000110B0000}"/>
    <cellStyle name="Currency 5 90" xfId="2889" xr:uid="{00000000-0005-0000-0000-0000120B0000}"/>
    <cellStyle name="Currency 5 91" xfId="2890" xr:uid="{00000000-0005-0000-0000-0000130B0000}"/>
    <cellStyle name="Currency 5 92" xfId="2891" xr:uid="{00000000-0005-0000-0000-0000140B0000}"/>
    <cellStyle name="Currency 5 93" xfId="2892" xr:uid="{00000000-0005-0000-0000-0000150B0000}"/>
    <cellStyle name="Currency 5 94" xfId="2893" xr:uid="{00000000-0005-0000-0000-0000160B0000}"/>
    <cellStyle name="Currency 5 95" xfId="2894" xr:uid="{00000000-0005-0000-0000-0000170B0000}"/>
    <cellStyle name="Currency 5 96" xfId="2895" xr:uid="{00000000-0005-0000-0000-0000180B0000}"/>
    <cellStyle name="Currency 5 97" xfId="2896" xr:uid="{00000000-0005-0000-0000-0000190B0000}"/>
    <cellStyle name="Currency 5 98" xfId="2897" xr:uid="{00000000-0005-0000-0000-00001A0B0000}"/>
    <cellStyle name="Currency 5 99" xfId="2898" xr:uid="{00000000-0005-0000-0000-00001B0B0000}"/>
    <cellStyle name="Currency 6" xfId="2899" xr:uid="{00000000-0005-0000-0000-00001C0B0000}"/>
    <cellStyle name="Currency 6 10" xfId="2900" xr:uid="{00000000-0005-0000-0000-00001D0B0000}"/>
    <cellStyle name="Currency 6 11" xfId="2901" xr:uid="{00000000-0005-0000-0000-00001E0B0000}"/>
    <cellStyle name="Currency 6 12" xfId="2902" xr:uid="{00000000-0005-0000-0000-00001F0B0000}"/>
    <cellStyle name="Currency 6 13" xfId="2903" xr:uid="{00000000-0005-0000-0000-0000200B0000}"/>
    <cellStyle name="Currency 6 14" xfId="2904" xr:uid="{00000000-0005-0000-0000-0000210B0000}"/>
    <cellStyle name="Currency 6 15" xfId="2905" xr:uid="{00000000-0005-0000-0000-0000220B0000}"/>
    <cellStyle name="Currency 6 16" xfId="2906" xr:uid="{00000000-0005-0000-0000-0000230B0000}"/>
    <cellStyle name="Currency 6 17" xfId="2907" xr:uid="{00000000-0005-0000-0000-0000240B0000}"/>
    <cellStyle name="Currency 6 18" xfId="2908" xr:uid="{00000000-0005-0000-0000-0000250B0000}"/>
    <cellStyle name="Currency 6 2" xfId="2909" xr:uid="{00000000-0005-0000-0000-0000260B0000}"/>
    <cellStyle name="Currency 6 2 2" xfId="2910" xr:uid="{00000000-0005-0000-0000-0000270B0000}"/>
    <cellStyle name="Currency 6 2 2 2" xfId="2911" xr:uid="{00000000-0005-0000-0000-0000280B0000}"/>
    <cellStyle name="Currency 6 2 3" xfId="2912" xr:uid="{00000000-0005-0000-0000-0000290B0000}"/>
    <cellStyle name="Currency 6 3" xfId="2913" xr:uid="{00000000-0005-0000-0000-00002A0B0000}"/>
    <cellStyle name="Currency 6 4" xfId="2914" xr:uid="{00000000-0005-0000-0000-00002B0B0000}"/>
    <cellStyle name="Currency 6 5" xfId="2915" xr:uid="{00000000-0005-0000-0000-00002C0B0000}"/>
    <cellStyle name="Currency 6 6" xfId="2916" xr:uid="{00000000-0005-0000-0000-00002D0B0000}"/>
    <cellStyle name="Currency 6 7" xfId="2917" xr:uid="{00000000-0005-0000-0000-00002E0B0000}"/>
    <cellStyle name="Currency 6 8" xfId="2918" xr:uid="{00000000-0005-0000-0000-00002F0B0000}"/>
    <cellStyle name="Currency 6 9" xfId="2919" xr:uid="{00000000-0005-0000-0000-0000300B0000}"/>
    <cellStyle name="Currency 7" xfId="2920" xr:uid="{00000000-0005-0000-0000-0000310B0000}"/>
    <cellStyle name="Currency 7 10" xfId="2921" xr:uid="{00000000-0005-0000-0000-0000320B0000}"/>
    <cellStyle name="Currency 7 11" xfId="2922" xr:uid="{00000000-0005-0000-0000-0000330B0000}"/>
    <cellStyle name="Currency 7 12" xfId="2923" xr:uid="{00000000-0005-0000-0000-0000340B0000}"/>
    <cellStyle name="Currency 7 13" xfId="2924" xr:uid="{00000000-0005-0000-0000-0000350B0000}"/>
    <cellStyle name="Currency 7 13 2" xfId="2925" xr:uid="{00000000-0005-0000-0000-0000360B0000}"/>
    <cellStyle name="Currency 7 13 2 2" xfId="2926" xr:uid="{00000000-0005-0000-0000-0000370B0000}"/>
    <cellStyle name="Currency 7 13 3" xfId="2927" xr:uid="{00000000-0005-0000-0000-0000380B0000}"/>
    <cellStyle name="Currency 7 13 4" xfId="2928" xr:uid="{00000000-0005-0000-0000-0000390B0000}"/>
    <cellStyle name="Currency 7 14" xfId="2929" xr:uid="{00000000-0005-0000-0000-00003A0B0000}"/>
    <cellStyle name="Currency 7 15" xfId="2930" xr:uid="{00000000-0005-0000-0000-00003B0B0000}"/>
    <cellStyle name="Currency 7 16" xfId="2931" xr:uid="{00000000-0005-0000-0000-00003C0B0000}"/>
    <cellStyle name="Currency 7 17" xfId="2932" xr:uid="{00000000-0005-0000-0000-00003D0B0000}"/>
    <cellStyle name="Currency 7 2" xfId="2933" xr:uid="{00000000-0005-0000-0000-00003E0B0000}"/>
    <cellStyle name="Currency 7 2 10" xfId="2934" xr:uid="{00000000-0005-0000-0000-00003F0B0000}"/>
    <cellStyle name="Currency 7 2 10 2" xfId="2935" xr:uid="{00000000-0005-0000-0000-0000400B0000}"/>
    <cellStyle name="Currency 7 2 10 2 2" xfId="2936" xr:uid="{00000000-0005-0000-0000-0000410B0000}"/>
    <cellStyle name="Currency 7 2 10 3" xfId="2937" xr:uid="{00000000-0005-0000-0000-0000420B0000}"/>
    <cellStyle name="Currency 7 2 11" xfId="2938" xr:uid="{00000000-0005-0000-0000-0000430B0000}"/>
    <cellStyle name="Currency 7 2 11 2" xfId="2939" xr:uid="{00000000-0005-0000-0000-0000440B0000}"/>
    <cellStyle name="Currency 7 2 11 2 2" xfId="2940" xr:uid="{00000000-0005-0000-0000-0000450B0000}"/>
    <cellStyle name="Currency 7 2 11 3" xfId="2941" xr:uid="{00000000-0005-0000-0000-0000460B0000}"/>
    <cellStyle name="Currency 7 2 12" xfId="2942" xr:uid="{00000000-0005-0000-0000-0000470B0000}"/>
    <cellStyle name="Currency 7 2 12 2" xfId="2943" xr:uid="{00000000-0005-0000-0000-0000480B0000}"/>
    <cellStyle name="Currency 7 2 13" xfId="2944" xr:uid="{00000000-0005-0000-0000-0000490B0000}"/>
    <cellStyle name="Currency 7 2 13 2" xfId="2945" xr:uid="{00000000-0005-0000-0000-00004A0B0000}"/>
    <cellStyle name="Currency 7 2 14" xfId="2946" xr:uid="{00000000-0005-0000-0000-00004B0B0000}"/>
    <cellStyle name="Currency 7 2 2" xfId="2947" xr:uid="{00000000-0005-0000-0000-00004C0B0000}"/>
    <cellStyle name="Currency 7 2 2 2" xfId="2948" xr:uid="{00000000-0005-0000-0000-00004D0B0000}"/>
    <cellStyle name="Currency 7 2 2 2 2" xfId="2949" xr:uid="{00000000-0005-0000-0000-00004E0B0000}"/>
    <cellStyle name="Currency 7 2 2 3" xfId="2950" xr:uid="{00000000-0005-0000-0000-00004F0B0000}"/>
    <cellStyle name="Currency 7 2 3" xfId="2951" xr:uid="{00000000-0005-0000-0000-0000500B0000}"/>
    <cellStyle name="Currency 7 2 3 2" xfId="2952" xr:uid="{00000000-0005-0000-0000-0000510B0000}"/>
    <cellStyle name="Currency 7 2 3 2 2" xfId="2953" xr:uid="{00000000-0005-0000-0000-0000520B0000}"/>
    <cellStyle name="Currency 7 2 3 3" xfId="2954" xr:uid="{00000000-0005-0000-0000-0000530B0000}"/>
    <cellStyle name="Currency 7 2 4" xfId="2955" xr:uid="{00000000-0005-0000-0000-0000540B0000}"/>
    <cellStyle name="Currency 7 2 4 2" xfId="2956" xr:uid="{00000000-0005-0000-0000-0000550B0000}"/>
    <cellStyle name="Currency 7 2 4 2 2" xfId="2957" xr:uid="{00000000-0005-0000-0000-0000560B0000}"/>
    <cellStyle name="Currency 7 2 4 3" xfId="2958" xr:uid="{00000000-0005-0000-0000-0000570B0000}"/>
    <cellStyle name="Currency 7 2 5" xfId="2959" xr:uid="{00000000-0005-0000-0000-0000580B0000}"/>
    <cellStyle name="Currency 7 2 5 2" xfId="2960" xr:uid="{00000000-0005-0000-0000-0000590B0000}"/>
    <cellStyle name="Currency 7 2 5 2 2" xfId="2961" xr:uid="{00000000-0005-0000-0000-00005A0B0000}"/>
    <cellStyle name="Currency 7 2 5 3" xfId="2962" xr:uid="{00000000-0005-0000-0000-00005B0B0000}"/>
    <cellStyle name="Currency 7 2 6" xfId="2963" xr:uid="{00000000-0005-0000-0000-00005C0B0000}"/>
    <cellStyle name="Currency 7 2 6 2" xfId="2964" xr:uid="{00000000-0005-0000-0000-00005D0B0000}"/>
    <cellStyle name="Currency 7 2 6 2 2" xfId="2965" xr:uid="{00000000-0005-0000-0000-00005E0B0000}"/>
    <cellStyle name="Currency 7 2 6 3" xfId="2966" xr:uid="{00000000-0005-0000-0000-00005F0B0000}"/>
    <cellStyle name="Currency 7 2 7" xfId="2967" xr:uid="{00000000-0005-0000-0000-0000600B0000}"/>
    <cellStyle name="Currency 7 2 7 2" xfId="2968" xr:uid="{00000000-0005-0000-0000-0000610B0000}"/>
    <cellStyle name="Currency 7 2 7 2 2" xfId="2969" xr:uid="{00000000-0005-0000-0000-0000620B0000}"/>
    <cellStyle name="Currency 7 2 7 3" xfId="2970" xr:uid="{00000000-0005-0000-0000-0000630B0000}"/>
    <cellStyle name="Currency 7 2 8" xfId="2971" xr:uid="{00000000-0005-0000-0000-0000640B0000}"/>
    <cellStyle name="Currency 7 2 8 2" xfId="2972" xr:uid="{00000000-0005-0000-0000-0000650B0000}"/>
    <cellStyle name="Currency 7 2 8 2 2" xfId="2973" xr:uid="{00000000-0005-0000-0000-0000660B0000}"/>
    <cellStyle name="Currency 7 2 8 3" xfId="2974" xr:uid="{00000000-0005-0000-0000-0000670B0000}"/>
    <cellStyle name="Currency 7 2 9" xfId="2975" xr:uid="{00000000-0005-0000-0000-0000680B0000}"/>
    <cellStyle name="Currency 7 2 9 2" xfId="2976" xr:uid="{00000000-0005-0000-0000-0000690B0000}"/>
    <cellStyle name="Currency 7 2 9 2 2" xfId="2977" xr:uid="{00000000-0005-0000-0000-00006A0B0000}"/>
    <cellStyle name="Currency 7 2 9 3" xfId="2978" xr:uid="{00000000-0005-0000-0000-00006B0B0000}"/>
    <cellStyle name="Currency 7 3" xfId="2979" xr:uid="{00000000-0005-0000-0000-00006C0B0000}"/>
    <cellStyle name="Currency 7 3 2" xfId="2980" xr:uid="{00000000-0005-0000-0000-00006D0B0000}"/>
    <cellStyle name="Currency 7 3 2 2" xfId="2981" xr:uid="{00000000-0005-0000-0000-00006E0B0000}"/>
    <cellStyle name="Currency 7 3 3" xfId="2982" xr:uid="{00000000-0005-0000-0000-00006F0B0000}"/>
    <cellStyle name="Currency 7 4" xfId="2983" xr:uid="{00000000-0005-0000-0000-0000700B0000}"/>
    <cellStyle name="Currency 7 5" xfId="2984" xr:uid="{00000000-0005-0000-0000-0000710B0000}"/>
    <cellStyle name="Currency 7 6" xfId="2985" xr:uid="{00000000-0005-0000-0000-0000720B0000}"/>
    <cellStyle name="Currency 7 7" xfId="2986" xr:uid="{00000000-0005-0000-0000-0000730B0000}"/>
    <cellStyle name="Currency 7 8" xfId="2987" xr:uid="{00000000-0005-0000-0000-0000740B0000}"/>
    <cellStyle name="Currency 7 9" xfId="2988" xr:uid="{00000000-0005-0000-0000-0000750B0000}"/>
    <cellStyle name="Currency 8" xfId="2989" xr:uid="{00000000-0005-0000-0000-0000760B0000}"/>
    <cellStyle name="Currency 9" xfId="2990" xr:uid="{00000000-0005-0000-0000-0000770B0000}"/>
    <cellStyle name="Currency No$" xfId="2991" xr:uid="{00000000-0005-0000-0000-0000780B0000}"/>
    <cellStyle name="Currency Total" xfId="2992" xr:uid="{00000000-0005-0000-0000-0000790B0000}"/>
    <cellStyle name="Currency Total 2" xfId="2993" xr:uid="{00000000-0005-0000-0000-00007A0B0000}"/>
    <cellStyle name="Currency Total 2 2" xfId="9488" xr:uid="{00000000-0005-0000-0000-00007B0B0000}"/>
    <cellStyle name="Currency Total 3" xfId="9487" xr:uid="{00000000-0005-0000-0000-00007C0B0000}"/>
    <cellStyle name="Currency x2 No$" xfId="2994" xr:uid="{00000000-0005-0000-0000-00007D0B0000}"/>
    <cellStyle name="Currency0" xfId="2995" xr:uid="{00000000-0005-0000-0000-00007E0B0000}"/>
    <cellStyle name="Custom - Style1" xfId="2996" xr:uid="{00000000-0005-0000-0000-00007F0B0000}"/>
    <cellStyle name="Custom - Style8" xfId="2997" xr:uid="{00000000-0005-0000-0000-0000800B0000}"/>
    <cellStyle name="Data   - Style2" xfId="2998" xr:uid="{00000000-0005-0000-0000-0000810B0000}"/>
    <cellStyle name="Date" xfId="2999" xr:uid="{00000000-0005-0000-0000-0000820B0000}"/>
    <cellStyle name="Dollarsign" xfId="3000" xr:uid="{00000000-0005-0000-0000-0000830B0000}"/>
    <cellStyle name="DOUBLEL" xfId="3001" xr:uid="{00000000-0005-0000-0000-0000840B0000}"/>
    <cellStyle name="DOUBLEL 2" xfId="3002" xr:uid="{00000000-0005-0000-0000-0000850B0000}"/>
    <cellStyle name="DOUBLEL 3" xfId="3003" xr:uid="{00000000-0005-0000-0000-0000860B0000}"/>
    <cellStyle name="DOUBLEL 4" xfId="3004" xr:uid="{00000000-0005-0000-0000-0000870B0000}"/>
    <cellStyle name="eatme" xfId="3005" xr:uid="{00000000-0005-0000-0000-0000880B0000}"/>
    <cellStyle name="Explanatory Text 2" xfId="3006" xr:uid="{00000000-0005-0000-0000-0000890B0000}"/>
    <cellStyle name="Explanatory Text 3" xfId="3007" xr:uid="{00000000-0005-0000-0000-00008A0B0000}"/>
    <cellStyle name="Explanatory Text 4" xfId="3008" xr:uid="{00000000-0005-0000-0000-00008B0B0000}"/>
    <cellStyle name="Explanatory Text 5" xfId="3009" xr:uid="{00000000-0005-0000-0000-00008C0B0000}"/>
    <cellStyle name="Explanatory Text 6" xfId="3010" xr:uid="{00000000-0005-0000-0000-00008D0B0000}"/>
    <cellStyle name="Fixed" xfId="3011" xr:uid="{00000000-0005-0000-0000-00008E0B0000}"/>
    <cellStyle name="Formula" xfId="3012" xr:uid="{00000000-0005-0000-0000-00008F0B0000}"/>
    <cellStyle name="Gas Cost x5" xfId="3013" xr:uid="{00000000-0005-0000-0000-0000900B0000}"/>
    <cellStyle name="Good 2" xfId="3014" xr:uid="{00000000-0005-0000-0000-0000910B0000}"/>
    <cellStyle name="Good 3" xfId="3015" xr:uid="{00000000-0005-0000-0000-0000920B0000}"/>
    <cellStyle name="Good 4" xfId="3016" xr:uid="{00000000-0005-0000-0000-0000930B0000}"/>
    <cellStyle name="Good 5" xfId="3017" xr:uid="{00000000-0005-0000-0000-0000940B0000}"/>
    <cellStyle name="Good 6" xfId="3018" xr:uid="{00000000-0005-0000-0000-0000950B0000}"/>
    <cellStyle name="Hardcoded" xfId="3019" xr:uid="{00000000-0005-0000-0000-0000960B0000}"/>
    <cellStyle name="Head Title" xfId="3020" xr:uid="{00000000-0005-0000-0000-0000970B0000}"/>
    <cellStyle name="Heading 1 2" xfId="3021" xr:uid="{00000000-0005-0000-0000-0000980B0000}"/>
    <cellStyle name="Heading 1 3" xfId="3022" xr:uid="{00000000-0005-0000-0000-0000990B0000}"/>
    <cellStyle name="Heading 1 4" xfId="3023" xr:uid="{00000000-0005-0000-0000-00009A0B0000}"/>
    <cellStyle name="Heading 1 5" xfId="3024" xr:uid="{00000000-0005-0000-0000-00009B0B0000}"/>
    <cellStyle name="Heading 1 6" xfId="3025" xr:uid="{00000000-0005-0000-0000-00009C0B0000}"/>
    <cellStyle name="Heading 2 2" xfId="3026" xr:uid="{00000000-0005-0000-0000-00009D0B0000}"/>
    <cellStyle name="Heading 2 3" xfId="3027" xr:uid="{00000000-0005-0000-0000-00009E0B0000}"/>
    <cellStyle name="Heading 2 4" xfId="3028" xr:uid="{00000000-0005-0000-0000-00009F0B0000}"/>
    <cellStyle name="Heading 2 5" xfId="3029" xr:uid="{00000000-0005-0000-0000-0000A00B0000}"/>
    <cellStyle name="Heading 2 6" xfId="3030" xr:uid="{00000000-0005-0000-0000-0000A10B0000}"/>
    <cellStyle name="Heading 3 2" xfId="3031" xr:uid="{00000000-0005-0000-0000-0000A20B0000}"/>
    <cellStyle name="Heading 3 3" xfId="3032" xr:uid="{00000000-0005-0000-0000-0000A30B0000}"/>
    <cellStyle name="Heading 3 4" xfId="3033" xr:uid="{00000000-0005-0000-0000-0000A40B0000}"/>
    <cellStyle name="Heading 3 5" xfId="3034" xr:uid="{00000000-0005-0000-0000-0000A50B0000}"/>
    <cellStyle name="Heading 3 6" xfId="3035" xr:uid="{00000000-0005-0000-0000-0000A60B0000}"/>
    <cellStyle name="Heading 4 2" xfId="3036" xr:uid="{00000000-0005-0000-0000-0000A70B0000}"/>
    <cellStyle name="Heading 4 3" xfId="3037" xr:uid="{00000000-0005-0000-0000-0000A80B0000}"/>
    <cellStyle name="Heading 4 4" xfId="3038" xr:uid="{00000000-0005-0000-0000-0000A90B0000}"/>
    <cellStyle name="Heading 4 5" xfId="3039" xr:uid="{00000000-0005-0000-0000-0000AA0B0000}"/>
    <cellStyle name="Heading 4 6" xfId="3040" xr:uid="{00000000-0005-0000-0000-0000AB0B0000}"/>
    <cellStyle name="HeadlineStyle" xfId="3041" xr:uid="{00000000-0005-0000-0000-0000AC0B0000}"/>
    <cellStyle name="HeadlineStyle 10" xfId="3042" xr:uid="{00000000-0005-0000-0000-0000AD0B0000}"/>
    <cellStyle name="HeadlineStyle 11" xfId="3043" xr:uid="{00000000-0005-0000-0000-0000AE0B0000}"/>
    <cellStyle name="HeadlineStyle 12" xfId="3044" xr:uid="{00000000-0005-0000-0000-0000AF0B0000}"/>
    <cellStyle name="HeadlineStyle 13" xfId="3045" xr:uid="{00000000-0005-0000-0000-0000B00B0000}"/>
    <cellStyle name="HeadlineStyle 14" xfId="3046" xr:uid="{00000000-0005-0000-0000-0000B10B0000}"/>
    <cellStyle name="HeadlineStyle 15" xfId="3047" xr:uid="{00000000-0005-0000-0000-0000B20B0000}"/>
    <cellStyle name="HeadlineStyle 16" xfId="3048" xr:uid="{00000000-0005-0000-0000-0000B30B0000}"/>
    <cellStyle name="HeadlineStyle 2" xfId="3049" xr:uid="{00000000-0005-0000-0000-0000B40B0000}"/>
    <cellStyle name="HeadlineStyle 3" xfId="3050" xr:uid="{00000000-0005-0000-0000-0000B50B0000}"/>
    <cellStyle name="HeadlineStyle 4" xfId="3051" xr:uid="{00000000-0005-0000-0000-0000B60B0000}"/>
    <cellStyle name="HeadlineStyle 5" xfId="3052" xr:uid="{00000000-0005-0000-0000-0000B70B0000}"/>
    <cellStyle name="HeadlineStyle 6" xfId="3053" xr:uid="{00000000-0005-0000-0000-0000B80B0000}"/>
    <cellStyle name="HeadlineStyle 7" xfId="3054" xr:uid="{00000000-0005-0000-0000-0000B90B0000}"/>
    <cellStyle name="HeadlineStyle 8" xfId="3055" xr:uid="{00000000-0005-0000-0000-0000BA0B0000}"/>
    <cellStyle name="HeadlineStyle 9" xfId="3056" xr:uid="{00000000-0005-0000-0000-0000BB0B0000}"/>
    <cellStyle name="HeadlineStyleJustified" xfId="3057" xr:uid="{00000000-0005-0000-0000-0000BC0B0000}"/>
    <cellStyle name="HeadlineStyleJustified 10" xfId="3058" xr:uid="{00000000-0005-0000-0000-0000BD0B0000}"/>
    <cellStyle name="HeadlineStyleJustified 11" xfId="3059" xr:uid="{00000000-0005-0000-0000-0000BE0B0000}"/>
    <cellStyle name="HeadlineStyleJustified 12" xfId="3060" xr:uid="{00000000-0005-0000-0000-0000BF0B0000}"/>
    <cellStyle name="HeadlineStyleJustified 13" xfId="3061" xr:uid="{00000000-0005-0000-0000-0000C00B0000}"/>
    <cellStyle name="HeadlineStyleJustified 14" xfId="3062" xr:uid="{00000000-0005-0000-0000-0000C10B0000}"/>
    <cellStyle name="HeadlineStyleJustified 15" xfId="3063" xr:uid="{00000000-0005-0000-0000-0000C20B0000}"/>
    <cellStyle name="HeadlineStyleJustified 16" xfId="3064" xr:uid="{00000000-0005-0000-0000-0000C30B0000}"/>
    <cellStyle name="HeadlineStyleJustified 2" xfId="3065" xr:uid="{00000000-0005-0000-0000-0000C40B0000}"/>
    <cellStyle name="HeadlineStyleJustified 3" xfId="3066" xr:uid="{00000000-0005-0000-0000-0000C50B0000}"/>
    <cellStyle name="HeadlineStyleJustified 4" xfId="3067" xr:uid="{00000000-0005-0000-0000-0000C60B0000}"/>
    <cellStyle name="HeadlineStyleJustified 5" xfId="3068" xr:uid="{00000000-0005-0000-0000-0000C70B0000}"/>
    <cellStyle name="HeadlineStyleJustified 6" xfId="3069" xr:uid="{00000000-0005-0000-0000-0000C80B0000}"/>
    <cellStyle name="HeadlineStyleJustified 7" xfId="3070" xr:uid="{00000000-0005-0000-0000-0000C90B0000}"/>
    <cellStyle name="HeadlineStyleJustified 8" xfId="3071" xr:uid="{00000000-0005-0000-0000-0000CA0B0000}"/>
    <cellStyle name="HeadlineStyleJustified 9" xfId="3072" xr:uid="{00000000-0005-0000-0000-0000CB0B0000}"/>
    <cellStyle name="Hyperlink 2" xfId="3073" xr:uid="{00000000-0005-0000-0000-0000CC0B0000}"/>
    <cellStyle name="Hyperlink 2 2" xfId="3074" xr:uid="{00000000-0005-0000-0000-0000CD0B0000}"/>
    <cellStyle name="Hyperlink 2 2 2" xfId="9499" xr:uid="{A7503C8E-3BEB-418D-959C-3D5C92242D41}"/>
    <cellStyle name="Hyperlink 2 3" xfId="9498" xr:uid="{F2467435-85A3-4DA4-B9BC-C9D6E8F70EA4}"/>
    <cellStyle name="Hyperlink 3" xfId="3075" xr:uid="{00000000-0005-0000-0000-0000CE0B0000}"/>
    <cellStyle name="inc/dec" xfId="3076" xr:uid="{00000000-0005-0000-0000-0000CF0B0000}"/>
    <cellStyle name="inc/dec 2" xfId="3077" xr:uid="{00000000-0005-0000-0000-0000D00B0000}"/>
    <cellStyle name="Input 2" xfId="3078" xr:uid="{00000000-0005-0000-0000-0000D10B0000}"/>
    <cellStyle name="Input 3" xfId="3079" xr:uid="{00000000-0005-0000-0000-0000D20B0000}"/>
    <cellStyle name="Input 4" xfId="3080" xr:uid="{00000000-0005-0000-0000-0000D30B0000}"/>
    <cellStyle name="Input 5" xfId="3081" xr:uid="{00000000-0005-0000-0000-0000D40B0000}"/>
    <cellStyle name="Input 6" xfId="3082" xr:uid="{00000000-0005-0000-0000-0000D50B0000}"/>
    <cellStyle name="Input 7" xfId="3083" xr:uid="{00000000-0005-0000-0000-0000D60B0000}"/>
    <cellStyle name="Item Tag" xfId="9501" xr:uid="{A3374735-1378-4E87-B205-B04536F81587}"/>
    <cellStyle name="Labels - Style3" xfId="3084" xr:uid="{00000000-0005-0000-0000-0000D70B0000}"/>
    <cellStyle name="Labor" xfId="3085" xr:uid="{00000000-0005-0000-0000-0000D80B0000}"/>
    <cellStyle name="Lines" xfId="3086" xr:uid="{00000000-0005-0000-0000-0000D90B0000}"/>
    <cellStyle name="Linked Amount" xfId="3087" xr:uid="{00000000-0005-0000-0000-0000DA0B0000}"/>
    <cellStyle name="Linked Cell 2" xfId="3088" xr:uid="{00000000-0005-0000-0000-0000DB0B0000}"/>
    <cellStyle name="Linked Cell 3" xfId="3089" xr:uid="{00000000-0005-0000-0000-0000DC0B0000}"/>
    <cellStyle name="Linked Cell 4" xfId="3090" xr:uid="{00000000-0005-0000-0000-0000DD0B0000}"/>
    <cellStyle name="Linked Cell 5" xfId="3091" xr:uid="{00000000-0005-0000-0000-0000DE0B0000}"/>
    <cellStyle name="Linked Cell 6" xfId="3092" xr:uid="{00000000-0005-0000-0000-0000DF0B0000}"/>
    <cellStyle name="Neutral 2" xfId="3093" xr:uid="{00000000-0005-0000-0000-0000E00B0000}"/>
    <cellStyle name="Neutral 3" xfId="3094" xr:uid="{00000000-0005-0000-0000-0000E10B0000}"/>
    <cellStyle name="Neutral 4" xfId="3095" xr:uid="{00000000-0005-0000-0000-0000E20B0000}"/>
    <cellStyle name="Neutral 5" xfId="3096" xr:uid="{00000000-0005-0000-0000-0000E30B0000}"/>
    <cellStyle name="Neutral 6" xfId="3097" xr:uid="{00000000-0005-0000-0000-0000E40B0000}"/>
    <cellStyle name="Normal" xfId="0" builtinId="0"/>
    <cellStyle name="Normal - Style1" xfId="3098" xr:uid="{00000000-0005-0000-0000-0000E60B0000}"/>
    <cellStyle name="Normal - Style2" xfId="3099" xr:uid="{00000000-0005-0000-0000-0000E70B0000}"/>
    <cellStyle name="Normal - Style3" xfId="3100" xr:uid="{00000000-0005-0000-0000-0000E80B0000}"/>
    <cellStyle name="Normal - Style4" xfId="3101" xr:uid="{00000000-0005-0000-0000-0000E90B0000}"/>
    <cellStyle name="Normal - Style5" xfId="3102" xr:uid="{00000000-0005-0000-0000-0000EA0B0000}"/>
    <cellStyle name="Normal - Style6" xfId="3103" xr:uid="{00000000-0005-0000-0000-0000EB0B0000}"/>
    <cellStyle name="Normal - Style7" xfId="3104" xr:uid="{00000000-0005-0000-0000-0000EC0B0000}"/>
    <cellStyle name="Normal - Style8" xfId="3105" xr:uid="{00000000-0005-0000-0000-0000ED0B0000}"/>
    <cellStyle name="Normal 10" xfId="36" xr:uid="{00000000-0005-0000-0000-0000EE0B0000}"/>
    <cellStyle name="Normal 10 10" xfId="4" xr:uid="{00000000-0005-0000-0000-0000EF0B0000}"/>
    <cellStyle name="Normal 10 10 2" xfId="3107" xr:uid="{00000000-0005-0000-0000-0000F00B0000}"/>
    <cellStyle name="Normal 10 10 2 2" xfId="3108" xr:uid="{00000000-0005-0000-0000-0000F10B0000}"/>
    <cellStyle name="Normal 10 10 2 3" xfId="3109" xr:uid="{00000000-0005-0000-0000-0000F20B0000}"/>
    <cellStyle name="Normal 10 10 3" xfId="3110" xr:uid="{00000000-0005-0000-0000-0000F30B0000}"/>
    <cellStyle name="Normal 10 10 3 2" xfId="21" xr:uid="{00000000-0005-0000-0000-0000F40B0000}"/>
    <cellStyle name="Normal 10 10 3 2 2" xfId="9485" xr:uid="{00000000-0005-0000-0000-0000F50B0000}"/>
    <cellStyle name="Normal 10 10 4" xfId="3111" xr:uid="{00000000-0005-0000-0000-0000F60B0000}"/>
    <cellStyle name="Normal 10 10 5" xfId="3112" xr:uid="{00000000-0005-0000-0000-0000F70B0000}"/>
    <cellStyle name="Normal 10 10 6" xfId="3113" xr:uid="{00000000-0005-0000-0000-0000F80B0000}"/>
    <cellStyle name="Normal 10 10 6 2" xfId="22" xr:uid="{00000000-0005-0000-0000-0000F90B0000}"/>
    <cellStyle name="Normal 10 10 7" xfId="3114" xr:uid="{00000000-0005-0000-0000-0000FA0B0000}"/>
    <cellStyle name="Normal 10 10 8" xfId="9439" xr:uid="{00000000-0005-0000-0000-0000FB0B0000}"/>
    <cellStyle name="Normal 10 10 8 3" xfId="20" xr:uid="{00000000-0005-0000-0000-0000FC0B0000}"/>
    <cellStyle name="Normal 10 11" xfId="70" xr:uid="{00000000-0005-0000-0000-0000FD0B0000}"/>
    <cellStyle name="Normal 10 11 2" xfId="3115" xr:uid="{00000000-0005-0000-0000-0000FE0B0000}"/>
    <cellStyle name="Normal 10 11 2 2" xfId="3116" xr:uid="{00000000-0005-0000-0000-0000FF0B0000}"/>
    <cellStyle name="Normal 10 11 3" xfId="3117" xr:uid="{00000000-0005-0000-0000-0000000C0000}"/>
    <cellStyle name="Normal 10 11 4" xfId="26" xr:uid="{00000000-0005-0000-0000-0000010C0000}"/>
    <cellStyle name="Normal 10 12" xfId="3118" xr:uid="{00000000-0005-0000-0000-0000020C0000}"/>
    <cellStyle name="Normal 10 12 2" xfId="3119" xr:uid="{00000000-0005-0000-0000-0000030C0000}"/>
    <cellStyle name="Normal 10 12 2 2" xfId="3120" xr:uid="{00000000-0005-0000-0000-0000040C0000}"/>
    <cellStyle name="Normal 10 12 3" xfId="3121" xr:uid="{00000000-0005-0000-0000-0000050C0000}"/>
    <cellStyle name="Normal 10 13" xfId="3122" xr:uid="{00000000-0005-0000-0000-0000060C0000}"/>
    <cellStyle name="Normal 10 13 2" xfId="3123" xr:uid="{00000000-0005-0000-0000-0000070C0000}"/>
    <cellStyle name="Normal 10 13 2 2" xfId="3124" xr:uid="{00000000-0005-0000-0000-0000080C0000}"/>
    <cellStyle name="Normal 10 13 3" xfId="3125" xr:uid="{00000000-0005-0000-0000-0000090C0000}"/>
    <cellStyle name="Normal 10 14" xfId="3126" xr:uid="{00000000-0005-0000-0000-00000A0C0000}"/>
    <cellStyle name="Normal 10 14 10" xfId="3127" xr:uid="{00000000-0005-0000-0000-00000B0C0000}"/>
    <cellStyle name="Normal 10 14 10 2" xfId="3128" xr:uid="{00000000-0005-0000-0000-00000C0C0000}"/>
    <cellStyle name="Normal 10 14 10 2 2" xfId="3129" xr:uid="{00000000-0005-0000-0000-00000D0C0000}"/>
    <cellStyle name="Normal 10 14 10 3" xfId="3130" xr:uid="{00000000-0005-0000-0000-00000E0C0000}"/>
    <cellStyle name="Normal 10 14 11" xfId="3131" xr:uid="{00000000-0005-0000-0000-00000F0C0000}"/>
    <cellStyle name="Normal 10 14 11 2" xfId="3132" xr:uid="{00000000-0005-0000-0000-0000100C0000}"/>
    <cellStyle name="Normal 10 14 11 2 2" xfId="3133" xr:uid="{00000000-0005-0000-0000-0000110C0000}"/>
    <cellStyle name="Normal 10 14 11 3" xfId="3134" xr:uid="{00000000-0005-0000-0000-0000120C0000}"/>
    <cellStyle name="Normal 10 14 12" xfId="3135" xr:uid="{00000000-0005-0000-0000-0000130C0000}"/>
    <cellStyle name="Normal 10 14 12 2" xfId="3136" xr:uid="{00000000-0005-0000-0000-0000140C0000}"/>
    <cellStyle name="Normal 10 14 12 2 2" xfId="3137" xr:uid="{00000000-0005-0000-0000-0000150C0000}"/>
    <cellStyle name="Normal 10 14 12 3" xfId="3138" xr:uid="{00000000-0005-0000-0000-0000160C0000}"/>
    <cellStyle name="Normal 10 14 13" xfId="3139" xr:uid="{00000000-0005-0000-0000-0000170C0000}"/>
    <cellStyle name="Normal 10 14 13 2" xfId="3140" xr:uid="{00000000-0005-0000-0000-0000180C0000}"/>
    <cellStyle name="Normal 10 14 14" xfId="3141" xr:uid="{00000000-0005-0000-0000-0000190C0000}"/>
    <cellStyle name="Normal 10 14 2" xfId="3142" xr:uid="{00000000-0005-0000-0000-00001A0C0000}"/>
    <cellStyle name="Normal 10 14 2 2" xfId="3143" xr:uid="{00000000-0005-0000-0000-00001B0C0000}"/>
    <cellStyle name="Normal 10 14 2 2 2" xfId="3144" xr:uid="{00000000-0005-0000-0000-00001C0C0000}"/>
    <cellStyle name="Normal 10 14 2 3" xfId="3145" xr:uid="{00000000-0005-0000-0000-00001D0C0000}"/>
    <cellStyle name="Normal 10 14 3" xfId="3146" xr:uid="{00000000-0005-0000-0000-00001E0C0000}"/>
    <cellStyle name="Normal 10 14 3 2" xfId="3147" xr:uid="{00000000-0005-0000-0000-00001F0C0000}"/>
    <cellStyle name="Normal 10 14 3 2 2" xfId="3148" xr:uid="{00000000-0005-0000-0000-0000200C0000}"/>
    <cellStyle name="Normal 10 14 3 3" xfId="3149" xr:uid="{00000000-0005-0000-0000-0000210C0000}"/>
    <cellStyle name="Normal 10 14 4" xfId="3150" xr:uid="{00000000-0005-0000-0000-0000220C0000}"/>
    <cellStyle name="Normal 10 14 4 2" xfId="3151" xr:uid="{00000000-0005-0000-0000-0000230C0000}"/>
    <cellStyle name="Normal 10 14 4 2 2" xfId="3152" xr:uid="{00000000-0005-0000-0000-0000240C0000}"/>
    <cellStyle name="Normal 10 14 4 3" xfId="3153" xr:uid="{00000000-0005-0000-0000-0000250C0000}"/>
    <cellStyle name="Normal 10 14 5" xfId="3154" xr:uid="{00000000-0005-0000-0000-0000260C0000}"/>
    <cellStyle name="Normal 10 14 5 2" xfId="3155" xr:uid="{00000000-0005-0000-0000-0000270C0000}"/>
    <cellStyle name="Normal 10 14 5 2 2" xfId="3156" xr:uid="{00000000-0005-0000-0000-0000280C0000}"/>
    <cellStyle name="Normal 10 14 5 3" xfId="3157" xr:uid="{00000000-0005-0000-0000-0000290C0000}"/>
    <cellStyle name="Normal 10 14 6" xfId="3158" xr:uid="{00000000-0005-0000-0000-00002A0C0000}"/>
    <cellStyle name="Normal 10 14 6 2" xfId="3159" xr:uid="{00000000-0005-0000-0000-00002B0C0000}"/>
    <cellStyle name="Normal 10 14 6 2 2" xfId="3160" xr:uid="{00000000-0005-0000-0000-00002C0C0000}"/>
    <cellStyle name="Normal 10 14 6 3" xfId="3161" xr:uid="{00000000-0005-0000-0000-00002D0C0000}"/>
    <cellStyle name="Normal 10 14 7" xfId="3162" xr:uid="{00000000-0005-0000-0000-00002E0C0000}"/>
    <cellStyle name="Normal 10 14 7 2" xfId="3163" xr:uid="{00000000-0005-0000-0000-00002F0C0000}"/>
    <cellStyle name="Normal 10 14 7 2 2" xfId="3164" xr:uid="{00000000-0005-0000-0000-0000300C0000}"/>
    <cellStyle name="Normal 10 14 7 3" xfId="3165" xr:uid="{00000000-0005-0000-0000-0000310C0000}"/>
    <cellStyle name="Normal 10 14 8" xfId="3166" xr:uid="{00000000-0005-0000-0000-0000320C0000}"/>
    <cellStyle name="Normal 10 14 8 2" xfId="3167" xr:uid="{00000000-0005-0000-0000-0000330C0000}"/>
    <cellStyle name="Normal 10 14 8 2 2" xfId="3168" xr:uid="{00000000-0005-0000-0000-0000340C0000}"/>
    <cellStyle name="Normal 10 14 8 3" xfId="3169" xr:uid="{00000000-0005-0000-0000-0000350C0000}"/>
    <cellStyle name="Normal 10 14 9" xfId="3170" xr:uid="{00000000-0005-0000-0000-0000360C0000}"/>
    <cellStyle name="Normal 10 14 9 2" xfId="3171" xr:uid="{00000000-0005-0000-0000-0000370C0000}"/>
    <cellStyle name="Normal 10 14 9 2 2" xfId="3172" xr:uid="{00000000-0005-0000-0000-0000380C0000}"/>
    <cellStyle name="Normal 10 14 9 3" xfId="3173" xr:uid="{00000000-0005-0000-0000-0000390C0000}"/>
    <cellStyle name="Normal 10 15" xfId="3174" xr:uid="{00000000-0005-0000-0000-00003A0C0000}"/>
    <cellStyle name="Normal 10 15 2" xfId="3175" xr:uid="{00000000-0005-0000-0000-00003B0C0000}"/>
    <cellStyle name="Normal 10 15 2 2" xfId="3176" xr:uid="{00000000-0005-0000-0000-00003C0C0000}"/>
    <cellStyle name="Normal 10 15 3" xfId="3177" xr:uid="{00000000-0005-0000-0000-00003D0C0000}"/>
    <cellStyle name="Normal 10 16" xfId="3178" xr:uid="{00000000-0005-0000-0000-00003E0C0000}"/>
    <cellStyle name="Normal 10 16 2" xfId="3179" xr:uid="{00000000-0005-0000-0000-00003F0C0000}"/>
    <cellStyle name="Normal 10 16 2 2" xfId="3180" xr:uid="{00000000-0005-0000-0000-0000400C0000}"/>
    <cellStyle name="Normal 10 16 3" xfId="3181" xr:uid="{00000000-0005-0000-0000-0000410C0000}"/>
    <cellStyle name="Normal 10 17" xfId="3182" xr:uid="{00000000-0005-0000-0000-0000420C0000}"/>
    <cellStyle name="Normal 10 17 2" xfId="3183" xr:uid="{00000000-0005-0000-0000-0000430C0000}"/>
    <cellStyle name="Normal 10 17 2 2" xfId="3184" xr:uid="{00000000-0005-0000-0000-0000440C0000}"/>
    <cellStyle name="Normal 10 17 3" xfId="3185" xr:uid="{00000000-0005-0000-0000-0000450C0000}"/>
    <cellStyle name="Normal 10 18" xfId="3186" xr:uid="{00000000-0005-0000-0000-0000460C0000}"/>
    <cellStyle name="Normal 10 18 2" xfId="3187" xr:uid="{00000000-0005-0000-0000-0000470C0000}"/>
    <cellStyle name="Normal 10 18 2 2" xfId="3188" xr:uid="{00000000-0005-0000-0000-0000480C0000}"/>
    <cellStyle name="Normal 10 18 3" xfId="3189" xr:uid="{00000000-0005-0000-0000-0000490C0000}"/>
    <cellStyle name="Normal 10 19" xfId="3190" xr:uid="{00000000-0005-0000-0000-00004A0C0000}"/>
    <cellStyle name="Normal 10 19 2" xfId="3191" xr:uid="{00000000-0005-0000-0000-00004B0C0000}"/>
    <cellStyle name="Normal 10 19 2 2" xfId="3192" xr:uid="{00000000-0005-0000-0000-00004C0C0000}"/>
    <cellStyle name="Normal 10 19 3" xfId="3193" xr:uid="{00000000-0005-0000-0000-00004D0C0000}"/>
    <cellStyle name="Normal 10 2" xfId="3194" xr:uid="{00000000-0005-0000-0000-00004E0C0000}"/>
    <cellStyle name="Normal 10 2 2" xfId="3195" xr:uid="{00000000-0005-0000-0000-00004F0C0000}"/>
    <cellStyle name="Normal 10 2 2 2" xfId="3196" xr:uid="{00000000-0005-0000-0000-0000500C0000}"/>
    <cellStyle name="Normal 10 2 2 3" xfId="3197" xr:uid="{00000000-0005-0000-0000-0000510C0000}"/>
    <cellStyle name="Normal 10 2 3" xfId="3198" xr:uid="{00000000-0005-0000-0000-0000520C0000}"/>
    <cellStyle name="Normal 10 2 4" xfId="3199" xr:uid="{00000000-0005-0000-0000-0000530C0000}"/>
    <cellStyle name="Normal 10 20" xfId="3200" xr:uid="{00000000-0005-0000-0000-0000540C0000}"/>
    <cellStyle name="Normal 10 20 2" xfId="3201" xr:uid="{00000000-0005-0000-0000-0000550C0000}"/>
    <cellStyle name="Normal 10 20 2 2" xfId="3202" xr:uid="{00000000-0005-0000-0000-0000560C0000}"/>
    <cellStyle name="Normal 10 20 3" xfId="3203" xr:uid="{00000000-0005-0000-0000-0000570C0000}"/>
    <cellStyle name="Normal 10 21" xfId="3204" xr:uid="{00000000-0005-0000-0000-0000580C0000}"/>
    <cellStyle name="Normal 10 21 2" xfId="3205" xr:uid="{00000000-0005-0000-0000-0000590C0000}"/>
    <cellStyle name="Normal 10 21 2 2" xfId="3206" xr:uid="{00000000-0005-0000-0000-00005A0C0000}"/>
    <cellStyle name="Normal 10 21 3" xfId="11" xr:uid="{00000000-0005-0000-0000-00005B0C0000}"/>
    <cellStyle name="Normal 10 21 4" xfId="3207" xr:uid="{00000000-0005-0000-0000-00005C0C0000}"/>
    <cellStyle name="Normal 10 21 5" xfId="3208" xr:uid="{00000000-0005-0000-0000-00005D0C0000}"/>
    <cellStyle name="Normal 10 22" xfId="3209" xr:uid="{00000000-0005-0000-0000-00005E0C0000}"/>
    <cellStyle name="Normal 10 22 2" xfId="3210" xr:uid="{00000000-0005-0000-0000-00005F0C0000}"/>
    <cellStyle name="Normal 10 22 3" xfId="3211" xr:uid="{00000000-0005-0000-0000-0000600C0000}"/>
    <cellStyle name="Normal 10 23" xfId="3212" xr:uid="{00000000-0005-0000-0000-0000610C0000}"/>
    <cellStyle name="Normal 10 23 2" xfId="24" xr:uid="{00000000-0005-0000-0000-0000620C0000}"/>
    <cellStyle name="Normal 10 23 3" xfId="3213" xr:uid="{00000000-0005-0000-0000-0000630C0000}"/>
    <cellStyle name="Normal 10 24" xfId="3214" xr:uid="{00000000-0005-0000-0000-0000640C0000}"/>
    <cellStyle name="Normal 10 25" xfId="3215" xr:uid="{00000000-0005-0000-0000-0000650C0000}"/>
    <cellStyle name="Normal 10 26" xfId="3216" xr:uid="{00000000-0005-0000-0000-0000660C0000}"/>
    <cellStyle name="Normal 10 26 2" xfId="3217" xr:uid="{00000000-0005-0000-0000-0000670C0000}"/>
    <cellStyle name="Normal 10 27" xfId="3218" xr:uid="{00000000-0005-0000-0000-0000680C0000}"/>
    <cellStyle name="Normal 10 28" xfId="3219" xr:uid="{00000000-0005-0000-0000-0000690C0000}"/>
    <cellStyle name="Normal 10 29" xfId="3220" xr:uid="{00000000-0005-0000-0000-00006A0C0000}"/>
    <cellStyle name="Normal 10 3" xfId="3221" xr:uid="{00000000-0005-0000-0000-00006B0C0000}"/>
    <cellStyle name="Normal 10 3 2" xfId="3222" xr:uid="{00000000-0005-0000-0000-00006C0C0000}"/>
    <cellStyle name="Normal 10 3 2 2" xfId="3223" xr:uid="{00000000-0005-0000-0000-00006D0C0000}"/>
    <cellStyle name="Normal 10 3 2 3" xfId="3224" xr:uid="{00000000-0005-0000-0000-00006E0C0000}"/>
    <cellStyle name="Normal 10 3 3" xfId="3225" xr:uid="{00000000-0005-0000-0000-00006F0C0000}"/>
    <cellStyle name="Normal 10 3 4" xfId="3226" xr:uid="{00000000-0005-0000-0000-0000700C0000}"/>
    <cellStyle name="Normal 10 30" xfId="3227" xr:uid="{00000000-0005-0000-0000-0000710C0000}"/>
    <cellStyle name="Normal 10 31" xfId="3228" xr:uid="{00000000-0005-0000-0000-0000720C0000}"/>
    <cellStyle name="Normal 10 32" xfId="3229" xr:uid="{00000000-0005-0000-0000-0000730C0000}"/>
    <cellStyle name="Normal 10 33" xfId="3230" xr:uid="{00000000-0005-0000-0000-0000740C0000}"/>
    <cellStyle name="Normal 10 34" xfId="3231" xr:uid="{00000000-0005-0000-0000-0000750C0000}"/>
    <cellStyle name="Normal 10 35" xfId="3232" xr:uid="{00000000-0005-0000-0000-0000760C0000}"/>
    <cellStyle name="Normal 10 36" xfId="3233" xr:uid="{00000000-0005-0000-0000-0000770C0000}"/>
    <cellStyle name="Normal 10 37" xfId="3234" xr:uid="{00000000-0005-0000-0000-0000780C0000}"/>
    <cellStyle name="Normal 10 38" xfId="3235" xr:uid="{00000000-0005-0000-0000-0000790C0000}"/>
    <cellStyle name="Normal 10 39" xfId="3236" xr:uid="{00000000-0005-0000-0000-00007A0C0000}"/>
    <cellStyle name="Normal 10 4" xfId="3237" xr:uid="{00000000-0005-0000-0000-00007B0C0000}"/>
    <cellStyle name="Normal 10 4 2" xfId="3238" xr:uid="{00000000-0005-0000-0000-00007C0C0000}"/>
    <cellStyle name="Normal 10 4 2 2" xfId="3239" xr:uid="{00000000-0005-0000-0000-00007D0C0000}"/>
    <cellStyle name="Normal 10 4 2 3" xfId="3240" xr:uid="{00000000-0005-0000-0000-00007E0C0000}"/>
    <cellStyle name="Normal 10 4 3" xfId="3241" xr:uid="{00000000-0005-0000-0000-00007F0C0000}"/>
    <cellStyle name="Normal 10 4 4" xfId="3242" xr:uid="{00000000-0005-0000-0000-0000800C0000}"/>
    <cellStyle name="Normal 10 40" xfId="3243" xr:uid="{00000000-0005-0000-0000-0000810C0000}"/>
    <cellStyle name="Normal 10 41" xfId="3244" xr:uid="{00000000-0005-0000-0000-0000820C0000}"/>
    <cellStyle name="Normal 10 42" xfId="3245" xr:uid="{00000000-0005-0000-0000-0000830C0000}"/>
    <cellStyle name="Normal 10 43" xfId="3246" xr:uid="{00000000-0005-0000-0000-0000840C0000}"/>
    <cellStyle name="Normal 10 44" xfId="3247" xr:uid="{00000000-0005-0000-0000-0000850C0000}"/>
    <cellStyle name="Normal 10 45" xfId="3248" xr:uid="{00000000-0005-0000-0000-0000860C0000}"/>
    <cellStyle name="Normal 10 46" xfId="3249" xr:uid="{00000000-0005-0000-0000-0000870C0000}"/>
    <cellStyle name="Normal 10 47" xfId="3250" xr:uid="{00000000-0005-0000-0000-0000880C0000}"/>
    <cellStyle name="Normal 10 48" xfId="3251" xr:uid="{00000000-0005-0000-0000-0000890C0000}"/>
    <cellStyle name="Normal 10 49" xfId="3252" xr:uid="{00000000-0005-0000-0000-00008A0C0000}"/>
    <cellStyle name="Normal 10 5" xfId="3253" xr:uid="{00000000-0005-0000-0000-00008B0C0000}"/>
    <cellStyle name="Normal 10 5 2" xfId="3254" xr:uid="{00000000-0005-0000-0000-00008C0C0000}"/>
    <cellStyle name="Normal 10 5 2 2" xfId="3255" xr:uid="{00000000-0005-0000-0000-00008D0C0000}"/>
    <cellStyle name="Normal 10 5 2 3" xfId="3256" xr:uid="{00000000-0005-0000-0000-00008E0C0000}"/>
    <cellStyle name="Normal 10 5 3" xfId="3257" xr:uid="{00000000-0005-0000-0000-00008F0C0000}"/>
    <cellStyle name="Normal 10 5 4" xfId="3258" xr:uid="{00000000-0005-0000-0000-0000900C0000}"/>
    <cellStyle name="Normal 10 50" xfId="3259" xr:uid="{00000000-0005-0000-0000-0000910C0000}"/>
    <cellStyle name="Normal 10 51" xfId="3260" xr:uid="{00000000-0005-0000-0000-0000920C0000}"/>
    <cellStyle name="Normal 10 52" xfId="3261" xr:uid="{00000000-0005-0000-0000-0000930C0000}"/>
    <cellStyle name="Normal 10 53" xfId="3262" xr:uid="{00000000-0005-0000-0000-0000940C0000}"/>
    <cellStyle name="Normal 10 54" xfId="3263" xr:uid="{00000000-0005-0000-0000-0000950C0000}"/>
    <cellStyle name="Normal 10 55" xfId="3264" xr:uid="{00000000-0005-0000-0000-0000960C0000}"/>
    <cellStyle name="Normal 10 56" xfId="3265" xr:uid="{00000000-0005-0000-0000-0000970C0000}"/>
    <cellStyle name="Normal 10 57" xfId="3266" xr:uid="{00000000-0005-0000-0000-0000980C0000}"/>
    <cellStyle name="Normal 10 58" xfId="3267" xr:uid="{00000000-0005-0000-0000-0000990C0000}"/>
    <cellStyle name="Normal 10 59" xfId="3268" xr:uid="{00000000-0005-0000-0000-00009A0C0000}"/>
    <cellStyle name="Normal 10 6" xfId="3269" xr:uid="{00000000-0005-0000-0000-00009B0C0000}"/>
    <cellStyle name="Normal 10 6 2" xfId="3270" xr:uid="{00000000-0005-0000-0000-00009C0C0000}"/>
    <cellStyle name="Normal 10 6 2 2" xfId="3271" xr:uid="{00000000-0005-0000-0000-00009D0C0000}"/>
    <cellStyle name="Normal 10 6 2 3" xfId="3272" xr:uid="{00000000-0005-0000-0000-00009E0C0000}"/>
    <cellStyle name="Normal 10 6 3" xfId="3273" xr:uid="{00000000-0005-0000-0000-00009F0C0000}"/>
    <cellStyle name="Normal 10 6 4" xfId="3274" xr:uid="{00000000-0005-0000-0000-0000A00C0000}"/>
    <cellStyle name="Normal 10 60" xfId="3275" xr:uid="{00000000-0005-0000-0000-0000A10C0000}"/>
    <cellStyle name="Normal 10 61" xfId="3276" xr:uid="{00000000-0005-0000-0000-0000A20C0000}"/>
    <cellStyle name="Normal 10 62" xfId="3277" xr:uid="{00000000-0005-0000-0000-0000A30C0000}"/>
    <cellStyle name="Normal 10 63" xfId="3278" xr:uid="{00000000-0005-0000-0000-0000A40C0000}"/>
    <cellStyle name="Normal 10 64" xfId="3279" xr:uid="{00000000-0005-0000-0000-0000A50C0000}"/>
    <cellStyle name="Normal 10 65" xfId="3280" xr:uid="{00000000-0005-0000-0000-0000A60C0000}"/>
    <cellStyle name="Normal 10 66" xfId="3281" xr:uid="{00000000-0005-0000-0000-0000A70C0000}"/>
    <cellStyle name="Normal 10 67" xfId="3282" xr:uid="{00000000-0005-0000-0000-0000A80C0000}"/>
    <cellStyle name="Normal 10 68" xfId="3283" xr:uid="{00000000-0005-0000-0000-0000A90C0000}"/>
    <cellStyle name="Normal 10 69" xfId="3284" xr:uid="{00000000-0005-0000-0000-0000AA0C0000}"/>
    <cellStyle name="Normal 10 7" xfId="3285" xr:uid="{00000000-0005-0000-0000-0000AB0C0000}"/>
    <cellStyle name="Normal 10 7 2" xfId="3286" xr:uid="{00000000-0005-0000-0000-0000AC0C0000}"/>
    <cellStyle name="Normal 10 7 2 2" xfId="3287" xr:uid="{00000000-0005-0000-0000-0000AD0C0000}"/>
    <cellStyle name="Normal 10 7 2 3" xfId="3288" xr:uid="{00000000-0005-0000-0000-0000AE0C0000}"/>
    <cellStyle name="Normal 10 7 3" xfId="3289" xr:uid="{00000000-0005-0000-0000-0000AF0C0000}"/>
    <cellStyle name="Normal 10 7 4" xfId="3290" xr:uid="{00000000-0005-0000-0000-0000B00C0000}"/>
    <cellStyle name="Normal 10 70" xfId="3291" xr:uid="{00000000-0005-0000-0000-0000B10C0000}"/>
    <cellStyle name="Normal 10 71" xfId="3292" xr:uid="{00000000-0005-0000-0000-0000B20C0000}"/>
    <cellStyle name="Normal 10 71 2" xfId="3293" xr:uid="{00000000-0005-0000-0000-0000B30C0000}"/>
    <cellStyle name="Normal 10 72" xfId="3294" xr:uid="{00000000-0005-0000-0000-0000B40C0000}"/>
    <cellStyle name="Normal 10 73" xfId="3295" xr:uid="{00000000-0005-0000-0000-0000B50C0000}"/>
    <cellStyle name="Normal 10 74" xfId="3106" xr:uid="{00000000-0005-0000-0000-0000B60C0000}"/>
    <cellStyle name="Normal 10 8" xfId="3296" xr:uid="{00000000-0005-0000-0000-0000B70C0000}"/>
    <cellStyle name="Normal 10 8 2" xfId="3297" xr:uid="{00000000-0005-0000-0000-0000B80C0000}"/>
    <cellStyle name="Normal 10 8 2 2" xfId="3298" xr:uid="{00000000-0005-0000-0000-0000B90C0000}"/>
    <cellStyle name="Normal 10 8 2 3" xfId="3299" xr:uid="{00000000-0005-0000-0000-0000BA0C0000}"/>
    <cellStyle name="Normal 10 8 3" xfId="3300" xr:uid="{00000000-0005-0000-0000-0000BB0C0000}"/>
    <cellStyle name="Normal 10 8 4" xfId="3301" xr:uid="{00000000-0005-0000-0000-0000BC0C0000}"/>
    <cellStyle name="Normal 10 9" xfId="3302" xr:uid="{00000000-0005-0000-0000-0000BD0C0000}"/>
    <cellStyle name="Normal 10 9 2" xfId="3303" xr:uid="{00000000-0005-0000-0000-0000BE0C0000}"/>
    <cellStyle name="Normal 10 9 2 2" xfId="3304" xr:uid="{00000000-0005-0000-0000-0000BF0C0000}"/>
    <cellStyle name="Normal 10 9 3" xfId="3305" xr:uid="{00000000-0005-0000-0000-0000C00C0000}"/>
    <cellStyle name="Normal 10 9 4" xfId="3306" xr:uid="{00000000-0005-0000-0000-0000C10C0000}"/>
    <cellStyle name="Normal 10 9 5" xfId="3307" xr:uid="{00000000-0005-0000-0000-0000C20C0000}"/>
    <cellStyle name="Normal 100" xfId="3308" xr:uid="{00000000-0005-0000-0000-0000C30C0000}"/>
    <cellStyle name="Normal 101" xfId="3309" xr:uid="{00000000-0005-0000-0000-0000C40C0000}"/>
    <cellStyle name="Normal 102" xfId="3310" xr:uid="{00000000-0005-0000-0000-0000C50C0000}"/>
    <cellStyle name="Normal 103" xfId="3311" xr:uid="{00000000-0005-0000-0000-0000C60C0000}"/>
    <cellStyle name="Normal 104" xfId="3312" xr:uid="{00000000-0005-0000-0000-0000C70C0000}"/>
    <cellStyle name="Normal 105" xfId="3313" xr:uid="{00000000-0005-0000-0000-0000C80C0000}"/>
    <cellStyle name="Normal 106" xfId="3314" xr:uid="{00000000-0005-0000-0000-0000C90C0000}"/>
    <cellStyle name="Normal 107" xfId="3315" xr:uid="{00000000-0005-0000-0000-0000CA0C0000}"/>
    <cellStyle name="Normal 108" xfId="3316" xr:uid="{00000000-0005-0000-0000-0000CB0C0000}"/>
    <cellStyle name="Normal 109" xfId="3317" xr:uid="{00000000-0005-0000-0000-0000CC0C0000}"/>
    <cellStyle name="Normal 11" xfId="3318" xr:uid="{00000000-0005-0000-0000-0000CD0C0000}"/>
    <cellStyle name="Normal 11 10" xfId="3319" xr:uid="{00000000-0005-0000-0000-0000CE0C0000}"/>
    <cellStyle name="Normal 11 11" xfId="3320" xr:uid="{00000000-0005-0000-0000-0000CF0C0000}"/>
    <cellStyle name="Normal 11 12" xfId="3321" xr:uid="{00000000-0005-0000-0000-0000D00C0000}"/>
    <cellStyle name="Normal 11 13" xfId="3322" xr:uid="{00000000-0005-0000-0000-0000D10C0000}"/>
    <cellStyle name="Normal 11 14" xfId="3323" xr:uid="{00000000-0005-0000-0000-0000D20C0000}"/>
    <cellStyle name="Normal 11 2" xfId="3324" xr:uid="{00000000-0005-0000-0000-0000D30C0000}"/>
    <cellStyle name="Normal 11 2 10" xfId="3325" xr:uid="{00000000-0005-0000-0000-0000D40C0000}"/>
    <cellStyle name="Normal 11 2 2" xfId="3326" xr:uid="{00000000-0005-0000-0000-0000D50C0000}"/>
    <cellStyle name="Normal 11 2 2 2" xfId="3327" xr:uid="{00000000-0005-0000-0000-0000D60C0000}"/>
    <cellStyle name="Normal 11 2 2 2 2" xfId="3328" xr:uid="{00000000-0005-0000-0000-0000D70C0000}"/>
    <cellStyle name="Normal 11 2 2 3" xfId="3329" xr:uid="{00000000-0005-0000-0000-0000D80C0000}"/>
    <cellStyle name="Normal 11 2 2 4" xfId="3330" xr:uid="{00000000-0005-0000-0000-0000D90C0000}"/>
    <cellStyle name="Normal 11 2 2 5" xfId="3331" xr:uid="{00000000-0005-0000-0000-0000DA0C0000}"/>
    <cellStyle name="Normal 11 2 2 6" xfId="3332" xr:uid="{00000000-0005-0000-0000-0000DB0C0000}"/>
    <cellStyle name="Normal 11 2 2 7" xfId="3333" xr:uid="{00000000-0005-0000-0000-0000DC0C0000}"/>
    <cellStyle name="Normal 11 2 2 8" xfId="3334" xr:uid="{00000000-0005-0000-0000-0000DD0C0000}"/>
    <cellStyle name="Normal 11 2 2 9" xfId="3335" xr:uid="{00000000-0005-0000-0000-0000DE0C0000}"/>
    <cellStyle name="Normal 11 2 3" xfId="3336" xr:uid="{00000000-0005-0000-0000-0000DF0C0000}"/>
    <cellStyle name="Normal 11 2 4" xfId="3337" xr:uid="{00000000-0005-0000-0000-0000E00C0000}"/>
    <cellStyle name="Normal 11 2 5" xfId="3338" xr:uid="{00000000-0005-0000-0000-0000E10C0000}"/>
    <cellStyle name="Normal 11 2 6" xfId="3339" xr:uid="{00000000-0005-0000-0000-0000E20C0000}"/>
    <cellStyle name="Normal 11 2 7" xfId="3340" xr:uid="{00000000-0005-0000-0000-0000E30C0000}"/>
    <cellStyle name="Normal 11 2 8" xfId="3341" xr:uid="{00000000-0005-0000-0000-0000E40C0000}"/>
    <cellStyle name="Normal 11 2 9" xfId="3342" xr:uid="{00000000-0005-0000-0000-0000E50C0000}"/>
    <cellStyle name="Normal 11 3" xfId="3343" xr:uid="{00000000-0005-0000-0000-0000E60C0000}"/>
    <cellStyle name="Normal 11 4" xfId="3344" xr:uid="{00000000-0005-0000-0000-0000E70C0000}"/>
    <cellStyle name="Normal 11 5" xfId="3345" xr:uid="{00000000-0005-0000-0000-0000E80C0000}"/>
    <cellStyle name="Normal 11 5 2" xfId="3346" xr:uid="{00000000-0005-0000-0000-0000E90C0000}"/>
    <cellStyle name="Normal 11 6" xfId="3347" xr:uid="{00000000-0005-0000-0000-0000EA0C0000}"/>
    <cellStyle name="Normal 11 6 2" xfId="3348" xr:uid="{00000000-0005-0000-0000-0000EB0C0000}"/>
    <cellStyle name="Normal 11 7" xfId="3349" xr:uid="{00000000-0005-0000-0000-0000EC0C0000}"/>
    <cellStyle name="Normal 11 8" xfId="3350" xr:uid="{00000000-0005-0000-0000-0000ED0C0000}"/>
    <cellStyle name="Normal 11 9" xfId="3351" xr:uid="{00000000-0005-0000-0000-0000EE0C0000}"/>
    <cellStyle name="Normal 110" xfId="3352" xr:uid="{00000000-0005-0000-0000-0000EF0C0000}"/>
    <cellStyle name="Normal 111" xfId="3353" xr:uid="{00000000-0005-0000-0000-0000F00C0000}"/>
    <cellStyle name="Normal 112" xfId="3354" xr:uid="{00000000-0005-0000-0000-0000F10C0000}"/>
    <cellStyle name="Normal 113" xfId="3355" xr:uid="{00000000-0005-0000-0000-0000F20C0000}"/>
    <cellStyle name="Normal 114" xfId="3356" xr:uid="{00000000-0005-0000-0000-0000F30C0000}"/>
    <cellStyle name="Normal 115" xfId="3357" xr:uid="{00000000-0005-0000-0000-0000F40C0000}"/>
    <cellStyle name="Normal 116" xfId="3358" xr:uid="{00000000-0005-0000-0000-0000F50C0000}"/>
    <cellStyle name="Normal 117" xfId="3359" xr:uid="{00000000-0005-0000-0000-0000F60C0000}"/>
    <cellStyle name="Normal 118" xfId="3360" xr:uid="{00000000-0005-0000-0000-0000F70C0000}"/>
    <cellStyle name="Normal 119" xfId="3361" xr:uid="{00000000-0005-0000-0000-0000F80C0000}"/>
    <cellStyle name="Normal 12" xfId="3362" xr:uid="{00000000-0005-0000-0000-0000F90C0000}"/>
    <cellStyle name="Normal 12 10" xfId="3363" xr:uid="{00000000-0005-0000-0000-0000FA0C0000}"/>
    <cellStyle name="Normal 12 10 2" xfId="19" xr:uid="{00000000-0005-0000-0000-0000FB0C0000}"/>
    <cellStyle name="Normal 12 11" xfId="3364" xr:uid="{00000000-0005-0000-0000-0000FC0C0000}"/>
    <cellStyle name="Normal 12 12" xfId="3365" xr:uid="{00000000-0005-0000-0000-0000FD0C0000}"/>
    <cellStyle name="Normal 12 13" xfId="3366" xr:uid="{00000000-0005-0000-0000-0000FE0C0000}"/>
    <cellStyle name="Normal 12 14" xfId="3367" xr:uid="{00000000-0005-0000-0000-0000FF0C0000}"/>
    <cellStyle name="Normal 12 15" xfId="3368" xr:uid="{00000000-0005-0000-0000-0000000D0000}"/>
    <cellStyle name="Normal 12 16" xfId="3369" xr:uid="{00000000-0005-0000-0000-0000010D0000}"/>
    <cellStyle name="Normal 12 17" xfId="3370" xr:uid="{00000000-0005-0000-0000-0000020D0000}"/>
    <cellStyle name="Normal 12 18" xfId="3371" xr:uid="{00000000-0005-0000-0000-0000030D0000}"/>
    <cellStyle name="Normal 12 19" xfId="3372" xr:uid="{00000000-0005-0000-0000-0000040D0000}"/>
    <cellStyle name="Normal 12 2" xfId="3373" xr:uid="{00000000-0005-0000-0000-0000050D0000}"/>
    <cellStyle name="Normal 12 2 2" xfId="3374" xr:uid="{00000000-0005-0000-0000-0000060D0000}"/>
    <cellStyle name="Normal 12 2 2 2" xfId="3375" xr:uid="{00000000-0005-0000-0000-0000070D0000}"/>
    <cellStyle name="Normal 12 2 3" xfId="3376" xr:uid="{00000000-0005-0000-0000-0000080D0000}"/>
    <cellStyle name="Normal 12 2 4" xfId="3377" xr:uid="{00000000-0005-0000-0000-0000090D0000}"/>
    <cellStyle name="Normal 12 20" xfId="3378" xr:uid="{00000000-0005-0000-0000-00000A0D0000}"/>
    <cellStyle name="Normal 12 21" xfId="3379" xr:uid="{00000000-0005-0000-0000-00000B0D0000}"/>
    <cellStyle name="Normal 12 22" xfId="3380" xr:uid="{00000000-0005-0000-0000-00000C0D0000}"/>
    <cellStyle name="Normal 12 23" xfId="3381" xr:uid="{00000000-0005-0000-0000-00000D0D0000}"/>
    <cellStyle name="Normal 12 24" xfId="3382" xr:uid="{00000000-0005-0000-0000-00000E0D0000}"/>
    <cellStyle name="Normal 12 25" xfId="3383" xr:uid="{00000000-0005-0000-0000-00000F0D0000}"/>
    <cellStyle name="Normal 12 26" xfId="3384" xr:uid="{00000000-0005-0000-0000-0000100D0000}"/>
    <cellStyle name="Normal 12 27" xfId="3385" xr:uid="{00000000-0005-0000-0000-0000110D0000}"/>
    <cellStyle name="Normal 12 28" xfId="3386" xr:uid="{00000000-0005-0000-0000-0000120D0000}"/>
    <cellStyle name="Normal 12 29" xfId="3387" xr:uid="{00000000-0005-0000-0000-0000130D0000}"/>
    <cellStyle name="Normal 12 3" xfId="3388" xr:uid="{00000000-0005-0000-0000-0000140D0000}"/>
    <cellStyle name="Normal 12 30" xfId="3389" xr:uid="{00000000-0005-0000-0000-0000150D0000}"/>
    <cellStyle name="Normal 12 31" xfId="3390" xr:uid="{00000000-0005-0000-0000-0000160D0000}"/>
    <cellStyle name="Normal 12 32" xfId="3391" xr:uid="{00000000-0005-0000-0000-0000170D0000}"/>
    <cellStyle name="Normal 12 33" xfId="3392" xr:uid="{00000000-0005-0000-0000-0000180D0000}"/>
    <cellStyle name="Normal 12 34" xfId="3393" xr:uid="{00000000-0005-0000-0000-0000190D0000}"/>
    <cellStyle name="Normal 12 35" xfId="3394" xr:uid="{00000000-0005-0000-0000-00001A0D0000}"/>
    <cellStyle name="Normal 12 36" xfId="3395" xr:uid="{00000000-0005-0000-0000-00001B0D0000}"/>
    <cellStyle name="Normal 12 37" xfId="3396" xr:uid="{00000000-0005-0000-0000-00001C0D0000}"/>
    <cellStyle name="Normal 12 38" xfId="3397" xr:uid="{00000000-0005-0000-0000-00001D0D0000}"/>
    <cellStyle name="Normal 12 39" xfId="3398" xr:uid="{00000000-0005-0000-0000-00001E0D0000}"/>
    <cellStyle name="Normal 12 4" xfId="3399" xr:uid="{00000000-0005-0000-0000-00001F0D0000}"/>
    <cellStyle name="Normal 12 40" xfId="3400" xr:uid="{00000000-0005-0000-0000-0000200D0000}"/>
    <cellStyle name="Normal 12 41" xfId="3401" xr:uid="{00000000-0005-0000-0000-0000210D0000}"/>
    <cellStyle name="Normal 12 42" xfId="3402" xr:uid="{00000000-0005-0000-0000-0000220D0000}"/>
    <cellStyle name="Normal 12 43" xfId="3403" xr:uid="{00000000-0005-0000-0000-0000230D0000}"/>
    <cellStyle name="Normal 12 44" xfId="3404" xr:uid="{00000000-0005-0000-0000-0000240D0000}"/>
    <cellStyle name="Normal 12 45" xfId="3405" xr:uid="{00000000-0005-0000-0000-0000250D0000}"/>
    <cellStyle name="Normal 12 46" xfId="3406" xr:uid="{00000000-0005-0000-0000-0000260D0000}"/>
    <cellStyle name="Normal 12 47" xfId="3407" xr:uid="{00000000-0005-0000-0000-0000270D0000}"/>
    <cellStyle name="Normal 12 48" xfId="3408" xr:uid="{00000000-0005-0000-0000-0000280D0000}"/>
    <cellStyle name="Normal 12 49" xfId="3409" xr:uid="{00000000-0005-0000-0000-0000290D0000}"/>
    <cellStyle name="Normal 12 5" xfId="3410" xr:uid="{00000000-0005-0000-0000-00002A0D0000}"/>
    <cellStyle name="Normal 12 50" xfId="9448" xr:uid="{00000000-0005-0000-0000-00002B0D0000}"/>
    <cellStyle name="Normal 12 6" xfId="3411" xr:uid="{00000000-0005-0000-0000-00002C0D0000}"/>
    <cellStyle name="Normal 12 7" xfId="3412" xr:uid="{00000000-0005-0000-0000-00002D0D0000}"/>
    <cellStyle name="Normal 12 8" xfId="3413" xr:uid="{00000000-0005-0000-0000-00002E0D0000}"/>
    <cellStyle name="Normal 12 9" xfId="3414" xr:uid="{00000000-0005-0000-0000-00002F0D0000}"/>
    <cellStyle name="Normal 120" xfId="3415" xr:uid="{00000000-0005-0000-0000-0000300D0000}"/>
    <cellStyle name="Normal 121" xfId="3416" xr:uid="{00000000-0005-0000-0000-0000310D0000}"/>
    <cellStyle name="Normal 122" xfId="3417" xr:uid="{00000000-0005-0000-0000-0000320D0000}"/>
    <cellStyle name="Normal 123" xfId="3418" xr:uid="{00000000-0005-0000-0000-0000330D0000}"/>
    <cellStyle name="Normal 124" xfId="3419" xr:uid="{00000000-0005-0000-0000-0000340D0000}"/>
    <cellStyle name="Normal 125" xfId="3420" xr:uid="{00000000-0005-0000-0000-0000350D0000}"/>
    <cellStyle name="Normal 125 2" xfId="3421" xr:uid="{00000000-0005-0000-0000-0000360D0000}"/>
    <cellStyle name="Normal 126" xfId="3422" xr:uid="{00000000-0005-0000-0000-0000370D0000}"/>
    <cellStyle name="Normal 126 2" xfId="3423" xr:uid="{00000000-0005-0000-0000-0000380D0000}"/>
    <cellStyle name="Normal 127" xfId="3424" xr:uid="{00000000-0005-0000-0000-0000390D0000}"/>
    <cellStyle name="Normal 127 2" xfId="3425" xr:uid="{00000000-0005-0000-0000-00003A0D0000}"/>
    <cellStyle name="Normal 128" xfId="3426" xr:uid="{00000000-0005-0000-0000-00003B0D0000}"/>
    <cellStyle name="Normal 129" xfId="3427" xr:uid="{00000000-0005-0000-0000-00003C0D0000}"/>
    <cellStyle name="Normal 129 2" xfId="3428" xr:uid="{00000000-0005-0000-0000-00003D0D0000}"/>
    <cellStyle name="Normal 13" xfId="3429" xr:uid="{00000000-0005-0000-0000-00003E0D0000}"/>
    <cellStyle name="Normal 13 10" xfId="3430" xr:uid="{00000000-0005-0000-0000-00003F0D0000}"/>
    <cellStyle name="Normal 13 11" xfId="3431" xr:uid="{00000000-0005-0000-0000-0000400D0000}"/>
    <cellStyle name="Normal 13 12" xfId="3432" xr:uid="{00000000-0005-0000-0000-0000410D0000}"/>
    <cellStyle name="Normal 13 13" xfId="3433" xr:uid="{00000000-0005-0000-0000-0000420D0000}"/>
    <cellStyle name="Normal 13 14" xfId="3434" xr:uid="{00000000-0005-0000-0000-0000430D0000}"/>
    <cellStyle name="Normal 13 15" xfId="3435" xr:uid="{00000000-0005-0000-0000-0000440D0000}"/>
    <cellStyle name="Normal 13 16" xfId="3436" xr:uid="{00000000-0005-0000-0000-0000450D0000}"/>
    <cellStyle name="Normal 13 17" xfId="3437" xr:uid="{00000000-0005-0000-0000-0000460D0000}"/>
    <cellStyle name="Normal 13 18" xfId="3438" xr:uid="{00000000-0005-0000-0000-0000470D0000}"/>
    <cellStyle name="Normal 13 19" xfId="3439" xr:uid="{00000000-0005-0000-0000-0000480D0000}"/>
    <cellStyle name="Normal 13 2" xfId="3440" xr:uid="{00000000-0005-0000-0000-0000490D0000}"/>
    <cellStyle name="Normal 13 2 2" xfId="3441" xr:uid="{00000000-0005-0000-0000-00004A0D0000}"/>
    <cellStyle name="Normal 13 2 2 2" xfId="3442" xr:uid="{00000000-0005-0000-0000-00004B0D0000}"/>
    <cellStyle name="Normal 13 2 2 3" xfId="3443" xr:uid="{00000000-0005-0000-0000-00004C0D0000}"/>
    <cellStyle name="Normal 13 2 3" xfId="3444" xr:uid="{00000000-0005-0000-0000-00004D0D0000}"/>
    <cellStyle name="Normal 13 2 3 2" xfId="3445" xr:uid="{00000000-0005-0000-0000-00004E0D0000}"/>
    <cellStyle name="Normal 13 2 4" xfId="3446" xr:uid="{00000000-0005-0000-0000-00004F0D0000}"/>
    <cellStyle name="Normal 13 2 5" xfId="3447" xr:uid="{00000000-0005-0000-0000-0000500D0000}"/>
    <cellStyle name="Normal 13 20" xfId="3448" xr:uid="{00000000-0005-0000-0000-0000510D0000}"/>
    <cellStyle name="Normal 13 21" xfId="3449" xr:uid="{00000000-0005-0000-0000-0000520D0000}"/>
    <cellStyle name="Normal 13 21 2" xfId="3450" xr:uid="{00000000-0005-0000-0000-0000530D0000}"/>
    <cellStyle name="Normal 13 22" xfId="3451" xr:uid="{00000000-0005-0000-0000-0000540D0000}"/>
    <cellStyle name="Normal 13 3" xfId="3452" xr:uid="{00000000-0005-0000-0000-0000550D0000}"/>
    <cellStyle name="Normal 13 3 2" xfId="3453" xr:uid="{00000000-0005-0000-0000-0000560D0000}"/>
    <cellStyle name="Normal 13 3 3" xfId="3454" xr:uid="{00000000-0005-0000-0000-0000570D0000}"/>
    <cellStyle name="Normal 13 4" xfId="3455" xr:uid="{00000000-0005-0000-0000-0000580D0000}"/>
    <cellStyle name="Normal 13 4 2" xfId="3456" xr:uid="{00000000-0005-0000-0000-0000590D0000}"/>
    <cellStyle name="Normal 13 4 2 2" xfId="3457" xr:uid="{00000000-0005-0000-0000-00005A0D0000}"/>
    <cellStyle name="Normal 13 4 3" xfId="3458" xr:uid="{00000000-0005-0000-0000-00005B0D0000}"/>
    <cellStyle name="Normal 13 5" xfId="3459" xr:uid="{00000000-0005-0000-0000-00005C0D0000}"/>
    <cellStyle name="Normal 13 5 2" xfId="3460" xr:uid="{00000000-0005-0000-0000-00005D0D0000}"/>
    <cellStyle name="Normal 13 6" xfId="3461" xr:uid="{00000000-0005-0000-0000-00005E0D0000}"/>
    <cellStyle name="Normal 13 7" xfId="3462" xr:uid="{00000000-0005-0000-0000-00005F0D0000}"/>
    <cellStyle name="Normal 13 8" xfId="3463" xr:uid="{00000000-0005-0000-0000-0000600D0000}"/>
    <cellStyle name="Normal 13 9" xfId="3464" xr:uid="{00000000-0005-0000-0000-0000610D0000}"/>
    <cellStyle name="Normal 130" xfId="3465" xr:uid="{00000000-0005-0000-0000-0000620D0000}"/>
    <cellStyle name="Normal 130 2" xfId="3466" xr:uid="{00000000-0005-0000-0000-0000630D0000}"/>
    <cellStyle name="Normal 131" xfId="3467" xr:uid="{00000000-0005-0000-0000-0000640D0000}"/>
    <cellStyle name="Normal 131 2" xfId="3468" xr:uid="{00000000-0005-0000-0000-0000650D0000}"/>
    <cellStyle name="Normal 131 3" xfId="3469" xr:uid="{00000000-0005-0000-0000-0000660D0000}"/>
    <cellStyle name="Normal 132" xfId="3470" xr:uid="{00000000-0005-0000-0000-0000670D0000}"/>
    <cellStyle name="Normal 132 2" xfId="3471" xr:uid="{00000000-0005-0000-0000-0000680D0000}"/>
    <cellStyle name="Normal 133" xfId="3472" xr:uid="{00000000-0005-0000-0000-0000690D0000}"/>
    <cellStyle name="Normal 134" xfId="3473" xr:uid="{00000000-0005-0000-0000-00006A0D0000}"/>
    <cellStyle name="Normal 134 2" xfId="3474" xr:uid="{00000000-0005-0000-0000-00006B0D0000}"/>
    <cellStyle name="Normal 134 2 2" xfId="3475" xr:uid="{00000000-0005-0000-0000-00006C0D0000}"/>
    <cellStyle name="Normal 135" xfId="3476" xr:uid="{00000000-0005-0000-0000-00006D0D0000}"/>
    <cellStyle name="Normal 136" xfId="3477" xr:uid="{00000000-0005-0000-0000-00006E0D0000}"/>
    <cellStyle name="Normal 137" xfId="3478" xr:uid="{00000000-0005-0000-0000-00006F0D0000}"/>
    <cellStyle name="Normal 138" xfId="3479" xr:uid="{00000000-0005-0000-0000-0000700D0000}"/>
    <cellStyle name="Normal 139" xfId="3480" xr:uid="{00000000-0005-0000-0000-0000710D0000}"/>
    <cellStyle name="Normal 139 2" xfId="3481" xr:uid="{00000000-0005-0000-0000-0000720D0000}"/>
    <cellStyle name="Normal 14" xfId="3482" xr:uid="{00000000-0005-0000-0000-0000730D0000}"/>
    <cellStyle name="Normal 14 10" xfId="3483" xr:uid="{00000000-0005-0000-0000-0000740D0000}"/>
    <cellStyle name="Normal 14 10 2" xfId="3484" xr:uid="{00000000-0005-0000-0000-0000750D0000}"/>
    <cellStyle name="Normal 14 11" xfId="3485" xr:uid="{00000000-0005-0000-0000-0000760D0000}"/>
    <cellStyle name="Normal 14 12" xfId="3486" xr:uid="{00000000-0005-0000-0000-0000770D0000}"/>
    <cellStyle name="Normal 14 12 10 2 2 2" xfId="9475" xr:uid="{00000000-0005-0000-0000-0000780D0000}"/>
    <cellStyle name="Normal 14 12 10 2 2 2 2" xfId="9494" xr:uid="{46E470E5-5801-45CB-9563-9C35DAB5FF58}"/>
    <cellStyle name="Normal 14 13" xfId="3487" xr:uid="{00000000-0005-0000-0000-0000790D0000}"/>
    <cellStyle name="Normal 14 14" xfId="3488" xr:uid="{00000000-0005-0000-0000-00007A0D0000}"/>
    <cellStyle name="Normal 14 2" xfId="3489" xr:uid="{00000000-0005-0000-0000-00007B0D0000}"/>
    <cellStyle name="Normal 14 2 2" xfId="3490" xr:uid="{00000000-0005-0000-0000-00007C0D0000}"/>
    <cellStyle name="Normal 14 2 3" xfId="3491" xr:uid="{00000000-0005-0000-0000-00007D0D0000}"/>
    <cellStyle name="Normal 14 2 4" xfId="3492" xr:uid="{00000000-0005-0000-0000-00007E0D0000}"/>
    <cellStyle name="Normal 14 3" xfId="3493" xr:uid="{00000000-0005-0000-0000-00007F0D0000}"/>
    <cellStyle name="Normal 14 3 2" xfId="3494" xr:uid="{00000000-0005-0000-0000-0000800D0000}"/>
    <cellStyle name="Normal 14 3 3" xfId="3495" xr:uid="{00000000-0005-0000-0000-0000810D0000}"/>
    <cellStyle name="Normal 14 4" xfId="3496" xr:uid="{00000000-0005-0000-0000-0000820D0000}"/>
    <cellStyle name="Normal 14 4 2" xfId="3497" xr:uid="{00000000-0005-0000-0000-0000830D0000}"/>
    <cellStyle name="Normal 14 4 2 2" xfId="3498" xr:uid="{00000000-0005-0000-0000-0000840D0000}"/>
    <cellStyle name="Normal 14 4 3" xfId="3499" xr:uid="{00000000-0005-0000-0000-0000850D0000}"/>
    <cellStyle name="Normal 14 5" xfId="3500" xr:uid="{00000000-0005-0000-0000-0000860D0000}"/>
    <cellStyle name="Normal 14 5 2" xfId="3501" xr:uid="{00000000-0005-0000-0000-0000870D0000}"/>
    <cellStyle name="Normal 14 5 3" xfId="3502" xr:uid="{00000000-0005-0000-0000-0000880D0000}"/>
    <cellStyle name="Normal 14 5 4" xfId="3503" xr:uid="{00000000-0005-0000-0000-0000890D0000}"/>
    <cellStyle name="Normal 14 6" xfId="3504" xr:uid="{00000000-0005-0000-0000-00008A0D0000}"/>
    <cellStyle name="Normal 14 6 2" xfId="3505" xr:uid="{00000000-0005-0000-0000-00008B0D0000}"/>
    <cellStyle name="Normal 14 7" xfId="3506" xr:uid="{00000000-0005-0000-0000-00008C0D0000}"/>
    <cellStyle name="Normal 14 7 2" xfId="3507" xr:uid="{00000000-0005-0000-0000-00008D0D0000}"/>
    <cellStyle name="Normal 14 8" xfId="3508" xr:uid="{00000000-0005-0000-0000-00008E0D0000}"/>
    <cellStyle name="Normal 14 8 2" xfId="3509" xr:uid="{00000000-0005-0000-0000-00008F0D0000}"/>
    <cellStyle name="Normal 14 9" xfId="3510" xr:uid="{00000000-0005-0000-0000-0000900D0000}"/>
    <cellStyle name="Normal 14 9 2" xfId="3511" xr:uid="{00000000-0005-0000-0000-0000910D0000}"/>
    <cellStyle name="Normal 140" xfId="3512" xr:uid="{00000000-0005-0000-0000-0000920D0000}"/>
    <cellStyle name="Normal 140 2" xfId="3513" xr:uid="{00000000-0005-0000-0000-0000930D0000}"/>
    <cellStyle name="Normal 140 2 2" xfId="3514" xr:uid="{00000000-0005-0000-0000-0000940D0000}"/>
    <cellStyle name="Normal 140 3" xfId="3515" xr:uid="{00000000-0005-0000-0000-0000950D0000}"/>
    <cellStyle name="Normal 141" xfId="3516" xr:uid="{00000000-0005-0000-0000-0000960D0000}"/>
    <cellStyle name="Normal 142" xfId="3517" xr:uid="{00000000-0005-0000-0000-0000970D0000}"/>
    <cellStyle name="Normal 143" xfId="3518" xr:uid="{00000000-0005-0000-0000-0000980D0000}"/>
    <cellStyle name="Normal 144" xfId="3519" xr:uid="{00000000-0005-0000-0000-0000990D0000}"/>
    <cellStyle name="Normal 145" xfId="3520" xr:uid="{00000000-0005-0000-0000-00009A0D0000}"/>
    <cellStyle name="Normal 146" xfId="3521" xr:uid="{00000000-0005-0000-0000-00009B0D0000}"/>
    <cellStyle name="Normal 147" xfId="3522" xr:uid="{00000000-0005-0000-0000-00009C0D0000}"/>
    <cellStyle name="Normal 148" xfId="3523" xr:uid="{00000000-0005-0000-0000-00009D0D0000}"/>
    <cellStyle name="Normal 149" xfId="3524" xr:uid="{00000000-0005-0000-0000-00009E0D0000}"/>
    <cellStyle name="Normal 15" xfId="3525" xr:uid="{00000000-0005-0000-0000-00009F0D0000}"/>
    <cellStyle name="Normal 15 2" xfId="3526" xr:uid="{00000000-0005-0000-0000-0000A00D0000}"/>
    <cellStyle name="Normal 15 2 2" xfId="3527" xr:uid="{00000000-0005-0000-0000-0000A10D0000}"/>
    <cellStyle name="Normal 15 2 3" xfId="3528" xr:uid="{00000000-0005-0000-0000-0000A20D0000}"/>
    <cellStyle name="Normal 15 3" xfId="3529" xr:uid="{00000000-0005-0000-0000-0000A30D0000}"/>
    <cellStyle name="Normal 15 3 2" xfId="3530" xr:uid="{00000000-0005-0000-0000-0000A40D0000}"/>
    <cellStyle name="Normal 15 3 3" xfId="3531" xr:uid="{00000000-0005-0000-0000-0000A50D0000}"/>
    <cellStyle name="Normal 15 4" xfId="3532" xr:uid="{00000000-0005-0000-0000-0000A60D0000}"/>
    <cellStyle name="Normal 15 4 2" xfId="3533" xr:uid="{00000000-0005-0000-0000-0000A70D0000}"/>
    <cellStyle name="Normal 15 4 3" xfId="3534" xr:uid="{00000000-0005-0000-0000-0000A80D0000}"/>
    <cellStyle name="Normal 15 5" xfId="3535" xr:uid="{00000000-0005-0000-0000-0000A90D0000}"/>
    <cellStyle name="Normal 15 6" xfId="3536" xr:uid="{00000000-0005-0000-0000-0000AA0D0000}"/>
    <cellStyle name="Normal 15 7" xfId="3537" xr:uid="{00000000-0005-0000-0000-0000AB0D0000}"/>
    <cellStyle name="Normal 15 8" xfId="3538" xr:uid="{00000000-0005-0000-0000-0000AC0D0000}"/>
    <cellStyle name="Normal 150" xfId="3539" xr:uid="{00000000-0005-0000-0000-0000AD0D0000}"/>
    <cellStyle name="Normal 151" xfId="3540" xr:uid="{00000000-0005-0000-0000-0000AE0D0000}"/>
    <cellStyle name="Normal 152" xfId="3541" xr:uid="{00000000-0005-0000-0000-0000AF0D0000}"/>
    <cellStyle name="Normal 153" xfId="3542" xr:uid="{00000000-0005-0000-0000-0000B00D0000}"/>
    <cellStyle name="Normal 154" xfId="3543" xr:uid="{00000000-0005-0000-0000-0000B10D0000}"/>
    <cellStyle name="Normal 155" xfId="3544" xr:uid="{00000000-0005-0000-0000-0000B20D0000}"/>
    <cellStyle name="Normal 156" xfId="3545" xr:uid="{00000000-0005-0000-0000-0000B30D0000}"/>
    <cellStyle name="Normal 157" xfId="3546" xr:uid="{00000000-0005-0000-0000-0000B40D0000}"/>
    <cellStyle name="Normal 158" xfId="3547" xr:uid="{00000000-0005-0000-0000-0000B50D0000}"/>
    <cellStyle name="Normal 159" xfId="3548" xr:uid="{00000000-0005-0000-0000-0000B60D0000}"/>
    <cellStyle name="Normal 16" xfId="3549" xr:uid="{00000000-0005-0000-0000-0000B70D0000}"/>
    <cellStyle name="Normal 16 2" xfId="3550" xr:uid="{00000000-0005-0000-0000-0000B80D0000}"/>
    <cellStyle name="Normal 16 2 2" xfId="3551" xr:uid="{00000000-0005-0000-0000-0000B90D0000}"/>
    <cellStyle name="Normal 16 2 2 2" xfId="3552" xr:uid="{00000000-0005-0000-0000-0000BA0D0000}"/>
    <cellStyle name="Normal 16 2 3" xfId="3553" xr:uid="{00000000-0005-0000-0000-0000BB0D0000}"/>
    <cellStyle name="Normal 16 3" xfId="3554" xr:uid="{00000000-0005-0000-0000-0000BC0D0000}"/>
    <cellStyle name="Normal 16 3 2" xfId="3555" xr:uid="{00000000-0005-0000-0000-0000BD0D0000}"/>
    <cellStyle name="Normal 16 4" xfId="3556" xr:uid="{00000000-0005-0000-0000-0000BE0D0000}"/>
    <cellStyle name="Normal 16 5" xfId="3557" xr:uid="{00000000-0005-0000-0000-0000BF0D0000}"/>
    <cellStyle name="Normal 16 6" xfId="3558" xr:uid="{00000000-0005-0000-0000-0000C00D0000}"/>
    <cellStyle name="Normal 16 7" xfId="3559" xr:uid="{00000000-0005-0000-0000-0000C10D0000}"/>
    <cellStyle name="Normal 160" xfId="3560" xr:uid="{00000000-0005-0000-0000-0000C20D0000}"/>
    <cellStyle name="Normal 161" xfId="3561" xr:uid="{00000000-0005-0000-0000-0000C30D0000}"/>
    <cellStyle name="Normal 162" xfId="3562" xr:uid="{00000000-0005-0000-0000-0000C40D0000}"/>
    <cellStyle name="Normal 163" xfId="3563" xr:uid="{00000000-0005-0000-0000-0000C50D0000}"/>
    <cellStyle name="Normal 164" xfId="3564" xr:uid="{00000000-0005-0000-0000-0000C60D0000}"/>
    <cellStyle name="Normal 165" xfId="3565" xr:uid="{00000000-0005-0000-0000-0000C70D0000}"/>
    <cellStyle name="Normal 166" xfId="3566" xr:uid="{00000000-0005-0000-0000-0000C80D0000}"/>
    <cellStyle name="Normal 167" xfId="3567" xr:uid="{00000000-0005-0000-0000-0000C90D0000}"/>
    <cellStyle name="Normal 168" xfId="3568" xr:uid="{00000000-0005-0000-0000-0000CA0D0000}"/>
    <cellStyle name="Normal 169" xfId="3569" xr:uid="{00000000-0005-0000-0000-0000CB0D0000}"/>
    <cellStyle name="Normal 17" xfId="3570" xr:uid="{00000000-0005-0000-0000-0000CC0D0000}"/>
    <cellStyle name="Normal 17 2" xfId="3571" xr:uid="{00000000-0005-0000-0000-0000CD0D0000}"/>
    <cellStyle name="Normal 17 2 2" xfId="3572" xr:uid="{00000000-0005-0000-0000-0000CE0D0000}"/>
    <cellStyle name="Normal 17 2 2 2" xfId="3573" xr:uid="{00000000-0005-0000-0000-0000CF0D0000}"/>
    <cellStyle name="Normal 17 2 3" xfId="3574" xr:uid="{00000000-0005-0000-0000-0000D00D0000}"/>
    <cellStyle name="Normal 17 3" xfId="3575" xr:uid="{00000000-0005-0000-0000-0000D10D0000}"/>
    <cellStyle name="Normal 17 3 2" xfId="3576" xr:uid="{00000000-0005-0000-0000-0000D20D0000}"/>
    <cellStyle name="Normal 17 4" xfId="3577" xr:uid="{00000000-0005-0000-0000-0000D30D0000}"/>
    <cellStyle name="Normal 17 4 2" xfId="3578" xr:uid="{00000000-0005-0000-0000-0000D40D0000}"/>
    <cellStyle name="Normal 17 4 3" xfId="3579" xr:uid="{00000000-0005-0000-0000-0000D50D0000}"/>
    <cellStyle name="Normal 170" xfId="3580" xr:uid="{00000000-0005-0000-0000-0000D60D0000}"/>
    <cellStyle name="Normal 171" xfId="3581" xr:uid="{00000000-0005-0000-0000-0000D70D0000}"/>
    <cellStyle name="Normal 172" xfId="3582" xr:uid="{00000000-0005-0000-0000-0000D80D0000}"/>
    <cellStyle name="Normal 173" xfId="3583" xr:uid="{00000000-0005-0000-0000-0000D90D0000}"/>
    <cellStyle name="Normal 174" xfId="3584" xr:uid="{00000000-0005-0000-0000-0000DA0D0000}"/>
    <cellStyle name="Normal 175" xfId="3585" xr:uid="{00000000-0005-0000-0000-0000DB0D0000}"/>
    <cellStyle name="Normal 176" xfId="3586" xr:uid="{00000000-0005-0000-0000-0000DC0D0000}"/>
    <cellStyle name="Normal 177" xfId="3587" xr:uid="{00000000-0005-0000-0000-0000DD0D0000}"/>
    <cellStyle name="Normal 178" xfId="3588" xr:uid="{00000000-0005-0000-0000-0000DE0D0000}"/>
    <cellStyle name="Normal 179" xfId="3589" xr:uid="{00000000-0005-0000-0000-0000DF0D0000}"/>
    <cellStyle name="Normal 18" xfId="3590" xr:uid="{00000000-0005-0000-0000-0000E00D0000}"/>
    <cellStyle name="Normal 18 2" xfId="3591" xr:uid="{00000000-0005-0000-0000-0000E10D0000}"/>
    <cellStyle name="Normal 18 2 2" xfId="3592" xr:uid="{00000000-0005-0000-0000-0000E20D0000}"/>
    <cellStyle name="Normal 18 2 3" xfId="3593" xr:uid="{00000000-0005-0000-0000-0000E30D0000}"/>
    <cellStyle name="Normal 18 3" xfId="3594" xr:uid="{00000000-0005-0000-0000-0000E40D0000}"/>
    <cellStyle name="Normal 18 3 2" xfId="3595" xr:uid="{00000000-0005-0000-0000-0000E50D0000}"/>
    <cellStyle name="Normal 18 4" xfId="3596" xr:uid="{00000000-0005-0000-0000-0000E60D0000}"/>
    <cellStyle name="Normal 18 5" xfId="3597" xr:uid="{00000000-0005-0000-0000-0000E70D0000}"/>
    <cellStyle name="Normal 18 6" xfId="3598" xr:uid="{00000000-0005-0000-0000-0000E80D0000}"/>
    <cellStyle name="Normal 180" xfId="3599" xr:uid="{00000000-0005-0000-0000-0000E90D0000}"/>
    <cellStyle name="Normal 181" xfId="3600" xr:uid="{00000000-0005-0000-0000-0000EA0D0000}"/>
    <cellStyle name="Normal 182" xfId="3601" xr:uid="{00000000-0005-0000-0000-0000EB0D0000}"/>
    <cellStyle name="Normal 183" xfId="3602" xr:uid="{00000000-0005-0000-0000-0000EC0D0000}"/>
    <cellStyle name="Normal 184" xfId="3603" xr:uid="{00000000-0005-0000-0000-0000ED0D0000}"/>
    <cellStyle name="Normal 185" xfId="3604" xr:uid="{00000000-0005-0000-0000-0000EE0D0000}"/>
    <cellStyle name="Normal 186" xfId="3605" xr:uid="{00000000-0005-0000-0000-0000EF0D0000}"/>
    <cellStyle name="Normal 187" xfId="3606" xr:uid="{00000000-0005-0000-0000-0000F00D0000}"/>
    <cellStyle name="Normal 188" xfId="3607" xr:uid="{00000000-0005-0000-0000-0000F10D0000}"/>
    <cellStyle name="Normal 189" xfId="3608" xr:uid="{00000000-0005-0000-0000-0000F20D0000}"/>
    <cellStyle name="Normal 19" xfId="3609" xr:uid="{00000000-0005-0000-0000-0000F30D0000}"/>
    <cellStyle name="Normal 19 2" xfId="3610" xr:uid="{00000000-0005-0000-0000-0000F40D0000}"/>
    <cellStyle name="Normal 190" xfId="3611" xr:uid="{00000000-0005-0000-0000-0000F50D0000}"/>
    <cellStyle name="Normal 191" xfId="3612" xr:uid="{00000000-0005-0000-0000-0000F60D0000}"/>
    <cellStyle name="Normal 192" xfId="3613" xr:uid="{00000000-0005-0000-0000-0000F70D0000}"/>
    <cellStyle name="Normal 193" xfId="3614" xr:uid="{00000000-0005-0000-0000-0000F80D0000}"/>
    <cellStyle name="Normal 194" xfId="3615" xr:uid="{00000000-0005-0000-0000-0000F90D0000}"/>
    <cellStyle name="Normal 194 2" xfId="3616" xr:uid="{00000000-0005-0000-0000-0000FA0D0000}"/>
    <cellStyle name="Normal 195" xfId="53" xr:uid="{00000000-0005-0000-0000-0000FB0D0000}"/>
    <cellStyle name="Normal 195 2" xfId="3" xr:uid="{00000000-0005-0000-0000-0000FC0D0000}"/>
    <cellStyle name="Normal 195 3" xfId="3617" xr:uid="{00000000-0005-0000-0000-0000FD0D0000}"/>
    <cellStyle name="Normal 196" xfId="3618" xr:uid="{00000000-0005-0000-0000-0000FE0D0000}"/>
    <cellStyle name="Normal 197" xfId="3619" xr:uid="{00000000-0005-0000-0000-0000FF0D0000}"/>
    <cellStyle name="Normal 198" xfId="3620" xr:uid="{00000000-0005-0000-0000-0000000E0000}"/>
    <cellStyle name="Normal 199" xfId="3621" xr:uid="{00000000-0005-0000-0000-0000010E0000}"/>
    <cellStyle name="Normal 199 2" xfId="9436" xr:uid="{00000000-0005-0000-0000-0000020E0000}"/>
    <cellStyle name="Normal 199 2 3" xfId="32" xr:uid="{00000000-0005-0000-0000-0000030E0000}"/>
    <cellStyle name="Normal 199 2 3 2" xfId="9492" xr:uid="{0907043E-33A6-4AF9-8B48-C29DCD00B564}"/>
    <cellStyle name="Normal 2" xfId="2" xr:uid="{00000000-0005-0000-0000-0000040E0000}"/>
    <cellStyle name="Normal 2 10" xfId="3622" xr:uid="{00000000-0005-0000-0000-0000050E0000}"/>
    <cellStyle name="Normal 2 10 2" xfId="12" xr:uid="{00000000-0005-0000-0000-0000060E0000}"/>
    <cellStyle name="Normal 2 10 3" xfId="3623" xr:uid="{00000000-0005-0000-0000-0000070E0000}"/>
    <cellStyle name="Normal 2 10 4" xfId="3624" xr:uid="{00000000-0005-0000-0000-0000080E0000}"/>
    <cellStyle name="Normal 2 10 4 2" xfId="3625" xr:uid="{00000000-0005-0000-0000-0000090E0000}"/>
    <cellStyle name="Normal 2 10 5" xfId="3626" xr:uid="{00000000-0005-0000-0000-00000A0E0000}"/>
    <cellStyle name="Normal 2 10 5 2" xfId="3627" xr:uid="{00000000-0005-0000-0000-00000B0E0000}"/>
    <cellStyle name="Normal 2 10 6" xfId="3628" xr:uid="{00000000-0005-0000-0000-00000C0E0000}"/>
    <cellStyle name="Normal 2 10 7" xfId="3629" xr:uid="{00000000-0005-0000-0000-00000D0E0000}"/>
    <cellStyle name="Normal 2 10 8" xfId="3630" xr:uid="{00000000-0005-0000-0000-00000E0E0000}"/>
    <cellStyle name="Normal 2 10 9" xfId="9417" xr:uid="{00000000-0005-0000-0000-00000F0E0000}"/>
    <cellStyle name="Normal 2 10 9 2" xfId="40" xr:uid="{00000000-0005-0000-0000-0000100E0000}"/>
    <cellStyle name="Normal 2 100" xfId="3631" xr:uid="{00000000-0005-0000-0000-0000110E0000}"/>
    <cellStyle name="Normal 2 100 2" xfId="3632" xr:uid="{00000000-0005-0000-0000-0000120E0000}"/>
    <cellStyle name="Normal 2 101" xfId="3633" xr:uid="{00000000-0005-0000-0000-0000130E0000}"/>
    <cellStyle name="Normal 2 101 2" xfId="3634" xr:uid="{00000000-0005-0000-0000-0000140E0000}"/>
    <cellStyle name="Normal 2 102" xfId="3635" xr:uid="{00000000-0005-0000-0000-0000150E0000}"/>
    <cellStyle name="Normal 2 102 2" xfId="3636" xr:uid="{00000000-0005-0000-0000-0000160E0000}"/>
    <cellStyle name="Normal 2 103" xfId="3637" xr:uid="{00000000-0005-0000-0000-0000170E0000}"/>
    <cellStyle name="Normal 2 103 2" xfId="3638" xr:uid="{00000000-0005-0000-0000-0000180E0000}"/>
    <cellStyle name="Normal 2 104" xfId="3639" xr:uid="{00000000-0005-0000-0000-0000190E0000}"/>
    <cellStyle name="Normal 2 105" xfId="3640" xr:uid="{00000000-0005-0000-0000-00001A0E0000}"/>
    <cellStyle name="Normal 2 105 2" xfId="3641" xr:uid="{00000000-0005-0000-0000-00001B0E0000}"/>
    <cellStyle name="Normal 2 106" xfId="3642" xr:uid="{00000000-0005-0000-0000-00001C0E0000}"/>
    <cellStyle name="Normal 2 106 2" xfId="3643" xr:uid="{00000000-0005-0000-0000-00001D0E0000}"/>
    <cellStyle name="Normal 2 107" xfId="3644" xr:uid="{00000000-0005-0000-0000-00001E0E0000}"/>
    <cellStyle name="Normal 2 107 2" xfId="3645" xr:uid="{00000000-0005-0000-0000-00001F0E0000}"/>
    <cellStyle name="Normal 2 108" xfId="3646" xr:uid="{00000000-0005-0000-0000-0000200E0000}"/>
    <cellStyle name="Normal 2 108 2" xfId="3647" xr:uid="{00000000-0005-0000-0000-0000210E0000}"/>
    <cellStyle name="Normal 2 109" xfId="3648" xr:uid="{00000000-0005-0000-0000-0000220E0000}"/>
    <cellStyle name="Normal 2 109 2" xfId="3649" xr:uid="{00000000-0005-0000-0000-0000230E0000}"/>
    <cellStyle name="Normal 2 11" xfId="3650" xr:uid="{00000000-0005-0000-0000-0000240E0000}"/>
    <cellStyle name="Normal 2 11 2" xfId="3651" xr:uid="{00000000-0005-0000-0000-0000250E0000}"/>
    <cellStyle name="Normal 2 11 3" xfId="3652" xr:uid="{00000000-0005-0000-0000-0000260E0000}"/>
    <cellStyle name="Normal 2 11 4" xfId="3653" xr:uid="{00000000-0005-0000-0000-0000270E0000}"/>
    <cellStyle name="Normal 2 11 4 2" xfId="3654" xr:uid="{00000000-0005-0000-0000-0000280E0000}"/>
    <cellStyle name="Normal 2 11 5" xfId="3655" xr:uid="{00000000-0005-0000-0000-0000290E0000}"/>
    <cellStyle name="Normal 2 11 6" xfId="3656" xr:uid="{00000000-0005-0000-0000-00002A0E0000}"/>
    <cellStyle name="Normal 2 110" xfId="3657" xr:uid="{00000000-0005-0000-0000-00002B0E0000}"/>
    <cellStyle name="Normal 2 110 2" xfId="3658" xr:uid="{00000000-0005-0000-0000-00002C0E0000}"/>
    <cellStyle name="Normal 2 111" xfId="3659" xr:uid="{00000000-0005-0000-0000-00002D0E0000}"/>
    <cellStyle name="Normal 2 111 2" xfId="3660" xr:uid="{00000000-0005-0000-0000-00002E0E0000}"/>
    <cellStyle name="Normal 2 112" xfId="3661" xr:uid="{00000000-0005-0000-0000-00002F0E0000}"/>
    <cellStyle name="Normal 2 112 2" xfId="3662" xr:uid="{00000000-0005-0000-0000-0000300E0000}"/>
    <cellStyle name="Normal 2 113" xfId="3663" xr:uid="{00000000-0005-0000-0000-0000310E0000}"/>
    <cellStyle name="Normal 2 113 2" xfId="3664" xr:uid="{00000000-0005-0000-0000-0000320E0000}"/>
    <cellStyle name="Normal 2 114" xfId="3665" xr:uid="{00000000-0005-0000-0000-0000330E0000}"/>
    <cellStyle name="Normal 2 114 2" xfId="3666" xr:uid="{00000000-0005-0000-0000-0000340E0000}"/>
    <cellStyle name="Normal 2 115" xfId="3667" xr:uid="{00000000-0005-0000-0000-0000350E0000}"/>
    <cellStyle name="Normal 2 115 2" xfId="3668" xr:uid="{00000000-0005-0000-0000-0000360E0000}"/>
    <cellStyle name="Normal 2 116" xfId="3669" xr:uid="{00000000-0005-0000-0000-0000370E0000}"/>
    <cellStyle name="Normal 2 116 2" xfId="3670" xr:uid="{00000000-0005-0000-0000-0000380E0000}"/>
    <cellStyle name="Normal 2 117" xfId="3671" xr:uid="{00000000-0005-0000-0000-0000390E0000}"/>
    <cellStyle name="Normal 2 117 2" xfId="3672" xr:uid="{00000000-0005-0000-0000-00003A0E0000}"/>
    <cellStyle name="Normal 2 118" xfId="3673" xr:uid="{00000000-0005-0000-0000-00003B0E0000}"/>
    <cellStyle name="Normal 2 118 2" xfId="3674" xr:uid="{00000000-0005-0000-0000-00003C0E0000}"/>
    <cellStyle name="Normal 2 119" xfId="3675" xr:uid="{00000000-0005-0000-0000-00003D0E0000}"/>
    <cellStyle name="Normal 2 119 2" xfId="3676" xr:uid="{00000000-0005-0000-0000-00003E0E0000}"/>
    <cellStyle name="Normal 2 12" xfId="3677" xr:uid="{00000000-0005-0000-0000-00003F0E0000}"/>
    <cellStyle name="Normal 2 12 2" xfId="3678" xr:uid="{00000000-0005-0000-0000-0000400E0000}"/>
    <cellStyle name="Normal 2 12 2 2" xfId="3679" xr:uid="{00000000-0005-0000-0000-0000410E0000}"/>
    <cellStyle name="Normal 2 12 3" xfId="3680" xr:uid="{00000000-0005-0000-0000-0000420E0000}"/>
    <cellStyle name="Normal 2 12 4" xfId="3681" xr:uid="{00000000-0005-0000-0000-0000430E0000}"/>
    <cellStyle name="Normal 2 120" xfId="3682" xr:uid="{00000000-0005-0000-0000-0000440E0000}"/>
    <cellStyle name="Normal 2 120 2" xfId="3683" xr:uid="{00000000-0005-0000-0000-0000450E0000}"/>
    <cellStyle name="Normal 2 121" xfId="3684" xr:uid="{00000000-0005-0000-0000-0000460E0000}"/>
    <cellStyle name="Normal 2 121 2" xfId="3685" xr:uid="{00000000-0005-0000-0000-0000470E0000}"/>
    <cellStyle name="Normal 2 122" xfId="3686" xr:uid="{00000000-0005-0000-0000-0000480E0000}"/>
    <cellStyle name="Normal 2 122 2" xfId="3687" xr:uid="{00000000-0005-0000-0000-0000490E0000}"/>
    <cellStyle name="Normal 2 123" xfId="3688" xr:uid="{00000000-0005-0000-0000-00004A0E0000}"/>
    <cellStyle name="Normal 2 123 2" xfId="3689" xr:uid="{00000000-0005-0000-0000-00004B0E0000}"/>
    <cellStyle name="Normal 2 124" xfId="3690" xr:uid="{00000000-0005-0000-0000-00004C0E0000}"/>
    <cellStyle name="Normal 2 124 2" xfId="3691" xr:uid="{00000000-0005-0000-0000-00004D0E0000}"/>
    <cellStyle name="Normal 2 125" xfId="3692" xr:uid="{00000000-0005-0000-0000-00004E0E0000}"/>
    <cellStyle name="Normal 2 125 2" xfId="3693" xr:uid="{00000000-0005-0000-0000-00004F0E0000}"/>
    <cellStyle name="Normal 2 126" xfId="3694" xr:uid="{00000000-0005-0000-0000-0000500E0000}"/>
    <cellStyle name="Normal 2 126 2" xfId="3695" xr:uid="{00000000-0005-0000-0000-0000510E0000}"/>
    <cellStyle name="Normal 2 127" xfId="3696" xr:uid="{00000000-0005-0000-0000-0000520E0000}"/>
    <cellStyle name="Normal 2 127 2" xfId="3697" xr:uid="{00000000-0005-0000-0000-0000530E0000}"/>
    <cellStyle name="Normal 2 128" xfId="3698" xr:uid="{00000000-0005-0000-0000-0000540E0000}"/>
    <cellStyle name="Normal 2 128 2" xfId="3699" xr:uid="{00000000-0005-0000-0000-0000550E0000}"/>
    <cellStyle name="Normal 2 129" xfId="3700" xr:uid="{00000000-0005-0000-0000-0000560E0000}"/>
    <cellStyle name="Normal 2 129 2" xfId="3701" xr:uid="{00000000-0005-0000-0000-0000570E0000}"/>
    <cellStyle name="Normal 2 13" xfId="3702" xr:uid="{00000000-0005-0000-0000-0000580E0000}"/>
    <cellStyle name="Normal 2 13 2" xfId="3703" xr:uid="{00000000-0005-0000-0000-0000590E0000}"/>
    <cellStyle name="Normal 2 13 2 2" xfId="3704" xr:uid="{00000000-0005-0000-0000-00005A0E0000}"/>
    <cellStyle name="Normal 2 13 3" xfId="3705" xr:uid="{00000000-0005-0000-0000-00005B0E0000}"/>
    <cellStyle name="Normal 2 13 4" xfId="3706" xr:uid="{00000000-0005-0000-0000-00005C0E0000}"/>
    <cellStyle name="Normal 2 130" xfId="3707" xr:uid="{00000000-0005-0000-0000-00005D0E0000}"/>
    <cellStyle name="Normal 2 130 2" xfId="3708" xr:uid="{00000000-0005-0000-0000-00005E0E0000}"/>
    <cellStyle name="Normal 2 131" xfId="3709" xr:uid="{00000000-0005-0000-0000-00005F0E0000}"/>
    <cellStyle name="Normal 2 131 2" xfId="3710" xr:uid="{00000000-0005-0000-0000-0000600E0000}"/>
    <cellStyle name="Normal 2 132" xfId="3711" xr:uid="{00000000-0005-0000-0000-0000610E0000}"/>
    <cellStyle name="Normal 2 132 2" xfId="3712" xr:uid="{00000000-0005-0000-0000-0000620E0000}"/>
    <cellStyle name="Normal 2 133" xfId="3713" xr:uid="{00000000-0005-0000-0000-0000630E0000}"/>
    <cellStyle name="Normal 2 133 2" xfId="3714" xr:uid="{00000000-0005-0000-0000-0000640E0000}"/>
    <cellStyle name="Normal 2 134" xfId="3715" xr:uid="{00000000-0005-0000-0000-0000650E0000}"/>
    <cellStyle name="Normal 2 134 2" xfId="3716" xr:uid="{00000000-0005-0000-0000-0000660E0000}"/>
    <cellStyle name="Normal 2 135" xfId="3717" xr:uid="{00000000-0005-0000-0000-0000670E0000}"/>
    <cellStyle name="Normal 2 135 2" xfId="3718" xr:uid="{00000000-0005-0000-0000-0000680E0000}"/>
    <cellStyle name="Normal 2 136" xfId="3719" xr:uid="{00000000-0005-0000-0000-0000690E0000}"/>
    <cellStyle name="Normal 2 136 2" xfId="3720" xr:uid="{00000000-0005-0000-0000-00006A0E0000}"/>
    <cellStyle name="Normal 2 137" xfId="3721" xr:uid="{00000000-0005-0000-0000-00006B0E0000}"/>
    <cellStyle name="Normal 2 137 2" xfId="3722" xr:uid="{00000000-0005-0000-0000-00006C0E0000}"/>
    <cellStyle name="Normal 2 138" xfId="3723" xr:uid="{00000000-0005-0000-0000-00006D0E0000}"/>
    <cellStyle name="Normal 2 138 2" xfId="3724" xr:uid="{00000000-0005-0000-0000-00006E0E0000}"/>
    <cellStyle name="Normal 2 139" xfId="3725" xr:uid="{00000000-0005-0000-0000-00006F0E0000}"/>
    <cellStyle name="Normal 2 139 2" xfId="3726" xr:uid="{00000000-0005-0000-0000-0000700E0000}"/>
    <cellStyle name="Normal 2 14" xfId="3727" xr:uid="{00000000-0005-0000-0000-0000710E0000}"/>
    <cellStyle name="Normal 2 14 2" xfId="3728" xr:uid="{00000000-0005-0000-0000-0000720E0000}"/>
    <cellStyle name="Normal 2 14 2 2" xfId="3729" xr:uid="{00000000-0005-0000-0000-0000730E0000}"/>
    <cellStyle name="Normal 2 14 3" xfId="3730" xr:uid="{00000000-0005-0000-0000-0000740E0000}"/>
    <cellStyle name="Normal 2 140" xfId="3731" xr:uid="{00000000-0005-0000-0000-0000750E0000}"/>
    <cellStyle name="Normal 2 140 2" xfId="3732" xr:uid="{00000000-0005-0000-0000-0000760E0000}"/>
    <cellStyle name="Normal 2 141" xfId="3733" xr:uid="{00000000-0005-0000-0000-0000770E0000}"/>
    <cellStyle name="Normal 2 142" xfId="69" xr:uid="{00000000-0005-0000-0000-0000780E0000}"/>
    <cellStyle name="Normal 2 142 2" xfId="9432" xr:uid="{00000000-0005-0000-0000-0000790E0000}"/>
    <cellStyle name="Normal 2 142 2 3" xfId="25" xr:uid="{00000000-0005-0000-0000-00007A0E0000}"/>
    <cellStyle name="Normal 2 143" xfId="3734" xr:uid="{00000000-0005-0000-0000-00007B0E0000}"/>
    <cellStyle name="Normal 2 144" xfId="3735" xr:uid="{00000000-0005-0000-0000-00007C0E0000}"/>
    <cellStyle name="Normal 2 145" xfId="3736" xr:uid="{00000000-0005-0000-0000-00007D0E0000}"/>
    <cellStyle name="Normal 2 146" xfId="9480" xr:uid="{00000000-0005-0000-0000-00007E0E0000}"/>
    <cellStyle name="Normal 2 146 2 2 2 2 3" xfId="51" xr:uid="{00000000-0005-0000-0000-00007F0E0000}"/>
    <cellStyle name="Normal 2 148" xfId="9497" xr:uid="{0F05FB24-0F0C-47B2-A391-4FFF13B2558B}"/>
    <cellStyle name="Normal 2 15" xfId="3737" xr:uid="{00000000-0005-0000-0000-0000800E0000}"/>
    <cellStyle name="Normal 2 15 2" xfId="3738" xr:uid="{00000000-0005-0000-0000-0000810E0000}"/>
    <cellStyle name="Normal 2 15 2 2" xfId="3739" xr:uid="{00000000-0005-0000-0000-0000820E0000}"/>
    <cellStyle name="Normal 2 15 3" xfId="3740" xr:uid="{00000000-0005-0000-0000-0000830E0000}"/>
    <cellStyle name="Normal 2 16" xfId="3741" xr:uid="{00000000-0005-0000-0000-0000840E0000}"/>
    <cellStyle name="Normal 2 16 2" xfId="3742" xr:uid="{00000000-0005-0000-0000-0000850E0000}"/>
    <cellStyle name="Normal 2 16 2 2" xfId="3743" xr:uid="{00000000-0005-0000-0000-0000860E0000}"/>
    <cellStyle name="Normal 2 16 3" xfId="3744" xr:uid="{00000000-0005-0000-0000-0000870E0000}"/>
    <cellStyle name="Normal 2 17" xfId="3745" xr:uid="{00000000-0005-0000-0000-0000880E0000}"/>
    <cellStyle name="Normal 2 17 2" xfId="3746" xr:uid="{00000000-0005-0000-0000-0000890E0000}"/>
    <cellStyle name="Normal 2 17 2 2" xfId="3747" xr:uid="{00000000-0005-0000-0000-00008A0E0000}"/>
    <cellStyle name="Normal 2 17 3" xfId="3748" xr:uid="{00000000-0005-0000-0000-00008B0E0000}"/>
    <cellStyle name="Normal 2 18" xfId="3749" xr:uid="{00000000-0005-0000-0000-00008C0E0000}"/>
    <cellStyle name="Normal 2 18 2" xfId="3750" xr:uid="{00000000-0005-0000-0000-00008D0E0000}"/>
    <cellStyle name="Normal 2 18 2 2" xfId="3751" xr:uid="{00000000-0005-0000-0000-00008E0E0000}"/>
    <cellStyle name="Normal 2 18 3" xfId="3752" xr:uid="{00000000-0005-0000-0000-00008F0E0000}"/>
    <cellStyle name="Normal 2 19" xfId="3753" xr:uid="{00000000-0005-0000-0000-0000900E0000}"/>
    <cellStyle name="Normal 2 19 2" xfId="3754" xr:uid="{00000000-0005-0000-0000-0000910E0000}"/>
    <cellStyle name="Normal 2 19 2 2" xfId="3755" xr:uid="{00000000-0005-0000-0000-0000920E0000}"/>
    <cellStyle name="Normal 2 19 3" xfId="3756" xr:uid="{00000000-0005-0000-0000-0000930E0000}"/>
    <cellStyle name="Normal 2 2" xfId="56" xr:uid="{00000000-0005-0000-0000-0000940E0000}"/>
    <cellStyle name="Normal 2 2 10" xfId="3757" xr:uid="{00000000-0005-0000-0000-0000950E0000}"/>
    <cellStyle name="Normal 2 2 10 2" xfId="3758" xr:uid="{00000000-0005-0000-0000-0000960E0000}"/>
    <cellStyle name="Normal 2 2 10 2 2" xfId="3759" xr:uid="{00000000-0005-0000-0000-0000970E0000}"/>
    <cellStyle name="Normal 2 2 10 3" xfId="3760" xr:uid="{00000000-0005-0000-0000-0000980E0000}"/>
    <cellStyle name="Normal 2 2 100" xfId="3761" xr:uid="{00000000-0005-0000-0000-0000990E0000}"/>
    <cellStyle name="Normal 2 2 100 2" xfId="3762" xr:uid="{00000000-0005-0000-0000-00009A0E0000}"/>
    <cellStyle name="Normal 2 2 101" xfId="3763" xr:uid="{00000000-0005-0000-0000-00009B0E0000}"/>
    <cellStyle name="Normal 2 2 101 2" xfId="3764" xr:uid="{00000000-0005-0000-0000-00009C0E0000}"/>
    <cellStyle name="Normal 2 2 102" xfId="3765" xr:uid="{00000000-0005-0000-0000-00009D0E0000}"/>
    <cellStyle name="Normal 2 2 102 2" xfId="3766" xr:uid="{00000000-0005-0000-0000-00009E0E0000}"/>
    <cellStyle name="Normal 2 2 103" xfId="3767" xr:uid="{00000000-0005-0000-0000-00009F0E0000}"/>
    <cellStyle name="Normal 2 2 103 2" xfId="3768" xr:uid="{00000000-0005-0000-0000-0000A00E0000}"/>
    <cellStyle name="Normal 2 2 104" xfId="3769" xr:uid="{00000000-0005-0000-0000-0000A10E0000}"/>
    <cellStyle name="Normal 2 2 104 2" xfId="3770" xr:uid="{00000000-0005-0000-0000-0000A20E0000}"/>
    <cellStyle name="Normal 2 2 105" xfId="3771" xr:uid="{00000000-0005-0000-0000-0000A30E0000}"/>
    <cellStyle name="Normal 2 2 105 2" xfId="3772" xr:uid="{00000000-0005-0000-0000-0000A40E0000}"/>
    <cellStyle name="Normal 2 2 106" xfId="3773" xr:uid="{00000000-0005-0000-0000-0000A50E0000}"/>
    <cellStyle name="Normal 2 2 106 2" xfId="3774" xr:uid="{00000000-0005-0000-0000-0000A60E0000}"/>
    <cellStyle name="Normal 2 2 107" xfId="3775" xr:uid="{00000000-0005-0000-0000-0000A70E0000}"/>
    <cellStyle name="Normal 2 2 107 2" xfId="3776" xr:uid="{00000000-0005-0000-0000-0000A80E0000}"/>
    <cellStyle name="Normal 2 2 108" xfId="3777" xr:uid="{00000000-0005-0000-0000-0000A90E0000}"/>
    <cellStyle name="Normal 2 2 108 2" xfId="3778" xr:uid="{00000000-0005-0000-0000-0000AA0E0000}"/>
    <cellStyle name="Normal 2 2 109" xfId="3779" xr:uid="{00000000-0005-0000-0000-0000AB0E0000}"/>
    <cellStyle name="Normal 2 2 109 2" xfId="3780" xr:uid="{00000000-0005-0000-0000-0000AC0E0000}"/>
    <cellStyle name="Normal 2 2 11" xfId="3781" xr:uid="{00000000-0005-0000-0000-0000AD0E0000}"/>
    <cellStyle name="Normal 2 2 11 2" xfId="3782" xr:uid="{00000000-0005-0000-0000-0000AE0E0000}"/>
    <cellStyle name="Normal 2 2 11 2 2" xfId="3783" xr:uid="{00000000-0005-0000-0000-0000AF0E0000}"/>
    <cellStyle name="Normal 2 2 11 3" xfId="3784" xr:uid="{00000000-0005-0000-0000-0000B00E0000}"/>
    <cellStyle name="Normal 2 2 110" xfId="3785" xr:uid="{00000000-0005-0000-0000-0000B10E0000}"/>
    <cellStyle name="Normal 2 2 110 2" xfId="3786" xr:uid="{00000000-0005-0000-0000-0000B20E0000}"/>
    <cellStyle name="Normal 2 2 111" xfId="3787" xr:uid="{00000000-0005-0000-0000-0000B30E0000}"/>
    <cellStyle name="Normal 2 2 111 2" xfId="3788" xr:uid="{00000000-0005-0000-0000-0000B40E0000}"/>
    <cellStyle name="Normal 2 2 112" xfId="3789" xr:uid="{00000000-0005-0000-0000-0000B50E0000}"/>
    <cellStyle name="Normal 2 2 112 2" xfId="3790" xr:uid="{00000000-0005-0000-0000-0000B60E0000}"/>
    <cellStyle name="Normal 2 2 113" xfId="3791" xr:uid="{00000000-0005-0000-0000-0000B70E0000}"/>
    <cellStyle name="Normal 2 2 113 2" xfId="3792" xr:uid="{00000000-0005-0000-0000-0000B80E0000}"/>
    <cellStyle name="Normal 2 2 114" xfId="3793" xr:uid="{00000000-0005-0000-0000-0000B90E0000}"/>
    <cellStyle name="Normal 2 2 114 2" xfId="3794" xr:uid="{00000000-0005-0000-0000-0000BA0E0000}"/>
    <cellStyle name="Normal 2 2 115" xfId="3795" xr:uid="{00000000-0005-0000-0000-0000BB0E0000}"/>
    <cellStyle name="Normal 2 2 115 2" xfId="3796" xr:uid="{00000000-0005-0000-0000-0000BC0E0000}"/>
    <cellStyle name="Normal 2 2 116" xfId="3797" xr:uid="{00000000-0005-0000-0000-0000BD0E0000}"/>
    <cellStyle name="Normal 2 2 116 2" xfId="3798" xr:uid="{00000000-0005-0000-0000-0000BE0E0000}"/>
    <cellStyle name="Normal 2 2 117" xfId="3799" xr:uid="{00000000-0005-0000-0000-0000BF0E0000}"/>
    <cellStyle name="Normal 2 2 117 2" xfId="3800" xr:uid="{00000000-0005-0000-0000-0000C00E0000}"/>
    <cellStyle name="Normal 2 2 118" xfId="3801" xr:uid="{00000000-0005-0000-0000-0000C10E0000}"/>
    <cellStyle name="Normal 2 2 118 2" xfId="3802" xr:uid="{00000000-0005-0000-0000-0000C20E0000}"/>
    <cellStyle name="Normal 2 2 119" xfId="3803" xr:uid="{00000000-0005-0000-0000-0000C30E0000}"/>
    <cellStyle name="Normal 2 2 119 2" xfId="3804" xr:uid="{00000000-0005-0000-0000-0000C40E0000}"/>
    <cellStyle name="Normal 2 2 12" xfId="3805" xr:uid="{00000000-0005-0000-0000-0000C50E0000}"/>
    <cellStyle name="Normal 2 2 12 2" xfId="3806" xr:uid="{00000000-0005-0000-0000-0000C60E0000}"/>
    <cellStyle name="Normal 2 2 12 2 2" xfId="3807" xr:uid="{00000000-0005-0000-0000-0000C70E0000}"/>
    <cellStyle name="Normal 2 2 12 3" xfId="3808" xr:uid="{00000000-0005-0000-0000-0000C80E0000}"/>
    <cellStyle name="Normal 2 2 120" xfId="3809" xr:uid="{00000000-0005-0000-0000-0000C90E0000}"/>
    <cellStyle name="Normal 2 2 120 2" xfId="3810" xr:uid="{00000000-0005-0000-0000-0000CA0E0000}"/>
    <cellStyle name="Normal 2 2 121" xfId="3811" xr:uid="{00000000-0005-0000-0000-0000CB0E0000}"/>
    <cellStyle name="Normal 2 2 121 2" xfId="3812" xr:uid="{00000000-0005-0000-0000-0000CC0E0000}"/>
    <cellStyle name="Normal 2 2 122" xfId="3813" xr:uid="{00000000-0005-0000-0000-0000CD0E0000}"/>
    <cellStyle name="Normal 2 2 122 2" xfId="3814" xr:uid="{00000000-0005-0000-0000-0000CE0E0000}"/>
    <cellStyle name="Normal 2 2 123" xfId="3815" xr:uid="{00000000-0005-0000-0000-0000CF0E0000}"/>
    <cellStyle name="Normal 2 2 123 2" xfId="3816" xr:uid="{00000000-0005-0000-0000-0000D00E0000}"/>
    <cellStyle name="Normal 2 2 124" xfId="3817" xr:uid="{00000000-0005-0000-0000-0000D10E0000}"/>
    <cellStyle name="Normal 2 2 124 2" xfId="3818" xr:uid="{00000000-0005-0000-0000-0000D20E0000}"/>
    <cellStyle name="Normal 2 2 125" xfId="3819" xr:uid="{00000000-0005-0000-0000-0000D30E0000}"/>
    <cellStyle name="Normal 2 2 125 2" xfId="3820" xr:uid="{00000000-0005-0000-0000-0000D40E0000}"/>
    <cellStyle name="Normal 2 2 126" xfId="3821" xr:uid="{00000000-0005-0000-0000-0000D50E0000}"/>
    <cellStyle name="Normal 2 2 126 2" xfId="3822" xr:uid="{00000000-0005-0000-0000-0000D60E0000}"/>
    <cellStyle name="Normal 2 2 127" xfId="3823" xr:uid="{00000000-0005-0000-0000-0000D70E0000}"/>
    <cellStyle name="Normal 2 2 127 2" xfId="3824" xr:uid="{00000000-0005-0000-0000-0000D80E0000}"/>
    <cellStyle name="Normal 2 2 128" xfId="3825" xr:uid="{00000000-0005-0000-0000-0000D90E0000}"/>
    <cellStyle name="Normal 2 2 128 2" xfId="3826" xr:uid="{00000000-0005-0000-0000-0000DA0E0000}"/>
    <cellStyle name="Normal 2 2 129" xfId="3827" xr:uid="{00000000-0005-0000-0000-0000DB0E0000}"/>
    <cellStyle name="Normal 2 2 129 2" xfId="3828" xr:uid="{00000000-0005-0000-0000-0000DC0E0000}"/>
    <cellStyle name="Normal 2 2 13" xfId="3829" xr:uid="{00000000-0005-0000-0000-0000DD0E0000}"/>
    <cellStyle name="Normal 2 2 13 2" xfId="3830" xr:uid="{00000000-0005-0000-0000-0000DE0E0000}"/>
    <cellStyle name="Normal 2 2 13 2 2" xfId="3831" xr:uid="{00000000-0005-0000-0000-0000DF0E0000}"/>
    <cellStyle name="Normal 2 2 13 3" xfId="3832" xr:uid="{00000000-0005-0000-0000-0000E00E0000}"/>
    <cellStyle name="Normal 2 2 130" xfId="3833" xr:uid="{00000000-0005-0000-0000-0000E10E0000}"/>
    <cellStyle name="Normal 2 2 130 2" xfId="3834" xr:uid="{00000000-0005-0000-0000-0000E20E0000}"/>
    <cellStyle name="Normal 2 2 131" xfId="3835" xr:uid="{00000000-0005-0000-0000-0000E30E0000}"/>
    <cellStyle name="Normal 2 2 131 2" xfId="3836" xr:uid="{00000000-0005-0000-0000-0000E40E0000}"/>
    <cellStyle name="Normal 2 2 132" xfId="3837" xr:uid="{00000000-0005-0000-0000-0000E50E0000}"/>
    <cellStyle name="Normal 2 2 132 2" xfId="3838" xr:uid="{00000000-0005-0000-0000-0000E60E0000}"/>
    <cellStyle name="Normal 2 2 133" xfId="3839" xr:uid="{00000000-0005-0000-0000-0000E70E0000}"/>
    <cellStyle name="Normal 2 2 133 2" xfId="3840" xr:uid="{00000000-0005-0000-0000-0000E80E0000}"/>
    <cellStyle name="Normal 2 2 134" xfId="3841" xr:uid="{00000000-0005-0000-0000-0000E90E0000}"/>
    <cellStyle name="Normal 2 2 134 2" xfId="3842" xr:uid="{00000000-0005-0000-0000-0000EA0E0000}"/>
    <cellStyle name="Normal 2 2 135" xfId="3843" xr:uid="{00000000-0005-0000-0000-0000EB0E0000}"/>
    <cellStyle name="Normal 2 2 135 2" xfId="3844" xr:uid="{00000000-0005-0000-0000-0000EC0E0000}"/>
    <cellStyle name="Normal 2 2 136" xfId="3845" xr:uid="{00000000-0005-0000-0000-0000ED0E0000}"/>
    <cellStyle name="Normal 2 2 136 2" xfId="3846" xr:uid="{00000000-0005-0000-0000-0000EE0E0000}"/>
    <cellStyle name="Normal 2 2 137" xfId="3847" xr:uid="{00000000-0005-0000-0000-0000EF0E0000}"/>
    <cellStyle name="Normal 2 2 137 2" xfId="3848" xr:uid="{00000000-0005-0000-0000-0000F00E0000}"/>
    <cellStyle name="Normal 2 2 138" xfId="3849" xr:uid="{00000000-0005-0000-0000-0000F10E0000}"/>
    <cellStyle name="Normal 2 2 138 2" xfId="3850" xr:uid="{00000000-0005-0000-0000-0000F20E0000}"/>
    <cellStyle name="Normal 2 2 139" xfId="3851" xr:uid="{00000000-0005-0000-0000-0000F30E0000}"/>
    <cellStyle name="Normal 2 2 139 2" xfId="3852" xr:uid="{00000000-0005-0000-0000-0000F40E0000}"/>
    <cellStyle name="Normal 2 2 14" xfId="3853" xr:uid="{00000000-0005-0000-0000-0000F50E0000}"/>
    <cellStyle name="Normal 2 2 14 2" xfId="3854" xr:uid="{00000000-0005-0000-0000-0000F60E0000}"/>
    <cellStyle name="Normal 2 2 14 2 2" xfId="3855" xr:uid="{00000000-0005-0000-0000-0000F70E0000}"/>
    <cellStyle name="Normal 2 2 14 3" xfId="3856" xr:uid="{00000000-0005-0000-0000-0000F80E0000}"/>
    <cellStyle name="Normal 2 2 140" xfId="3857" xr:uid="{00000000-0005-0000-0000-0000F90E0000}"/>
    <cellStyle name="Normal 2 2 140 2" xfId="3858" xr:uid="{00000000-0005-0000-0000-0000FA0E0000}"/>
    <cellStyle name="Normal 2 2 141" xfId="3859" xr:uid="{00000000-0005-0000-0000-0000FB0E0000}"/>
    <cellStyle name="Normal 2 2 141 2" xfId="3860" xr:uid="{00000000-0005-0000-0000-0000FC0E0000}"/>
    <cellStyle name="Normal 2 2 142" xfId="3861" xr:uid="{00000000-0005-0000-0000-0000FD0E0000}"/>
    <cellStyle name="Normal 2 2 142 2" xfId="3862" xr:uid="{00000000-0005-0000-0000-0000FE0E0000}"/>
    <cellStyle name="Normal 2 2 143" xfId="3863" xr:uid="{00000000-0005-0000-0000-0000FF0E0000}"/>
    <cellStyle name="Normal 2 2 143 2" xfId="3864" xr:uid="{00000000-0005-0000-0000-0000000F0000}"/>
    <cellStyle name="Normal 2 2 144" xfId="3865" xr:uid="{00000000-0005-0000-0000-0000010F0000}"/>
    <cellStyle name="Normal 2 2 144 2" xfId="3866" xr:uid="{00000000-0005-0000-0000-0000020F0000}"/>
    <cellStyle name="Normal 2 2 145" xfId="3867" xr:uid="{00000000-0005-0000-0000-0000030F0000}"/>
    <cellStyle name="Normal 2 2 145 2" xfId="3868" xr:uid="{00000000-0005-0000-0000-0000040F0000}"/>
    <cellStyle name="Normal 2 2 146" xfId="3869" xr:uid="{00000000-0005-0000-0000-0000050F0000}"/>
    <cellStyle name="Normal 2 2 146 2" xfId="3870" xr:uid="{00000000-0005-0000-0000-0000060F0000}"/>
    <cellStyle name="Normal 2 2 147" xfId="3871" xr:uid="{00000000-0005-0000-0000-0000070F0000}"/>
    <cellStyle name="Normal 2 2 147 2" xfId="3872" xr:uid="{00000000-0005-0000-0000-0000080F0000}"/>
    <cellStyle name="Normal 2 2 148" xfId="3873" xr:uid="{00000000-0005-0000-0000-0000090F0000}"/>
    <cellStyle name="Normal 2 2 148 2" xfId="3874" xr:uid="{00000000-0005-0000-0000-00000A0F0000}"/>
    <cellStyle name="Normal 2 2 149" xfId="3875" xr:uid="{00000000-0005-0000-0000-00000B0F0000}"/>
    <cellStyle name="Normal 2 2 149 2" xfId="3876" xr:uid="{00000000-0005-0000-0000-00000C0F0000}"/>
    <cellStyle name="Normal 2 2 15" xfId="3877" xr:uid="{00000000-0005-0000-0000-00000D0F0000}"/>
    <cellStyle name="Normal 2 2 15 2" xfId="3878" xr:uid="{00000000-0005-0000-0000-00000E0F0000}"/>
    <cellStyle name="Normal 2 2 15 2 2" xfId="3879" xr:uid="{00000000-0005-0000-0000-00000F0F0000}"/>
    <cellStyle name="Normal 2 2 15 3" xfId="3880" xr:uid="{00000000-0005-0000-0000-0000100F0000}"/>
    <cellStyle name="Normal 2 2 150" xfId="3881" xr:uid="{00000000-0005-0000-0000-0000110F0000}"/>
    <cellStyle name="Normal 2 2 150 2" xfId="3882" xr:uid="{00000000-0005-0000-0000-0000120F0000}"/>
    <cellStyle name="Normal 2 2 151" xfId="3883" xr:uid="{00000000-0005-0000-0000-0000130F0000}"/>
    <cellStyle name="Normal 2 2 151 2" xfId="3884" xr:uid="{00000000-0005-0000-0000-0000140F0000}"/>
    <cellStyle name="Normal 2 2 152" xfId="3885" xr:uid="{00000000-0005-0000-0000-0000150F0000}"/>
    <cellStyle name="Normal 2 2 152 2" xfId="3886" xr:uid="{00000000-0005-0000-0000-0000160F0000}"/>
    <cellStyle name="Normal 2 2 153" xfId="3887" xr:uid="{00000000-0005-0000-0000-0000170F0000}"/>
    <cellStyle name="Normal 2 2 153 2" xfId="3888" xr:uid="{00000000-0005-0000-0000-0000180F0000}"/>
    <cellStyle name="Normal 2 2 154" xfId="3889" xr:uid="{00000000-0005-0000-0000-0000190F0000}"/>
    <cellStyle name="Normal 2 2 154 2" xfId="3890" xr:uid="{00000000-0005-0000-0000-00001A0F0000}"/>
    <cellStyle name="Normal 2 2 155" xfId="3891" xr:uid="{00000000-0005-0000-0000-00001B0F0000}"/>
    <cellStyle name="Normal 2 2 155 2" xfId="3892" xr:uid="{00000000-0005-0000-0000-00001C0F0000}"/>
    <cellStyle name="Normal 2 2 155 3" xfId="3893" xr:uid="{00000000-0005-0000-0000-00001D0F0000}"/>
    <cellStyle name="Normal 2 2 156" xfId="3894" xr:uid="{00000000-0005-0000-0000-00001E0F0000}"/>
    <cellStyle name="Normal 2 2 157" xfId="3895" xr:uid="{00000000-0005-0000-0000-00001F0F0000}"/>
    <cellStyle name="Normal 2 2 16" xfId="3896" xr:uid="{00000000-0005-0000-0000-0000200F0000}"/>
    <cellStyle name="Normal 2 2 16 2" xfId="3897" xr:uid="{00000000-0005-0000-0000-0000210F0000}"/>
    <cellStyle name="Normal 2 2 16 2 2" xfId="3898" xr:uid="{00000000-0005-0000-0000-0000220F0000}"/>
    <cellStyle name="Normal 2 2 16 3" xfId="3899" xr:uid="{00000000-0005-0000-0000-0000230F0000}"/>
    <cellStyle name="Normal 2 2 17" xfId="3900" xr:uid="{00000000-0005-0000-0000-0000240F0000}"/>
    <cellStyle name="Normal 2 2 17 2" xfId="3901" xr:uid="{00000000-0005-0000-0000-0000250F0000}"/>
    <cellStyle name="Normal 2 2 17 2 2" xfId="3902" xr:uid="{00000000-0005-0000-0000-0000260F0000}"/>
    <cellStyle name="Normal 2 2 17 3" xfId="3903" xr:uid="{00000000-0005-0000-0000-0000270F0000}"/>
    <cellStyle name="Normal 2 2 18" xfId="3904" xr:uid="{00000000-0005-0000-0000-0000280F0000}"/>
    <cellStyle name="Normal 2 2 18 2" xfId="3905" xr:uid="{00000000-0005-0000-0000-0000290F0000}"/>
    <cellStyle name="Normal 2 2 18 2 2" xfId="3906" xr:uid="{00000000-0005-0000-0000-00002A0F0000}"/>
    <cellStyle name="Normal 2 2 18 3" xfId="3907" xr:uid="{00000000-0005-0000-0000-00002B0F0000}"/>
    <cellStyle name="Normal 2 2 19" xfId="3908" xr:uid="{00000000-0005-0000-0000-00002C0F0000}"/>
    <cellStyle name="Normal 2 2 19 2" xfId="3909" xr:uid="{00000000-0005-0000-0000-00002D0F0000}"/>
    <cellStyle name="Normal 2 2 19 2 2" xfId="3910" xr:uid="{00000000-0005-0000-0000-00002E0F0000}"/>
    <cellStyle name="Normal 2 2 19 3" xfId="3911" xr:uid="{00000000-0005-0000-0000-00002F0F0000}"/>
    <cellStyle name="Normal 2 2 2" xfId="3912" xr:uid="{00000000-0005-0000-0000-0000300F0000}"/>
    <cellStyle name="Normal 2 2 2 10" xfId="3913" xr:uid="{00000000-0005-0000-0000-0000310F0000}"/>
    <cellStyle name="Normal 2 2 2 10 2" xfId="3914" xr:uid="{00000000-0005-0000-0000-0000320F0000}"/>
    <cellStyle name="Normal 2 2 2 10 3" xfId="3915" xr:uid="{00000000-0005-0000-0000-0000330F0000}"/>
    <cellStyle name="Normal 2 2 2 100" xfId="3916" xr:uid="{00000000-0005-0000-0000-0000340F0000}"/>
    <cellStyle name="Normal 2 2 2 101" xfId="3917" xr:uid="{00000000-0005-0000-0000-0000350F0000}"/>
    <cellStyle name="Normal 2 2 2 102" xfId="3918" xr:uid="{00000000-0005-0000-0000-0000360F0000}"/>
    <cellStyle name="Normal 2 2 2 103" xfId="3919" xr:uid="{00000000-0005-0000-0000-0000370F0000}"/>
    <cellStyle name="Normal 2 2 2 104" xfId="3920" xr:uid="{00000000-0005-0000-0000-0000380F0000}"/>
    <cellStyle name="Normal 2 2 2 105" xfId="3921" xr:uid="{00000000-0005-0000-0000-0000390F0000}"/>
    <cellStyle name="Normal 2 2 2 106" xfId="3922" xr:uid="{00000000-0005-0000-0000-00003A0F0000}"/>
    <cellStyle name="Normal 2 2 2 107" xfId="3923" xr:uid="{00000000-0005-0000-0000-00003B0F0000}"/>
    <cellStyle name="Normal 2 2 2 108" xfId="3924" xr:uid="{00000000-0005-0000-0000-00003C0F0000}"/>
    <cellStyle name="Normal 2 2 2 109" xfId="3925" xr:uid="{00000000-0005-0000-0000-00003D0F0000}"/>
    <cellStyle name="Normal 2 2 2 11" xfId="3926" xr:uid="{00000000-0005-0000-0000-00003E0F0000}"/>
    <cellStyle name="Normal 2 2 2 11 2" xfId="3927" xr:uid="{00000000-0005-0000-0000-00003F0F0000}"/>
    <cellStyle name="Normal 2 2 2 110" xfId="3928" xr:uid="{00000000-0005-0000-0000-0000400F0000}"/>
    <cellStyle name="Normal 2 2 2 111" xfId="3929" xr:uid="{00000000-0005-0000-0000-0000410F0000}"/>
    <cellStyle name="Normal 2 2 2 112" xfId="3930" xr:uid="{00000000-0005-0000-0000-0000420F0000}"/>
    <cellStyle name="Normal 2 2 2 113" xfId="3931" xr:uid="{00000000-0005-0000-0000-0000430F0000}"/>
    <cellStyle name="Normal 2 2 2 114" xfId="3932" xr:uid="{00000000-0005-0000-0000-0000440F0000}"/>
    <cellStyle name="Normal 2 2 2 115" xfId="3933" xr:uid="{00000000-0005-0000-0000-0000450F0000}"/>
    <cellStyle name="Normal 2 2 2 116" xfId="3934" xr:uid="{00000000-0005-0000-0000-0000460F0000}"/>
    <cellStyle name="Normal 2 2 2 117" xfId="3935" xr:uid="{00000000-0005-0000-0000-0000470F0000}"/>
    <cellStyle name="Normal 2 2 2 118" xfId="3936" xr:uid="{00000000-0005-0000-0000-0000480F0000}"/>
    <cellStyle name="Normal 2 2 2 119" xfId="3937" xr:uid="{00000000-0005-0000-0000-0000490F0000}"/>
    <cellStyle name="Normal 2 2 2 12" xfId="3938" xr:uid="{00000000-0005-0000-0000-00004A0F0000}"/>
    <cellStyle name="Normal 2 2 2 12 2" xfId="3939" xr:uid="{00000000-0005-0000-0000-00004B0F0000}"/>
    <cellStyle name="Normal 2 2 2 120" xfId="3940" xr:uid="{00000000-0005-0000-0000-00004C0F0000}"/>
    <cellStyle name="Normal 2 2 2 121" xfId="3941" xr:uid="{00000000-0005-0000-0000-00004D0F0000}"/>
    <cellStyle name="Normal 2 2 2 122" xfId="3942" xr:uid="{00000000-0005-0000-0000-00004E0F0000}"/>
    <cellStyle name="Normal 2 2 2 123" xfId="3943" xr:uid="{00000000-0005-0000-0000-00004F0F0000}"/>
    <cellStyle name="Normal 2 2 2 124" xfId="3944" xr:uid="{00000000-0005-0000-0000-0000500F0000}"/>
    <cellStyle name="Normal 2 2 2 125" xfId="3945" xr:uid="{00000000-0005-0000-0000-0000510F0000}"/>
    <cellStyle name="Normal 2 2 2 126" xfId="3946" xr:uid="{00000000-0005-0000-0000-0000520F0000}"/>
    <cellStyle name="Normal 2 2 2 127" xfId="3947" xr:uid="{00000000-0005-0000-0000-0000530F0000}"/>
    <cellStyle name="Normal 2 2 2 128" xfId="3948" xr:uid="{00000000-0005-0000-0000-0000540F0000}"/>
    <cellStyle name="Normal 2 2 2 129" xfId="3949" xr:uid="{00000000-0005-0000-0000-0000550F0000}"/>
    <cellStyle name="Normal 2 2 2 13" xfId="3950" xr:uid="{00000000-0005-0000-0000-0000560F0000}"/>
    <cellStyle name="Normal 2 2 2 13 2" xfId="3951" xr:uid="{00000000-0005-0000-0000-0000570F0000}"/>
    <cellStyle name="Normal 2 2 2 130" xfId="3952" xr:uid="{00000000-0005-0000-0000-0000580F0000}"/>
    <cellStyle name="Normal 2 2 2 131" xfId="3953" xr:uid="{00000000-0005-0000-0000-0000590F0000}"/>
    <cellStyle name="Normal 2 2 2 132" xfId="3954" xr:uid="{00000000-0005-0000-0000-00005A0F0000}"/>
    <cellStyle name="Normal 2 2 2 133" xfId="3955" xr:uid="{00000000-0005-0000-0000-00005B0F0000}"/>
    <cellStyle name="Normal 2 2 2 134" xfId="3956" xr:uid="{00000000-0005-0000-0000-00005C0F0000}"/>
    <cellStyle name="Normal 2 2 2 135" xfId="3957" xr:uid="{00000000-0005-0000-0000-00005D0F0000}"/>
    <cellStyle name="Normal 2 2 2 136" xfId="3958" xr:uid="{00000000-0005-0000-0000-00005E0F0000}"/>
    <cellStyle name="Normal 2 2 2 137" xfId="3959" xr:uid="{00000000-0005-0000-0000-00005F0F0000}"/>
    <cellStyle name="Normal 2 2 2 138" xfId="3960" xr:uid="{00000000-0005-0000-0000-0000600F0000}"/>
    <cellStyle name="Normal 2 2 2 139" xfId="3961" xr:uid="{00000000-0005-0000-0000-0000610F0000}"/>
    <cellStyle name="Normal 2 2 2 14" xfId="3962" xr:uid="{00000000-0005-0000-0000-0000620F0000}"/>
    <cellStyle name="Normal 2 2 2 14 2" xfId="3963" xr:uid="{00000000-0005-0000-0000-0000630F0000}"/>
    <cellStyle name="Normal 2 2 2 140" xfId="3964" xr:uid="{00000000-0005-0000-0000-0000640F0000}"/>
    <cellStyle name="Normal 2 2 2 141" xfId="3965" xr:uid="{00000000-0005-0000-0000-0000650F0000}"/>
    <cellStyle name="Normal 2 2 2 142" xfId="3966" xr:uid="{00000000-0005-0000-0000-0000660F0000}"/>
    <cellStyle name="Normal 2 2 2 143" xfId="3967" xr:uid="{00000000-0005-0000-0000-0000670F0000}"/>
    <cellStyle name="Normal 2 2 2 144" xfId="3968" xr:uid="{00000000-0005-0000-0000-0000680F0000}"/>
    <cellStyle name="Normal 2 2 2 145" xfId="3969" xr:uid="{00000000-0005-0000-0000-0000690F0000}"/>
    <cellStyle name="Normal 2 2 2 146" xfId="3970" xr:uid="{00000000-0005-0000-0000-00006A0F0000}"/>
    <cellStyle name="Normal 2 2 2 147" xfId="3971" xr:uid="{00000000-0005-0000-0000-00006B0F0000}"/>
    <cellStyle name="Normal 2 2 2 147 2" xfId="3972" xr:uid="{00000000-0005-0000-0000-00006C0F0000}"/>
    <cellStyle name="Normal 2 2 2 148" xfId="3973" xr:uid="{00000000-0005-0000-0000-00006D0F0000}"/>
    <cellStyle name="Normal 2 2 2 148 2" xfId="3974" xr:uid="{00000000-0005-0000-0000-00006E0F0000}"/>
    <cellStyle name="Normal 2 2 2 149" xfId="3975" xr:uid="{00000000-0005-0000-0000-00006F0F0000}"/>
    <cellStyle name="Normal 2 2 2 149 2" xfId="3976" xr:uid="{00000000-0005-0000-0000-0000700F0000}"/>
    <cellStyle name="Normal 2 2 2 15" xfId="3977" xr:uid="{00000000-0005-0000-0000-0000710F0000}"/>
    <cellStyle name="Normal 2 2 2 15 2" xfId="3978" xr:uid="{00000000-0005-0000-0000-0000720F0000}"/>
    <cellStyle name="Normal 2 2 2 150" xfId="3979" xr:uid="{00000000-0005-0000-0000-0000730F0000}"/>
    <cellStyle name="Normal 2 2 2 151" xfId="3980" xr:uid="{00000000-0005-0000-0000-0000740F0000}"/>
    <cellStyle name="Normal 2 2 2 152" xfId="3981" xr:uid="{00000000-0005-0000-0000-0000750F0000}"/>
    <cellStyle name="Normal 2 2 2 16" xfId="3982" xr:uid="{00000000-0005-0000-0000-0000760F0000}"/>
    <cellStyle name="Normal 2 2 2 16 2" xfId="3983" xr:uid="{00000000-0005-0000-0000-0000770F0000}"/>
    <cellStyle name="Normal 2 2 2 17" xfId="3984" xr:uid="{00000000-0005-0000-0000-0000780F0000}"/>
    <cellStyle name="Normal 2 2 2 17 2" xfId="3985" xr:uid="{00000000-0005-0000-0000-0000790F0000}"/>
    <cellStyle name="Normal 2 2 2 18" xfId="3986" xr:uid="{00000000-0005-0000-0000-00007A0F0000}"/>
    <cellStyle name="Normal 2 2 2 18 2" xfId="3987" xr:uid="{00000000-0005-0000-0000-00007B0F0000}"/>
    <cellStyle name="Normal 2 2 2 19" xfId="3988" xr:uid="{00000000-0005-0000-0000-00007C0F0000}"/>
    <cellStyle name="Normal 2 2 2 19 2" xfId="3989" xr:uid="{00000000-0005-0000-0000-00007D0F0000}"/>
    <cellStyle name="Normal 2 2 2 2" xfId="3990" xr:uid="{00000000-0005-0000-0000-00007E0F0000}"/>
    <cellStyle name="Normal 2 2 2 2 10" xfId="3991" xr:uid="{00000000-0005-0000-0000-00007F0F0000}"/>
    <cellStyle name="Normal 2 2 2 2 10 2" xfId="3992" xr:uid="{00000000-0005-0000-0000-0000800F0000}"/>
    <cellStyle name="Normal 2 2 2 2 10 2 2" xfId="3993" xr:uid="{00000000-0005-0000-0000-0000810F0000}"/>
    <cellStyle name="Normal 2 2 2 2 10 3" xfId="3994" xr:uid="{00000000-0005-0000-0000-0000820F0000}"/>
    <cellStyle name="Normal 2 2 2 2 100" xfId="3995" xr:uid="{00000000-0005-0000-0000-0000830F0000}"/>
    <cellStyle name="Normal 2 2 2 2 100 2" xfId="3996" xr:uid="{00000000-0005-0000-0000-0000840F0000}"/>
    <cellStyle name="Normal 2 2 2 2 101" xfId="3997" xr:uid="{00000000-0005-0000-0000-0000850F0000}"/>
    <cellStyle name="Normal 2 2 2 2 101 2" xfId="3998" xr:uid="{00000000-0005-0000-0000-0000860F0000}"/>
    <cellStyle name="Normal 2 2 2 2 102" xfId="3999" xr:uid="{00000000-0005-0000-0000-0000870F0000}"/>
    <cellStyle name="Normal 2 2 2 2 102 2" xfId="4000" xr:uid="{00000000-0005-0000-0000-0000880F0000}"/>
    <cellStyle name="Normal 2 2 2 2 103" xfId="4001" xr:uid="{00000000-0005-0000-0000-0000890F0000}"/>
    <cellStyle name="Normal 2 2 2 2 103 2" xfId="4002" xr:uid="{00000000-0005-0000-0000-00008A0F0000}"/>
    <cellStyle name="Normal 2 2 2 2 104" xfId="4003" xr:uid="{00000000-0005-0000-0000-00008B0F0000}"/>
    <cellStyle name="Normal 2 2 2 2 104 2" xfId="4004" xr:uid="{00000000-0005-0000-0000-00008C0F0000}"/>
    <cellStyle name="Normal 2 2 2 2 105" xfId="4005" xr:uid="{00000000-0005-0000-0000-00008D0F0000}"/>
    <cellStyle name="Normal 2 2 2 2 105 2" xfId="4006" xr:uid="{00000000-0005-0000-0000-00008E0F0000}"/>
    <cellStyle name="Normal 2 2 2 2 106" xfId="4007" xr:uid="{00000000-0005-0000-0000-00008F0F0000}"/>
    <cellStyle name="Normal 2 2 2 2 106 2" xfId="4008" xr:uid="{00000000-0005-0000-0000-0000900F0000}"/>
    <cellStyle name="Normal 2 2 2 2 107" xfId="4009" xr:uid="{00000000-0005-0000-0000-0000910F0000}"/>
    <cellStyle name="Normal 2 2 2 2 107 2" xfId="4010" xr:uid="{00000000-0005-0000-0000-0000920F0000}"/>
    <cellStyle name="Normal 2 2 2 2 108" xfId="4011" xr:uid="{00000000-0005-0000-0000-0000930F0000}"/>
    <cellStyle name="Normal 2 2 2 2 108 2" xfId="4012" xr:uid="{00000000-0005-0000-0000-0000940F0000}"/>
    <cellStyle name="Normal 2 2 2 2 109" xfId="4013" xr:uid="{00000000-0005-0000-0000-0000950F0000}"/>
    <cellStyle name="Normal 2 2 2 2 109 2" xfId="4014" xr:uid="{00000000-0005-0000-0000-0000960F0000}"/>
    <cellStyle name="Normal 2 2 2 2 11" xfId="4015" xr:uid="{00000000-0005-0000-0000-0000970F0000}"/>
    <cellStyle name="Normal 2 2 2 2 11 2" xfId="4016" xr:uid="{00000000-0005-0000-0000-0000980F0000}"/>
    <cellStyle name="Normal 2 2 2 2 11 2 2" xfId="4017" xr:uid="{00000000-0005-0000-0000-0000990F0000}"/>
    <cellStyle name="Normal 2 2 2 2 11 3" xfId="4018" xr:uid="{00000000-0005-0000-0000-00009A0F0000}"/>
    <cellStyle name="Normal 2 2 2 2 110" xfId="4019" xr:uid="{00000000-0005-0000-0000-00009B0F0000}"/>
    <cellStyle name="Normal 2 2 2 2 110 2" xfId="4020" xr:uid="{00000000-0005-0000-0000-00009C0F0000}"/>
    <cellStyle name="Normal 2 2 2 2 111" xfId="4021" xr:uid="{00000000-0005-0000-0000-00009D0F0000}"/>
    <cellStyle name="Normal 2 2 2 2 111 2" xfId="4022" xr:uid="{00000000-0005-0000-0000-00009E0F0000}"/>
    <cellStyle name="Normal 2 2 2 2 112" xfId="4023" xr:uid="{00000000-0005-0000-0000-00009F0F0000}"/>
    <cellStyle name="Normal 2 2 2 2 112 2" xfId="4024" xr:uid="{00000000-0005-0000-0000-0000A00F0000}"/>
    <cellStyle name="Normal 2 2 2 2 113" xfId="4025" xr:uid="{00000000-0005-0000-0000-0000A10F0000}"/>
    <cellStyle name="Normal 2 2 2 2 113 2" xfId="4026" xr:uid="{00000000-0005-0000-0000-0000A20F0000}"/>
    <cellStyle name="Normal 2 2 2 2 114" xfId="4027" xr:uid="{00000000-0005-0000-0000-0000A30F0000}"/>
    <cellStyle name="Normal 2 2 2 2 114 2" xfId="4028" xr:uid="{00000000-0005-0000-0000-0000A40F0000}"/>
    <cellStyle name="Normal 2 2 2 2 115" xfId="4029" xr:uid="{00000000-0005-0000-0000-0000A50F0000}"/>
    <cellStyle name="Normal 2 2 2 2 115 2" xfId="4030" xr:uid="{00000000-0005-0000-0000-0000A60F0000}"/>
    <cellStyle name="Normal 2 2 2 2 116" xfId="4031" xr:uid="{00000000-0005-0000-0000-0000A70F0000}"/>
    <cellStyle name="Normal 2 2 2 2 116 2" xfId="4032" xr:uid="{00000000-0005-0000-0000-0000A80F0000}"/>
    <cellStyle name="Normal 2 2 2 2 117" xfId="4033" xr:uid="{00000000-0005-0000-0000-0000A90F0000}"/>
    <cellStyle name="Normal 2 2 2 2 117 2" xfId="4034" xr:uid="{00000000-0005-0000-0000-0000AA0F0000}"/>
    <cellStyle name="Normal 2 2 2 2 118" xfId="4035" xr:uid="{00000000-0005-0000-0000-0000AB0F0000}"/>
    <cellStyle name="Normal 2 2 2 2 118 2" xfId="4036" xr:uid="{00000000-0005-0000-0000-0000AC0F0000}"/>
    <cellStyle name="Normal 2 2 2 2 119" xfId="4037" xr:uid="{00000000-0005-0000-0000-0000AD0F0000}"/>
    <cellStyle name="Normal 2 2 2 2 119 2" xfId="4038" xr:uid="{00000000-0005-0000-0000-0000AE0F0000}"/>
    <cellStyle name="Normal 2 2 2 2 12" xfId="4039" xr:uid="{00000000-0005-0000-0000-0000AF0F0000}"/>
    <cellStyle name="Normal 2 2 2 2 12 2" xfId="4040" xr:uid="{00000000-0005-0000-0000-0000B00F0000}"/>
    <cellStyle name="Normal 2 2 2 2 12 2 2" xfId="4041" xr:uid="{00000000-0005-0000-0000-0000B10F0000}"/>
    <cellStyle name="Normal 2 2 2 2 12 3" xfId="4042" xr:uid="{00000000-0005-0000-0000-0000B20F0000}"/>
    <cellStyle name="Normal 2 2 2 2 120" xfId="4043" xr:uid="{00000000-0005-0000-0000-0000B30F0000}"/>
    <cellStyle name="Normal 2 2 2 2 120 2" xfId="4044" xr:uid="{00000000-0005-0000-0000-0000B40F0000}"/>
    <cellStyle name="Normal 2 2 2 2 121" xfId="4045" xr:uid="{00000000-0005-0000-0000-0000B50F0000}"/>
    <cellStyle name="Normal 2 2 2 2 121 2" xfId="4046" xr:uid="{00000000-0005-0000-0000-0000B60F0000}"/>
    <cellStyle name="Normal 2 2 2 2 122" xfId="4047" xr:uid="{00000000-0005-0000-0000-0000B70F0000}"/>
    <cellStyle name="Normal 2 2 2 2 122 2" xfId="4048" xr:uid="{00000000-0005-0000-0000-0000B80F0000}"/>
    <cellStyle name="Normal 2 2 2 2 123" xfId="4049" xr:uid="{00000000-0005-0000-0000-0000B90F0000}"/>
    <cellStyle name="Normal 2 2 2 2 123 2" xfId="4050" xr:uid="{00000000-0005-0000-0000-0000BA0F0000}"/>
    <cellStyle name="Normal 2 2 2 2 124" xfId="4051" xr:uid="{00000000-0005-0000-0000-0000BB0F0000}"/>
    <cellStyle name="Normal 2 2 2 2 124 2" xfId="4052" xr:uid="{00000000-0005-0000-0000-0000BC0F0000}"/>
    <cellStyle name="Normal 2 2 2 2 125" xfId="4053" xr:uid="{00000000-0005-0000-0000-0000BD0F0000}"/>
    <cellStyle name="Normal 2 2 2 2 125 2" xfId="4054" xr:uid="{00000000-0005-0000-0000-0000BE0F0000}"/>
    <cellStyle name="Normal 2 2 2 2 126" xfId="4055" xr:uid="{00000000-0005-0000-0000-0000BF0F0000}"/>
    <cellStyle name="Normal 2 2 2 2 126 2" xfId="4056" xr:uid="{00000000-0005-0000-0000-0000C00F0000}"/>
    <cellStyle name="Normal 2 2 2 2 127" xfId="4057" xr:uid="{00000000-0005-0000-0000-0000C10F0000}"/>
    <cellStyle name="Normal 2 2 2 2 127 2" xfId="4058" xr:uid="{00000000-0005-0000-0000-0000C20F0000}"/>
    <cellStyle name="Normal 2 2 2 2 128" xfId="4059" xr:uid="{00000000-0005-0000-0000-0000C30F0000}"/>
    <cellStyle name="Normal 2 2 2 2 128 2" xfId="4060" xr:uid="{00000000-0005-0000-0000-0000C40F0000}"/>
    <cellStyle name="Normal 2 2 2 2 129" xfId="4061" xr:uid="{00000000-0005-0000-0000-0000C50F0000}"/>
    <cellStyle name="Normal 2 2 2 2 129 2" xfId="4062" xr:uid="{00000000-0005-0000-0000-0000C60F0000}"/>
    <cellStyle name="Normal 2 2 2 2 13" xfId="4063" xr:uid="{00000000-0005-0000-0000-0000C70F0000}"/>
    <cellStyle name="Normal 2 2 2 2 13 2" xfId="4064" xr:uid="{00000000-0005-0000-0000-0000C80F0000}"/>
    <cellStyle name="Normal 2 2 2 2 13 2 2" xfId="4065" xr:uid="{00000000-0005-0000-0000-0000C90F0000}"/>
    <cellStyle name="Normal 2 2 2 2 13 3" xfId="4066" xr:uid="{00000000-0005-0000-0000-0000CA0F0000}"/>
    <cellStyle name="Normal 2 2 2 2 130" xfId="4067" xr:uid="{00000000-0005-0000-0000-0000CB0F0000}"/>
    <cellStyle name="Normal 2 2 2 2 130 2" xfId="4068" xr:uid="{00000000-0005-0000-0000-0000CC0F0000}"/>
    <cellStyle name="Normal 2 2 2 2 131" xfId="4069" xr:uid="{00000000-0005-0000-0000-0000CD0F0000}"/>
    <cellStyle name="Normal 2 2 2 2 131 2" xfId="4070" xr:uid="{00000000-0005-0000-0000-0000CE0F0000}"/>
    <cellStyle name="Normal 2 2 2 2 132" xfId="4071" xr:uid="{00000000-0005-0000-0000-0000CF0F0000}"/>
    <cellStyle name="Normal 2 2 2 2 132 2" xfId="4072" xr:uid="{00000000-0005-0000-0000-0000D00F0000}"/>
    <cellStyle name="Normal 2 2 2 2 133" xfId="4073" xr:uid="{00000000-0005-0000-0000-0000D10F0000}"/>
    <cellStyle name="Normal 2 2 2 2 133 2" xfId="4074" xr:uid="{00000000-0005-0000-0000-0000D20F0000}"/>
    <cellStyle name="Normal 2 2 2 2 134" xfId="4075" xr:uid="{00000000-0005-0000-0000-0000D30F0000}"/>
    <cellStyle name="Normal 2 2 2 2 134 2" xfId="4076" xr:uid="{00000000-0005-0000-0000-0000D40F0000}"/>
    <cellStyle name="Normal 2 2 2 2 135" xfId="4077" xr:uid="{00000000-0005-0000-0000-0000D50F0000}"/>
    <cellStyle name="Normal 2 2 2 2 135 2" xfId="4078" xr:uid="{00000000-0005-0000-0000-0000D60F0000}"/>
    <cellStyle name="Normal 2 2 2 2 136" xfId="4079" xr:uid="{00000000-0005-0000-0000-0000D70F0000}"/>
    <cellStyle name="Normal 2 2 2 2 136 2" xfId="4080" xr:uid="{00000000-0005-0000-0000-0000D80F0000}"/>
    <cellStyle name="Normal 2 2 2 2 137" xfId="4081" xr:uid="{00000000-0005-0000-0000-0000D90F0000}"/>
    <cellStyle name="Normal 2 2 2 2 137 2" xfId="4082" xr:uid="{00000000-0005-0000-0000-0000DA0F0000}"/>
    <cellStyle name="Normal 2 2 2 2 138" xfId="4083" xr:uid="{00000000-0005-0000-0000-0000DB0F0000}"/>
    <cellStyle name="Normal 2 2 2 2 138 2" xfId="4084" xr:uid="{00000000-0005-0000-0000-0000DC0F0000}"/>
    <cellStyle name="Normal 2 2 2 2 139" xfId="4085" xr:uid="{00000000-0005-0000-0000-0000DD0F0000}"/>
    <cellStyle name="Normal 2 2 2 2 139 2" xfId="4086" xr:uid="{00000000-0005-0000-0000-0000DE0F0000}"/>
    <cellStyle name="Normal 2 2 2 2 14" xfId="4087" xr:uid="{00000000-0005-0000-0000-0000DF0F0000}"/>
    <cellStyle name="Normal 2 2 2 2 14 2" xfId="4088" xr:uid="{00000000-0005-0000-0000-0000E00F0000}"/>
    <cellStyle name="Normal 2 2 2 2 14 2 2" xfId="4089" xr:uid="{00000000-0005-0000-0000-0000E10F0000}"/>
    <cellStyle name="Normal 2 2 2 2 14 3" xfId="4090" xr:uid="{00000000-0005-0000-0000-0000E20F0000}"/>
    <cellStyle name="Normal 2 2 2 2 140" xfId="4091" xr:uid="{00000000-0005-0000-0000-0000E30F0000}"/>
    <cellStyle name="Normal 2 2 2 2 140 2" xfId="4092" xr:uid="{00000000-0005-0000-0000-0000E40F0000}"/>
    <cellStyle name="Normal 2 2 2 2 141" xfId="4093" xr:uid="{00000000-0005-0000-0000-0000E50F0000}"/>
    <cellStyle name="Normal 2 2 2 2 141 2" xfId="4094" xr:uid="{00000000-0005-0000-0000-0000E60F0000}"/>
    <cellStyle name="Normal 2 2 2 2 142" xfId="4095" xr:uid="{00000000-0005-0000-0000-0000E70F0000}"/>
    <cellStyle name="Normal 2 2 2 2 142 2" xfId="4096" xr:uid="{00000000-0005-0000-0000-0000E80F0000}"/>
    <cellStyle name="Normal 2 2 2 2 143" xfId="4097" xr:uid="{00000000-0005-0000-0000-0000E90F0000}"/>
    <cellStyle name="Normal 2 2 2 2 143 2" xfId="4098" xr:uid="{00000000-0005-0000-0000-0000EA0F0000}"/>
    <cellStyle name="Normal 2 2 2 2 144" xfId="4099" xr:uid="{00000000-0005-0000-0000-0000EB0F0000}"/>
    <cellStyle name="Normal 2 2 2 2 145" xfId="4100" xr:uid="{00000000-0005-0000-0000-0000EC0F0000}"/>
    <cellStyle name="Normal 2 2 2 2 146" xfId="4101" xr:uid="{00000000-0005-0000-0000-0000ED0F0000}"/>
    <cellStyle name="Normal 2 2 2 2 147" xfId="4102" xr:uid="{00000000-0005-0000-0000-0000EE0F0000}"/>
    <cellStyle name="Normal 2 2 2 2 15" xfId="4103" xr:uid="{00000000-0005-0000-0000-0000EF0F0000}"/>
    <cellStyle name="Normal 2 2 2 2 15 2" xfId="4104" xr:uid="{00000000-0005-0000-0000-0000F00F0000}"/>
    <cellStyle name="Normal 2 2 2 2 15 2 2" xfId="4105" xr:uid="{00000000-0005-0000-0000-0000F10F0000}"/>
    <cellStyle name="Normal 2 2 2 2 15 3" xfId="4106" xr:uid="{00000000-0005-0000-0000-0000F20F0000}"/>
    <cellStyle name="Normal 2 2 2 2 16" xfId="4107" xr:uid="{00000000-0005-0000-0000-0000F30F0000}"/>
    <cellStyle name="Normal 2 2 2 2 16 2" xfId="4108" xr:uid="{00000000-0005-0000-0000-0000F40F0000}"/>
    <cellStyle name="Normal 2 2 2 2 16 2 2" xfId="4109" xr:uid="{00000000-0005-0000-0000-0000F50F0000}"/>
    <cellStyle name="Normal 2 2 2 2 16 3" xfId="4110" xr:uid="{00000000-0005-0000-0000-0000F60F0000}"/>
    <cellStyle name="Normal 2 2 2 2 17" xfId="4111" xr:uid="{00000000-0005-0000-0000-0000F70F0000}"/>
    <cellStyle name="Normal 2 2 2 2 17 2" xfId="4112" xr:uid="{00000000-0005-0000-0000-0000F80F0000}"/>
    <cellStyle name="Normal 2 2 2 2 17 2 2" xfId="4113" xr:uid="{00000000-0005-0000-0000-0000F90F0000}"/>
    <cellStyle name="Normal 2 2 2 2 17 3" xfId="4114" xr:uid="{00000000-0005-0000-0000-0000FA0F0000}"/>
    <cellStyle name="Normal 2 2 2 2 18" xfId="4115" xr:uid="{00000000-0005-0000-0000-0000FB0F0000}"/>
    <cellStyle name="Normal 2 2 2 2 18 2" xfId="4116" xr:uid="{00000000-0005-0000-0000-0000FC0F0000}"/>
    <cellStyle name="Normal 2 2 2 2 18 2 2" xfId="4117" xr:uid="{00000000-0005-0000-0000-0000FD0F0000}"/>
    <cellStyle name="Normal 2 2 2 2 18 3" xfId="4118" xr:uid="{00000000-0005-0000-0000-0000FE0F0000}"/>
    <cellStyle name="Normal 2 2 2 2 19" xfId="4119" xr:uid="{00000000-0005-0000-0000-0000FF0F0000}"/>
    <cellStyle name="Normal 2 2 2 2 19 2" xfId="4120" xr:uid="{00000000-0005-0000-0000-000000100000}"/>
    <cellStyle name="Normal 2 2 2 2 19 2 2" xfId="4121" xr:uid="{00000000-0005-0000-0000-000001100000}"/>
    <cellStyle name="Normal 2 2 2 2 19 3" xfId="4122" xr:uid="{00000000-0005-0000-0000-000002100000}"/>
    <cellStyle name="Normal 2 2 2 2 2" xfId="4123" xr:uid="{00000000-0005-0000-0000-000003100000}"/>
    <cellStyle name="Normal 2 2 2 2 2 2" xfId="4124" xr:uid="{00000000-0005-0000-0000-000004100000}"/>
    <cellStyle name="Normal 2 2 2 2 2 2 2" xfId="4125" xr:uid="{00000000-0005-0000-0000-000005100000}"/>
    <cellStyle name="Normal 2 2 2 2 2 2 3" xfId="4126" xr:uid="{00000000-0005-0000-0000-000006100000}"/>
    <cellStyle name="Normal 2 2 2 2 2 3" xfId="4127" xr:uid="{00000000-0005-0000-0000-000007100000}"/>
    <cellStyle name="Normal 2 2 2 2 2 3 2" xfId="4128" xr:uid="{00000000-0005-0000-0000-000008100000}"/>
    <cellStyle name="Normal 2 2 2 2 2 4" xfId="4129" xr:uid="{00000000-0005-0000-0000-000009100000}"/>
    <cellStyle name="Normal 2 2 2 2 2 5" xfId="4130" xr:uid="{00000000-0005-0000-0000-00000A100000}"/>
    <cellStyle name="Normal 2 2 2 2 2 6" xfId="4131" xr:uid="{00000000-0005-0000-0000-00000B100000}"/>
    <cellStyle name="Normal 2 2 2 2 2 7" xfId="4132" xr:uid="{00000000-0005-0000-0000-00000C100000}"/>
    <cellStyle name="Normal 2 2 2 2 20" xfId="4133" xr:uid="{00000000-0005-0000-0000-00000D100000}"/>
    <cellStyle name="Normal 2 2 2 2 20 2" xfId="4134" xr:uid="{00000000-0005-0000-0000-00000E100000}"/>
    <cellStyle name="Normal 2 2 2 2 20 2 2" xfId="4135" xr:uid="{00000000-0005-0000-0000-00000F100000}"/>
    <cellStyle name="Normal 2 2 2 2 20 3" xfId="4136" xr:uid="{00000000-0005-0000-0000-000010100000}"/>
    <cellStyle name="Normal 2 2 2 2 21" xfId="4137" xr:uid="{00000000-0005-0000-0000-000011100000}"/>
    <cellStyle name="Normal 2 2 2 2 21 2" xfId="4138" xr:uid="{00000000-0005-0000-0000-000012100000}"/>
    <cellStyle name="Normal 2 2 2 2 21 2 2" xfId="4139" xr:uid="{00000000-0005-0000-0000-000013100000}"/>
    <cellStyle name="Normal 2 2 2 2 21 3" xfId="4140" xr:uid="{00000000-0005-0000-0000-000014100000}"/>
    <cellStyle name="Normal 2 2 2 2 22" xfId="4141" xr:uid="{00000000-0005-0000-0000-000015100000}"/>
    <cellStyle name="Normal 2 2 2 2 22 2" xfId="4142" xr:uid="{00000000-0005-0000-0000-000016100000}"/>
    <cellStyle name="Normal 2 2 2 2 22 2 2" xfId="4143" xr:uid="{00000000-0005-0000-0000-000017100000}"/>
    <cellStyle name="Normal 2 2 2 2 22 3" xfId="4144" xr:uid="{00000000-0005-0000-0000-000018100000}"/>
    <cellStyle name="Normal 2 2 2 2 23" xfId="4145" xr:uid="{00000000-0005-0000-0000-000019100000}"/>
    <cellStyle name="Normal 2 2 2 2 23 2" xfId="4146" xr:uid="{00000000-0005-0000-0000-00001A100000}"/>
    <cellStyle name="Normal 2 2 2 2 23 2 2" xfId="4147" xr:uid="{00000000-0005-0000-0000-00001B100000}"/>
    <cellStyle name="Normal 2 2 2 2 23 3" xfId="4148" xr:uid="{00000000-0005-0000-0000-00001C100000}"/>
    <cellStyle name="Normal 2 2 2 2 24" xfId="4149" xr:uid="{00000000-0005-0000-0000-00001D100000}"/>
    <cellStyle name="Normal 2 2 2 2 24 2" xfId="4150" xr:uid="{00000000-0005-0000-0000-00001E100000}"/>
    <cellStyle name="Normal 2 2 2 2 24 2 2" xfId="4151" xr:uid="{00000000-0005-0000-0000-00001F100000}"/>
    <cellStyle name="Normal 2 2 2 2 24 3" xfId="4152" xr:uid="{00000000-0005-0000-0000-000020100000}"/>
    <cellStyle name="Normal 2 2 2 2 25" xfId="4153" xr:uid="{00000000-0005-0000-0000-000021100000}"/>
    <cellStyle name="Normal 2 2 2 2 25 2" xfId="4154" xr:uid="{00000000-0005-0000-0000-000022100000}"/>
    <cellStyle name="Normal 2 2 2 2 25 2 2" xfId="4155" xr:uid="{00000000-0005-0000-0000-000023100000}"/>
    <cellStyle name="Normal 2 2 2 2 25 3" xfId="4156" xr:uid="{00000000-0005-0000-0000-000024100000}"/>
    <cellStyle name="Normal 2 2 2 2 26" xfId="4157" xr:uid="{00000000-0005-0000-0000-000025100000}"/>
    <cellStyle name="Normal 2 2 2 2 26 2" xfId="4158" xr:uid="{00000000-0005-0000-0000-000026100000}"/>
    <cellStyle name="Normal 2 2 2 2 26 2 2" xfId="4159" xr:uid="{00000000-0005-0000-0000-000027100000}"/>
    <cellStyle name="Normal 2 2 2 2 26 3" xfId="4160" xr:uid="{00000000-0005-0000-0000-000028100000}"/>
    <cellStyle name="Normal 2 2 2 2 27" xfId="4161" xr:uid="{00000000-0005-0000-0000-000029100000}"/>
    <cellStyle name="Normal 2 2 2 2 27 2" xfId="4162" xr:uid="{00000000-0005-0000-0000-00002A100000}"/>
    <cellStyle name="Normal 2 2 2 2 27 2 2" xfId="4163" xr:uid="{00000000-0005-0000-0000-00002B100000}"/>
    <cellStyle name="Normal 2 2 2 2 27 3" xfId="4164" xr:uid="{00000000-0005-0000-0000-00002C100000}"/>
    <cellStyle name="Normal 2 2 2 2 28" xfId="4165" xr:uid="{00000000-0005-0000-0000-00002D100000}"/>
    <cellStyle name="Normal 2 2 2 2 28 2" xfId="4166" xr:uid="{00000000-0005-0000-0000-00002E100000}"/>
    <cellStyle name="Normal 2 2 2 2 28 2 2" xfId="4167" xr:uid="{00000000-0005-0000-0000-00002F100000}"/>
    <cellStyle name="Normal 2 2 2 2 28 3" xfId="4168" xr:uid="{00000000-0005-0000-0000-000030100000}"/>
    <cellStyle name="Normal 2 2 2 2 29" xfId="4169" xr:uid="{00000000-0005-0000-0000-000031100000}"/>
    <cellStyle name="Normal 2 2 2 2 29 2" xfId="4170" xr:uid="{00000000-0005-0000-0000-000032100000}"/>
    <cellStyle name="Normal 2 2 2 2 29 2 2" xfId="4171" xr:uid="{00000000-0005-0000-0000-000033100000}"/>
    <cellStyle name="Normal 2 2 2 2 29 3" xfId="4172" xr:uid="{00000000-0005-0000-0000-000034100000}"/>
    <cellStyle name="Normal 2 2 2 2 3" xfId="4173" xr:uid="{00000000-0005-0000-0000-000035100000}"/>
    <cellStyle name="Normal 2 2 2 2 3 10" xfId="4174" xr:uid="{00000000-0005-0000-0000-000036100000}"/>
    <cellStyle name="Normal 2 2 2 2 3 11" xfId="4175" xr:uid="{00000000-0005-0000-0000-000037100000}"/>
    <cellStyle name="Normal 2 2 2 2 3 2" xfId="4176" xr:uid="{00000000-0005-0000-0000-000038100000}"/>
    <cellStyle name="Normal 2 2 2 2 3 2 2" xfId="4177" xr:uid="{00000000-0005-0000-0000-000039100000}"/>
    <cellStyle name="Normal 2 2 2 2 3 2 3" xfId="4178" xr:uid="{00000000-0005-0000-0000-00003A100000}"/>
    <cellStyle name="Normal 2 2 2 2 3 3" xfId="4179" xr:uid="{00000000-0005-0000-0000-00003B100000}"/>
    <cellStyle name="Normal 2 2 2 2 3 4" xfId="4180" xr:uid="{00000000-0005-0000-0000-00003C100000}"/>
    <cellStyle name="Normal 2 2 2 2 3 5" xfId="4181" xr:uid="{00000000-0005-0000-0000-00003D100000}"/>
    <cellStyle name="Normal 2 2 2 2 3 6" xfId="4182" xr:uid="{00000000-0005-0000-0000-00003E100000}"/>
    <cellStyle name="Normal 2 2 2 2 3 7" xfId="4183" xr:uid="{00000000-0005-0000-0000-00003F100000}"/>
    <cellStyle name="Normal 2 2 2 2 3 8" xfId="4184" xr:uid="{00000000-0005-0000-0000-000040100000}"/>
    <cellStyle name="Normal 2 2 2 2 3 9" xfId="4185" xr:uid="{00000000-0005-0000-0000-000041100000}"/>
    <cellStyle name="Normal 2 2 2 2 30" xfId="4186" xr:uid="{00000000-0005-0000-0000-000042100000}"/>
    <cellStyle name="Normal 2 2 2 2 30 2" xfId="4187" xr:uid="{00000000-0005-0000-0000-000043100000}"/>
    <cellStyle name="Normal 2 2 2 2 30 2 2" xfId="4188" xr:uid="{00000000-0005-0000-0000-000044100000}"/>
    <cellStyle name="Normal 2 2 2 2 30 3" xfId="4189" xr:uid="{00000000-0005-0000-0000-000045100000}"/>
    <cellStyle name="Normal 2 2 2 2 31" xfId="4190" xr:uid="{00000000-0005-0000-0000-000046100000}"/>
    <cellStyle name="Normal 2 2 2 2 31 2" xfId="4191" xr:uid="{00000000-0005-0000-0000-000047100000}"/>
    <cellStyle name="Normal 2 2 2 2 31 2 2" xfId="4192" xr:uid="{00000000-0005-0000-0000-000048100000}"/>
    <cellStyle name="Normal 2 2 2 2 31 3" xfId="4193" xr:uid="{00000000-0005-0000-0000-000049100000}"/>
    <cellStyle name="Normal 2 2 2 2 32" xfId="4194" xr:uid="{00000000-0005-0000-0000-00004A100000}"/>
    <cellStyle name="Normal 2 2 2 2 32 2" xfId="4195" xr:uid="{00000000-0005-0000-0000-00004B100000}"/>
    <cellStyle name="Normal 2 2 2 2 32 2 2" xfId="4196" xr:uid="{00000000-0005-0000-0000-00004C100000}"/>
    <cellStyle name="Normal 2 2 2 2 32 3" xfId="4197" xr:uid="{00000000-0005-0000-0000-00004D100000}"/>
    <cellStyle name="Normal 2 2 2 2 33" xfId="4198" xr:uid="{00000000-0005-0000-0000-00004E100000}"/>
    <cellStyle name="Normal 2 2 2 2 33 2" xfId="4199" xr:uid="{00000000-0005-0000-0000-00004F100000}"/>
    <cellStyle name="Normal 2 2 2 2 33 2 2" xfId="4200" xr:uid="{00000000-0005-0000-0000-000050100000}"/>
    <cellStyle name="Normal 2 2 2 2 33 3" xfId="4201" xr:uid="{00000000-0005-0000-0000-000051100000}"/>
    <cellStyle name="Normal 2 2 2 2 34" xfId="4202" xr:uid="{00000000-0005-0000-0000-000052100000}"/>
    <cellStyle name="Normal 2 2 2 2 34 2" xfId="4203" xr:uid="{00000000-0005-0000-0000-000053100000}"/>
    <cellStyle name="Normal 2 2 2 2 34 2 2" xfId="4204" xr:uid="{00000000-0005-0000-0000-000054100000}"/>
    <cellStyle name="Normal 2 2 2 2 34 3" xfId="4205" xr:uid="{00000000-0005-0000-0000-000055100000}"/>
    <cellStyle name="Normal 2 2 2 2 35" xfId="4206" xr:uid="{00000000-0005-0000-0000-000056100000}"/>
    <cellStyle name="Normal 2 2 2 2 35 2" xfId="4207" xr:uid="{00000000-0005-0000-0000-000057100000}"/>
    <cellStyle name="Normal 2 2 2 2 35 2 2" xfId="4208" xr:uid="{00000000-0005-0000-0000-000058100000}"/>
    <cellStyle name="Normal 2 2 2 2 35 3" xfId="4209" xr:uid="{00000000-0005-0000-0000-000059100000}"/>
    <cellStyle name="Normal 2 2 2 2 36" xfId="4210" xr:uid="{00000000-0005-0000-0000-00005A100000}"/>
    <cellStyle name="Normal 2 2 2 2 36 2" xfId="4211" xr:uid="{00000000-0005-0000-0000-00005B100000}"/>
    <cellStyle name="Normal 2 2 2 2 36 2 2" xfId="4212" xr:uid="{00000000-0005-0000-0000-00005C100000}"/>
    <cellStyle name="Normal 2 2 2 2 36 3" xfId="4213" xr:uid="{00000000-0005-0000-0000-00005D100000}"/>
    <cellStyle name="Normal 2 2 2 2 37" xfId="4214" xr:uid="{00000000-0005-0000-0000-00005E100000}"/>
    <cellStyle name="Normal 2 2 2 2 37 2" xfId="4215" xr:uid="{00000000-0005-0000-0000-00005F100000}"/>
    <cellStyle name="Normal 2 2 2 2 37 2 2" xfId="4216" xr:uid="{00000000-0005-0000-0000-000060100000}"/>
    <cellStyle name="Normal 2 2 2 2 37 3" xfId="4217" xr:uid="{00000000-0005-0000-0000-000061100000}"/>
    <cellStyle name="Normal 2 2 2 2 38" xfId="4218" xr:uid="{00000000-0005-0000-0000-000062100000}"/>
    <cellStyle name="Normal 2 2 2 2 38 2" xfId="4219" xr:uid="{00000000-0005-0000-0000-000063100000}"/>
    <cellStyle name="Normal 2 2 2 2 38 2 2" xfId="4220" xr:uid="{00000000-0005-0000-0000-000064100000}"/>
    <cellStyle name="Normal 2 2 2 2 38 3" xfId="4221" xr:uid="{00000000-0005-0000-0000-000065100000}"/>
    <cellStyle name="Normal 2 2 2 2 39" xfId="4222" xr:uid="{00000000-0005-0000-0000-000066100000}"/>
    <cellStyle name="Normal 2 2 2 2 39 2" xfId="4223" xr:uid="{00000000-0005-0000-0000-000067100000}"/>
    <cellStyle name="Normal 2 2 2 2 39 2 2" xfId="4224" xr:uid="{00000000-0005-0000-0000-000068100000}"/>
    <cellStyle name="Normal 2 2 2 2 39 3" xfId="4225" xr:uid="{00000000-0005-0000-0000-000069100000}"/>
    <cellStyle name="Normal 2 2 2 2 4" xfId="4226" xr:uid="{00000000-0005-0000-0000-00006A100000}"/>
    <cellStyle name="Normal 2 2 2 2 4 2" xfId="4227" xr:uid="{00000000-0005-0000-0000-00006B100000}"/>
    <cellStyle name="Normal 2 2 2 2 4 2 2" xfId="4228" xr:uid="{00000000-0005-0000-0000-00006C100000}"/>
    <cellStyle name="Normal 2 2 2 2 4 3" xfId="4229" xr:uid="{00000000-0005-0000-0000-00006D100000}"/>
    <cellStyle name="Normal 2 2 2 2 40" xfId="4230" xr:uid="{00000000-0005-0000-0000-00006E100000}"/>
    <cellStyle name="Normal 2 2 2 2 40 2" xfId="4231" xr:uid="{00000000-0005-0000-0000-00006F100000}"/>
    <cellStyle name="Normal 2 2 2 2 40 2 2" xfId="4232" xr:uid="{00000000-0005-0000-0000-000070100000}"/>
    <cellStyle name="Normal 2 2 2 2 40 3" xfId="4233" xr:uid="{00000000-0005-0000-0000-000071100000}"/>
    <cellStyle name="Normal 2 2 2 2 41" xfId="4234" xr:uid="{00000000-0005-0000-0000-000072100000}"/>
    <cellStyle name="Normal 2 2 2 2 41 2" xfId="4235" xr:uid="{00000000-0005-0000-0000-000073100000}"/>
    <cellStyle name="Normal 2 2 2 2 41 2 2" xfId="4236" xr:uid="{00000000-0005-0000-0000-000074100000}"/>
    <cellStyle name="Normal 2 2 2 2 41 3" xfId="4237" xr:uid="{00000000-0005-0000-0000-000075100000}"/>
    <cellStyle name="Normal 2 2 2 2 42" xfId="4238" xr:uid="{00000000-0005-0000-0000-000076100000}"/>
    <cellStyle name="Normal 2 2 2 2 42 2" xfId="4239" xr:uid="{00000000-0005-0000-0000-000077100000}"/>
    <cellStyle name="Normal 2 2 2 2 42 2 2" xfId="4240" xr:uid="{00000000-0005-0000-0000-000078100000}"/>
    <cellStyle name="Normal 2 2 2 2 42 3" xfId="4241" xr:uid="{00000000-0005-0000-0000-000079100000}"/>
    <cellStyle name="Normal 2 2 2 2 43" xfId="4242" xr:uid="{00000000-0005-0000-0000-00007A100000}"/>
    <cellStyle name="Normal 2 2 2 2 43 2" xfId="4243" xr:uid="{00000000-0005-0000-0000-00007B100000}"/>
    <cellStyle name="Normal 2 2 2 2 43 2 2" xfId="4244" xr:uid="{00000000-0005-0000-0000-00007C100000}"/>
    <cellStyle name="Normal 2 2 2 2 43 3" xfId="4245" xr:uid="{00000000-0005-0000-0000-00007D100000}"/>
    <cellStyle name="Normal 2 2 2 2 44" xfId="4246" xr:uid="{00000000-0005-0000-0000-00007E100000}"/>
    <cellStyle name="Normal 2 2 2 2 44 2" xfId="4247" xr:uid="{00000000-0005-0000-0000-00007F100000}"/>
    <cellStyle name="Normal 2 2 2 2 44 2 2" xfId="4248" xr:uid="{00000000-0005-0000-0000-000080100000}"/>
    <cellStyle name="Normal 2 2 2 2 44 3" xfId="4249" xr:uid="{00000000-0005-0000-0000-000081100000}"/>
    <cellStyle name="Normal 2 2 2 2 45" xfId="4250" xr:uid="{00000000-0005-0000-0000-000082100000}"/>
    <cellStyle name="Normal 2 2 2 2 45 2" xfId="4251" xr:uid="{00000000-0005-0000-0000-000083100000}"/>
    <cellStyle name="Normal 2 2 2 2 45 2 2" xfId="4252" xr:uid="{00000000-0005-0000-0000-000084100000}"/>
    <cellStyle name="Normal 2 2 2 2 45 3" xfId="4253" xr:uid="{00000000-0005-0000-0000-000085100000}"/>
    <cellStyle name="Normal 2 2 2 2 46" xfId="4254" xr:uid="{00000000-0005-0000-0000-000086100000}"/>
    <cellStyle name="Normal 2 2 2 2 46 2" xfId="4255" xr:uid="{00000000-0005-0000-0000-000087100000}"/>
    <cellStyle name="Normal 2 2 2 2 46 2 2" xfId="4256" xr:uid="{00000000-0005-0000-0000-000088100000}"/>
    <cellStyle name="Normal 2 2 2 2 46 3" xfId="4257" xr:uid="{00000000-0005-0000-0000-000089100000}"/>
    <cellStyle name="Normal 2 2 2 2 47" xfId="4258" xr:uid="{00000000-0005-0000-0000-00008A100000}"/>
    <cellStyle name="Normal 2 2 2 2 47 2" xfId="4259" xr:uid="{00000000-0005-0000-0000-00008B100000}"/>
    <cellStyle name="Normal 2 2 2 2 47 2 2" xfId="4260" xr:uid="{00000000-0005-0000-0000-00008C100000}"/>
    <cellStyle name="Normal 2 2 2 2 47 3" xfId="4261" xr:uid="{00000000-0005-0000-0000-00008D100000}"/>
    <cellStyle name="Normal 2 2 2 2 48" xfId="4262" xr:uid="{00000000-0005-0000-0000-00008E100000}"/>
    <cellStyle name="Normal 2 2 2 2 48 2" xfId="4263" xr:uid="{00000000-0005-0000-0000-00008F100000}"/>
    <cellStyle name="Normal 2 2 2 2 48 2 2" xfId="4264" xr:uid="{00000000-0005-0000-0000-000090100000}"/>
    <cellStyle name="Normal 2 2 2 2 48 3" xfId="4265" xr:uid="{00000000-0005-0000-0000-000091100000}"/>
    <cellStyle name="Normal 2 2 2 2 49" xfId="4266" xr:uid="{00000000-0005-0000-0000-000092100000}"/>
    <cellStyle name="Normal 2 2 2 2 49 2" xfId="4267" xr:uid="{00000000-0005-0000-0000-000093100000}"/>
    <cellStyle name="Normal 2 2 2 2 49 2 2" xfId="4268" xr:uid="{00000000-0005-0000-0000-000094100000}"/>
    <cellStyle name="Normal 2 2 2 2 49 3" xfId="4269" xr:uid="{00000000-0005-0000-0000-000095100000}"/>
    <cellStyle name="Normal 2 2 2 2 5" xfId="4270" xr:uid="{00000000-0005-0000-0000-000096100000}"/>
    <cellStyle name="Normal 2 2 2 2 5 2" xfId="4271" xr:uid="{00000000-0005-0000-0000-000097100000}"/>
    <cellStyle name="Normal 2 2 2 2 5 2 2" xfId="4272" xr:uid="{00000000-0005-0000-0000-000098100000}"/>
    <cellStyle name="Normal 2 2 2 2 5 3" xfId="4273" xr:uid="{00000000-0005-0000-0000-000099100000}"/>
    <cellStyle name="Normal 2 2 2 2 50" xfId="4274" xr:uid="{00000000-0005-0000-0000-00009A100000}"/>
    <cellStyle name="Normal 2 2 2 2 50 2" xfId="4275" xr:uid="{00000000-0005-0000-0000-00009B100000}"/>
    <cellStyle name="Normal 2 2 2 2 50 2 2" xfId="4276" xr:uid="{00000000-0005-0000-0000-00009C100000}"/>
    <cellStyle name="Normal 2 2 2 2 50 3" xfId="4277" xr:uid="{00000000-0005-0000-0000-00009D100000}"/>
    <cellStyle name="Normal 2 2 2 2 51" xfId="4278" xr:uid="{00000000-0005-0000-0000-00009E100000}"/>
    <cellStyle name="Normal 2 2 2 2 51 2" xfId="4279" xr:uid="{00000000-0005-0000-0000-00009F100000}"/>
    <cellStyle name="Normal 2 2 2 2 51 2 2" xfId="4280" xr:uid="{00000000-0005-0000-0000-0000A0100000}"/>
    <cellStyle name="Normal 2 2 2 2 51 3" xfId="4281" xr:uid="{00000000-0005-0000-0000-0000A1100000}"/>
    <cellStyle name="Normal 2 2 2 2 52" xfId="4282" xr:uid="{00000000-0005-0000-0000-0000A2100000}"/>
    <cellStyle name="Normal 2 2 2 2 52 2" xfId="4283" xr:uid="{00000000-0005-0000-0000-0000A3100000}"/>
    <cellStyle name="Normal 2 2 2 2 52 2 2" xfId="4284" xr:uid="{00000000-0005-0000-0000-0000A4100000}"/>
    <cellStyle name="Normal 2 2 2 2 52 3" xfId="4285" xr:uid="{00000000-0005-0000-0000-0000A5100000}"/>
    <cellStyle name="Normal 2 2 2 2 53" xfId="4286" xr:uid="{00000000-0005-0000-0000-0000A6100000}"/>
    <cellStyle name="Normal 2 2 2 2 53 2" xfId="4287" xr:uid="{00000000-0005-0000-0000-0000A7100000}"/>
    <cellStyle name="Normal 2 2 2 2 53 2 2" xfId="4288" xr:uid="{00000000-0005-0000-0000-0000A8100000}"/>
    <cellStyle name="Normal 2 2 2 2 53 3" xfId="4289" xr:uid="{00000000-0005-0000-0000-0000A9100000}"/>
    <cellStyle name="Normal 2 2 2 2 54" xfId="4290" xr:uid="{00000000-0005-0000-0000-0000AA100000}"/>
    <cellStyle name="Normal 2 2 2 2 54 2" xfId="4291" xr:uid="{00000000-0005-0000-0000-0000AB100000}"/>
    <cellStyle name="Normal 2 2 2 2 54 2 2" xfId="4292" xr:uid="{00000000-0005-0000-0000-0000AC100000}"/>
    <cellStyle name="Normal 2 2 2 2 54 3" xfId="4293" xr:uid="{00000000-0005-0000-0000-0000AD100000}"/>
    <cellStyle name="Normal 2 2 2 2 55" xfId="4294" xr:uid="{00000000-0005-0000-0000-0000AE100000}"/>
    <cellStyle name="Normal 2 2 2 2 55 2" xfId="4295" xr:uid="{00000000-0005-0000-0000-0000AF100000}"/>
    <cellStyle name="Normal 2 2 2 2 55 2 2" xfId="4296" xr:uid="{00000000-0005-0000-0000-0000B0100000}"/>
    <cellStyle name="Normal 2 2 2 2 55 3" xfId="4297" xr:uid="{00000000-0005-0000-0000-0000B1100000}"/>
    <cellStyle name="Normal 2 2 2 2 56" xfId="4298" xr:uid="{00000000-0005-0000-0000-0000B2100000}"/>
    <cellStyle name="Normal 2 2 2 2 56 2" xfId="4299" xr:uid="{00000000-0005-0000-0000-0000B3100000}"/>
    <cellStyle name="Normal 2 2 2 2 56 2 2" xfId="4300" xr:uid="{00000000-0005-0000-0000-0000B4100000}"/>
    <cellStyle name="Normal 2 2 2 2 56 3" xfId="4301" xr:uid="{00000000-0005-0000-0000-0000B5100000}"/>
    <cellStyle name="Normal 2 2 2 2 57" xfId="4302" xr:uid="{00000000-0005-0000-0000-0000B6100000}"/>
    <cellStyle name="Normal 2 2 2 2 57 2" xfId="4303" xr:uid="{00000000-0005-0000-0000-0000B7100000}"/>
    <cellStyle name="Normal 2 2 2 2 57 2 2" xfId="4304" xr:uid="{00000000-0005-0000-0000-0000B8100000}"/>
    <cellStyle name="Normal 2 2 2 2 57 3" xfId="4305" xr:uid="{00000000-0005-0000-0000-0000B9100000}"/>
    <cellStyle name="Normal 2 2 2 2 58" xfId="4306" xr:uid="{00000000-0005-0000-0000-0000BA100000}"/>
    <cellStyle name="Normal 2 2 2 2 58 2" xfId="4307" xr:uid="{00000000-0005-0000-0000-0000BB100000}"/>
    <cellStyle name="Normal 2 2 2 2 58 2 2" xfId="4308" xr:uid="{00000000-0005-0000-0000-0000BC100000}"/>
    <cellStyle name="Normal 2 2 2 2 58 3" xfId="4309" xr:uid="{00000000-0005-0000-0000-0000BD100000}"/>
    <cellStyle name="Normal 2 2 2 2 59" xfId="4310" xr:uid="{00000000-0005-0000-0000-0000BE100000}"/>
    <cellStyle name="Normal 2 2 2 2 59 2" xfId="4311" xr:uid="{00000000-0005-0000-0000-0000BF100000}"/>
    <cellStyle name="Normal 2 2 2 2 59 2 2" xfId="4312" xr:uid="{00000000-0005-0000-0000-0000C0100000}"/>
    <cellStyle name="Normal 2 2 2 2 59 3" xfId="4313" xr:uid="{00000000-0005-0000-0000-0000C1100000}"/>
    <cellStyle name="Normal 2 2 2 2 6" xfId="4314" xr:uid="{00000000-0005-0000-0000-0000C2100000}"/>
    <cellStyle name="Normal 2 2 2 2 6 2" xfId="4315" xr:uid="{00000000-0005-0000-0000-0000C3100000}"/>
    <cellStyle name="Normal 2 2 2 2 6 2 2" xfId="4316" xr:uid="{00000000-0005-0000-0000-0000C4100000}"/>
    <cellStyle name="Normal 2 2 2 2 6 3" xfId="4317" xr:uid="{00000000-0005-0000-0000-0000C5100000}"/>
    <cellStyle name="Normal 2 2 2 2 60" xfId="4318" xr:uid="{00000000-0005-0000-0000-0000C6100000}"/>
    <cellStyle name="Normal 2 2 2 2 60 2" xfId="4319" xr:uid="{00000000-0005-0000-0000-0000C7100000}"/>
    <cellStyle name="Normal 2 2 2 2 60 2 2" xfId="4320" xr:uid="{00000000-0005-0000-0000-0000C8100000}"/>
    <cellStyle name="Normal 2 2 2 2 60 3" xfId="4321" xr:uid="{00000000-0005-0000-0000-0000C9100000}"/>
    <cellStyle name="Normal 2 2 2 2 61" xfId="4322" xr:uid="{00000000-0005-0000-0000-0000CA100000}"/>
    <cellStyle name="Normal 2 2 2 2 61 2" xfId="4323" xr:uid="{00000000-0005-0000-0000-0000CB100000}"/>
    <cellStyle name="Normal 2 2 2 2 61 2 2" xfId="4324" xr:uid="{00000000-0005-0000-0000-0000CC100000}"/>
    <cellStyle name="Normal 2 2 2 2 61 3" xfId="4325" xr:uid="{00000000-0005-0000-0000-0000CD100000}"/>
    <cellStyle name="Normal 2 2 2 2 62" xfId="4326" xr:uid="{00000000-0005-0000-0000-0000CE100000}"/>
    <cellStyle name="Normal 2 2 2 2 62 2" xfId="4327" xr:uid="{00000000-0005-0000-0000-0000CF100000}"/>
    <cellStyle name="Normal 2 2 2 2 63" xfId="4328" xr:uid="{00000000-0005-0000-0000-0000D0100000}"/>
    <cellStyle name="Normal 2 2 2 2 63 2" xfId="4329" xr:uid="{00000000-0005-0000-0000-0000D1100000}"/>
    <cellStyle name="Normal 2 2 2 2 63 3" xfId="4330" xr:uid="{00000000-0005-0000-0000-0000D2100000}"/>
    <cellStyle name="Normal 2 2 2 2 64" xfId="4331" xr:uid="{00000000-0005-0000-0000-0000D3100000}"/>
    <cellStyle name="Normal 2 2 2 2 64 2" xfId="4332" xr:uid="{00000000-0005-0000-0000-0000D4100000}"/>
    <cellStyle name="Normal 2 2 2 2 65" xfId="4333" xr:uid="{00000000-0005-0000-0000-0000D5100000}"/>
    <cellStyle name="Normal 2 2 2 2 65 2" xfId="4334" xr:uid="{00000000-0005-0000-0000-0000D6100000}"/>
    <cellStyle name="Normal 2 2 2 2 66" xfId="4335" xr:uid="{00000000-0005-0000-0000-0000D7100000}"/>
    <cellStyle name="Normal 2 2 2 2 66 2" xfId="4336" xr:uid="{00000000-0005-0000-0000-0000D8100000}"/>
    <cellStyle name="Normal 2 2 2 2 67" xfId="4337" xr:uid="{00000000-0005-0000-0000-0000D9100000}"/>
    <cellStyle name="Normal 2 2 2 2 67 2" xfId="4338" xr:uid="{00000000-0005-0000-0000-0000DA100000}"/>
    <cellStyle name="Normal 2 2 2 2 68" xfId="4339" xr:uid="{00000000-0005-0000-0000-0000DB100000}"/>
    <cellStyle name="Normal 2 2 2 2 68 2" xfId="4340" xr:uid="{00000000-0005-0000-0000-0000DC100000}"/>
    <cellStyle name="Normal 2 2 2 2 69" xfId="4341" xr:uid="{00000000-0005-0000-0000-0000DD100000}"/>
    <cellStyle name="Normal 2 2 2 2 69 2" xfId="4342" xr:uid="{00000000-0005-0000-0000-0000DE100000}"/>
    <cellStyle name="Normal 2 2 2 2 7" xfId="4343" xr:uid="{00000000-0005-0000-0000-0000DF100000}"/>
    <cellStyle name="Normal 2 2 2 2 7 2" xfId="4344" xr:uid="{00000000-0005-0000-0000-0000E0100000}"/>
    <cellStyle name="Normal 2 2 2 2 7 2 2" xfId="4345" xr:uid="{00000000-0005-0000-0000-0000E1100000}"/>
    <cellStyle name="Normal 2 2 2 2 7 3" xfId="4346" xr:uid="{00000000-0005-0000-0000-0000E2100000}"/>
    <cellStyle name="Normal 2 2 2 2 70" xfId="4347" xr:uid="{00000000-0005-0000-0000-0000E3100000}"/>
    <cellStyle name="Normal 2 2 2 2 70 2" xfId="4348" xr:uid="{00000000-0005-0000-0000-0000E4100000}"/>
    <cellStyle name="Normal 2 2 2 2 71" xfId="4349" xr:uid="{00000000-0005-0000-0000-0000E5100000}"/>
    <cellStyle name="Normal 2 2 2 2 71 2" xfId="4350" xr:uid="{00000000-0005-0000-0000-0000E6100000}"/>
    <cellStyle name="Normal 2 2 2 2 72" xfId="4351" xr:uid="{00000000-0005-0000-0000-0000E7100000}"/>
    <cellStyle name="Normal 2 2 2 2 72 2" xfId="4352" xr:uid="{00000000-0005-0000-0000-0000E8100000}"/>
    <cellStyle name="Normal 2 2 2 2 73" xfId="4353" xr:uid="{00000000-0005-0000-0000-0000E9100000}"/>
    <cellStyle name="Normal 2 2 2 2 73 2" xfId="4354" xr:uid="{00000000-0005-0000-0000-0000EA100000}"/>
    <cellStyle name="Normal 2 2 2 2 74" xfId="4355" xr:uid="{00000000-0005-0000-0000-0000EB100000}"/>
    <cellStyle name="Normal 2 2 2 2 74 2" xfId="4356" xr:uid="{00000000-0005-0000-0000-0000EC100000}"/>
    <cellStyle name="Normal 2 2 2 2 75" xfId="4357" xr:uid="{00000000-0005-0000-0000-0000ED100000}"/>
    <cellStyle name="Normal 2 2 2 2 75 2" xfId="4358" xr:uid="{00000000-0005-0000-0000-0000EE100000}"/>
    <cellStyle name="Normal 2 2 2 2 76" xfId="4359" xr:uid="{00000000-0005-0000-0000-0000EF100000}"/>
    <cellStyle name="Normal 2 2 2 2 76 2" xfId="4360" xr:uid="{00000000-0005-0000-0000-0000F0100000}"/>
    <cellStyle name="Normal 2 2 2 2 77" xfId="4361" xr:uid="{00000000-0005-0000-0000-0000F1100000}"/>
    <cellStyle name="Normal 2 2 2 2 77 2" xfId="4362" xr:uid="{00000000-0005-0000-0000-0000F2100000}"/>
    <cellStyle name="Normal 2 2 2 2 78" xfId="4363" xr:uid="{00000000-0005-0000-0000-0000F3100000}"/>
    <cellStyle name="Normal 2 2 2 2 78 2" xfId="4364" xr:uid="{00000000-0005-0000-0000-0000F4100000}"/>
    <cellStyle name="Normal 2 2 2 2 79" xfId="4365" xr:uid="{00000000-0005-0000-0000-0000F5100000}"/>
    <cellStyle name="Normal 2 2 2 2 79 2" xfId="4366" xr:uid="{00000000-0005-0000-0000-0000F6100000}"/>
    <cellStyle name="Normal 2 2 2 2 8" xfId="4367" xr:uid="{00000000-0005-0000-0000-0000F7100000}"/>
    <cellStyle name="Normal 2 2 2 2 8 2" xfId="4368" xr:uid="{00000000-0005-0000-0000-0000F8100000}"/>
    <cellStyle name="Normal 2 2 2 2 8 2 2" xfId="4369" xr:uid="{00000000-0005-0000-0000-0000F9100000}"/>
    <cellStyle name="Normal 2 2 2 2 8 3" xfId="4370" xr:uid="{00000000-0005-0000-0000-0000FA100000}"/>
    <cellStyle name="Normal 2 2 2 2 80" xfId="4371" xr:uid="{00000000-0005-0000-0000-0000FB100000}"/>
    <cellStyle name="Normal 2 2 2 2 80 2" xfId="4372" xr:uid="{00000000-0005-0000-0000-0000FC100000}"/>
    <cellStyle name="Normal 2 2 2 2 81" xfId="4373" xr:uid="{00000000-0005-0000-0000-0000FD100000}"/>
    <cellStyle name="Normal 2 2 2 2 81 2" xfId="4374" xr:uid="{00000000-0005-0000-0000-0000FE100000}"/>
    <cellStyle name="Normal 2 2 2 2 82" xfId="4375" xr:uid="{00000000-0005-0000-0000-0000FF100000}"/>
    <cellStyle name="Normal 2 2 2 2 82 2" xfId="4376" xr:uid="{00000000-0005-0000-0000-000000110000}"/>
    <cellStyle name="Normal 2 2 2 2 83" xfId="4377" xr:uid="{00000000-0005-0000-0000-000001110000}"/>
    <cellStyle name="Normal 2 2 2 2 83 2" xfId="4378" xr:uid="{00000000-0005-0000-0000-000002110000}"/>
    <cellStyle name="Normal 2 2 2 2 84" xfId="4379" xr:uid="{00000000-0005-0000-0000-000003110000}"/>
    <cellStyle name="Normal 2 2 2 2 84 2" xfId="4380" xr:uid="{00000000-0005-0000-0000-000004110000}"/>
    <cellStyle name="Normal 2 2 2 2 85" xfId="4381" xr:uid="{00000000-0005-0000-0000-000005110000}"/>
    <cellStyle name="Normal 2 2 2 2 85 2" xfId="4382" xr:uid="{00000000-0005-0000-0000-000006110000}"/>
    <cellStyle name="Normal 2 2 2 2 86" xfId="4383" xr:uid="{00000000-0005-0000-0000-000007110000}"/>
    <cellStyle name="Normal 2 2 2 2 86 2" xfId="4384" xr:uid="{00000000-0005-0000-0000-000008110000}"/>
    <cellStyle name="Normal 2 2 2 2 87" xfId="4385" xr:uid="{00000000-0005-0000-0000-000009110000}"/>
    <cellStyle name="Normal 2 2 2 2 87 2" xfId="4386" xr:uid="{00000000-0005-0000-0000-00000A110000}"/>
    <cellStyle name="Normal 2 2 2 2 88" xfId="4387" xr:uid="{00000000-0005-0000-0000-00000B110000}"/>
    <cellStyle name="Normal 2 2 2 2 88 2" xfId="4388" xr:uid="{00000000-0005-0000-0000-00000C110000}"/>
    <cellStyle name="Normal 2 2 2 2 89" xfId="4389" xr:uid="{00000000-0005-0000-0000-00000D110000}"/>
    <cellStyle name="Normal 2 2 2 2 89 2" xfId="4390" xr:uid="{00000000-0005-0000-0000-00000E110000}"/>
    <cellStyle name="Normal 2 2 2 2 9" xfId="4391" xr:uid="{00000000-0005-0000-0000-00000F110000}"/>
    <cellStyle name="Normal 2 2 2 2 9 2" xfId="4392" xr:uid="{00000000-0005-0000-0000-000010110000}"/>
    <cellStyle name="Normal 2 2 2 2 9 2 2" xfId="4393" xr:uid="{00000000-0005-0000-0000-000011110000}"/>
    <cellStyle name="Normal 2 2 2 2 9 3" xfId="4394" xr:uid="{00000000-0005-0000-0000-000012110000}"/>
    <cellStyle name="Normal 2 2 2 2 90" xfId="4395" xr:uid="{00000000-0005-0000-0000-000013110000}"/>
    <cellStyle name="Normal 2 2 2 2 90 2" xfId="4396" xr:uid="{00000000-0005-0000-0000-000014110000}"/>
    <cellStyle name="Normal 2 2 2 2 91" xfId="4397" xr:uid="{00000000-0005-0000-0000-000015110000}"/>
    <cellStyle name="Normal 2 2 2 2 91 2" xfId="4398" xr:uid="{00000000-0005-0000-0000-000016110000}"/>
    <cellStyle name="Normal 2 2 2 2 92" xfId="4399" xr:uid="{00000000-0005-0000-0000-000017110000}"/>
    <cellStyle name="Normal 2 2 2 2 92 2" xfId="4400" xr:uid="{00000000-0005-0000-0000-000018110000}"/>
    <cellStyle name="Normal 2 2 2 2 92 3" xfId="4401" xr:uid="{00000000-0005-0000-0000-000019110000}"/>
    <cellStyle name="Normal 2 2 2 2 93" xfId="4402" xr:uid="{00000000-0005-0000-0000-00001A110000}"/>
    <cellStyle name="Normal 2 2 2 2 93 2" xfId="4403" xr:uid="{00000000-0005-0000-0000-00001B110000}"/>
    <cellStyle name="Normal 2 2 2 2 94" xfId="4404" xr:uid="{00000000-0005-0000-0000-00001C110000}"/>
    <cellStyle name="Normal 2 2 2 2 94 2" xfId="4405" xr:uid="{00000000-0005-0000-0000-00001D110000}"/>
    <cellStyle name="Normal 2 2 2 2 95" xfId="4406" xr:uid="{00000000-0005-0000-0000-00001E110000}"/>
    <cellStyle name="Normal 2 2 2 2 95 2" xfId="4407" xr:uid="{00000000-0005-0000-0000-00001F110000}"/>
    <cellStyle name="Normal 2 2 2 2 96" xfId="4408" xr:uid="{00000000-0005-0000-0000-000020110000}"/>
    <cellStyle name="Normal 2 2 2 2 96 2" xfId="4409" xr:uid="{00000000-0005-0000-0000-000021110000}"/>
    <cellStyle name="Normal 2 2 2 2 97" xfId="4410" xr:uid="{00000000-0005-0000-0000-000022110000}"/>
    <cellStyle name="Normal 2 2 2 2 97 2" xfId="4411" xr:uid="{00000000-0005-0000-0000-000023110000}"/>
    <cellStyle name="Normal 2 2 2 2 98" xfId="4412" xr:uid="{00000000-0005-0000-0000-000024110000}"/>
    <cellStyle name="Normal 2 2 2 2 98 2" xfId="4413" xr:uid="{00000000-0005-0000-0000-000025110000}"/>
    <cellStyle name="Normal 2 2 2 2 99" xfId="4414" xr:uid="{00000000-0005-0000-0000-000026110000}"/>
    <cellStyle name="Normal 2 2 2 2 99 2" xfId="4415" xr:uid="{00000000-0005-0000-0000-000027110000}"/>
    <cellStyle name="Normal 2 2 2 20" xfId="4416" xr:uid="{00000000-0005-0000-0000-000028110000}"/>
    <cellStyle name="Normal 2 2 2 20 2" xfId="4417" xr:uid="{00000000-0005-0000-0000-000029110000}"/>
    <cellStyle name="Normal 2 2 2 21" xfId="4418" xr:uid="{00000000-0005-0000-0000-00002A110000}"/>
    <cellStyle name="Normal 2 2 2 21 2" xfId="4419" xr:uid="{00000000-0005-0000-0000-00002B110000}"/>
    <cellStyle name="Normal 2 2 2 22" xfId="4420" xr:uid="{00000000-0005-0000-0000-00002C110000}"/>
    <cellStyle name="Normal 2 2 2 22 2" xfId="4421" xr:uid="{00000000-0005-0000-0000-00002D110000}"/>
    <cellStyle name="Normal 2 2 2 23" xfId="4422" xr:uid="{00000000-0005-0000-0000-00002E110000}"/>
    <cellStyle name="Normal 2 2 2 23 2" xfId="4423" xr:uid="{00000000-0005-0000-0000-00002F110000}"/>
    <cellStyle name="Normal 2 2 2 24" xfId="4424" xr:uid="{00000000-0005-0000-0000-000030110000}"/>
    <cellStyle name="Normal 2 2 2 24 2" xfId="4425" xr:uid="{00000000-0005-0000-0000-000031110000}"/>
    <cellStyle name="Normal 2 2 2 25" xfId="4426" xr:uid="{00000000-0005-0000-0000-000032110000}"/>
    <cellStyle name="Normal 2 2 2 25 2" xfId="4427" xr:uid="{00000000-0005-0000-0000-000033110000}"/>
    <cellStyle name="Normal 2 2 2 26" xfId="4428" xr:uid="{00000000-0005-0000-0000-000034110000}"/>
    <cellStyle name="Normal 2 2 2 26 2" xfId="4429" xr:uid="{00000000-0005-0000-0000-000035110000}"/>
    <cellStyle name="Normal 2 2 2 27" xfId="4430" xr:uid="{00000000-0005-0000-0000-000036110000}"/>
    <cellStyle name="Normal 2 2 2 27 2" xfId="4431" xr:uid="{00000000-0005-0000-0000-000037110000}"/>
    <cellStyle name="Normal 2 2 2 28" xfId="4432" xr:uid="{00000000-0005-0000-0000-000038110000}"/>
    <cellStyle name="Normal 2 2 2 28 2" xfId="4433" xr:uid="{00000000-0005-0000-0000-000039110000}"/>
    <cellStyle name="Normal 2 2 2 29" xfId="4434" xr:uid="{00000000-0005-0000-0000-00003A110000}"/>
    <cellStyle name="Normal 2 2 2 29 2" xfId="4435" xr:uid="{00000000-0005-0000-0000-00003B110000}"/>
    <cellStyle name="Normal 2 2 2 3" xfId="4436" xr:uid="{00000000-0005-0000-0000-00003C110000}"/>
    <cellStyle name="Normal 2 2 2 3 2" xfId="4437" xr:uid="{00000000-0005-0000-0000-00003D110000}"/>
    <cellStyle name="Normal 2 2 2 3 2 2" xfId="4438" xr:uid="{00000000-0005-0000-0000-00003E110000}"/>
    <cellStyle name="Normal 2 2 2 3 2 3" xfId="4439" xr:uid="{00000000-0005-0000-0000-00003F110000}"/>
    <cellStyle name="Normal 2 2 2 3 3" xfId="4440" xr:uid="{00000000-0005-0000-0000-000040110000}"/>
    <cellStyle name="Normal 2 2 2 3 3 2" xfId="4441" xr:uid="{00000000-0005-0000-0000-000041110000}"/>
    <cellStyle name="Normal 2 2 2 3 4" xfId="4442" xr:uid="{00000000-0005-0000-0000-000042110000}"/>
    <cellStyle name="Normal 2 2 2 3 5" xfId="4443" xr:uid="{00000000-0005-0000-0000-000043110000}"/>
    <cellStyle name="Normal 2 2 2 3 6" xfId="4444" xr:uid="{00000000-0005-0000-0000-000044110000}"/>
    <cellStyle name="Normal 2 2 2 3 7" xfId="4445" xr:uid="{00000000-0005-0000-0000-000045110000}"/>
    <cellStyle name="Normal 2 2 2 30" xfId="4446" xr:uid="{00000000-0005-0000-0000-000046110000}"/>
    <cellStyle name="Normal 2 2 2 30 2" xfId="4447" xr:uid="{00000000-0005-0000-0000-000047110000}"/>
    <cellStyle name="Normal 2 2 2 31" xfId="4448" xr:uid="{00000000-0005-0000-0000-000048110000}"/>
    <cellStyle name="Normal 2 2 2 31 2" xfId="4449" xr:uid="{00000000-0005-0000-0000-000049110000}"/>
    <cellStyle name="Normal 2 2 2 32" xfId="4450" xr:uid="{00000000-0005-0000-0000-00004A110000}"/>
    <cellStyle name="Normal 2 2 2 32 2" xfId="4451" xr:uid="{00000000-0005-0000-0000-00004B110000}"/>
    <cellStyle name="Normal 2 2 2 33" xfId="4452" xr:uid="{00000000-0005-0000-0000-00004C110000}"/>
    <cellStyle name="Normal 2 2 2 33 2" xfId="4453" xr:uid="{00000000-0005-0000-0000-00004D110000}"/>
    <cellStyle name="Normal 2 2 2 34" xfId="4454" xr:uid="{00000000-0005-0000-0000-00004E110000}"/>
    <cellStyle name="Normal 2 2 2 34 2" xfId="4455" xr:uid="{00000000-0005-0000-0000-00004F110000}"/>
    <cellStyle name="Normal 2 2 2 35" xfId="4456" xr:uid="{00000000-0005-0000-0000-000050110000}"/>
    <cellStyle name="Normal 2 2 2 35 2" xfId="4457" xr:uid="{00000000-0005-0000-0000-000051110000}"/>
    <cellStyle name="Normal 2 2 2 36" xfId="4458" xr:uid="{00000000-0005-0000-0000-000052110000}"/>
    <cellStyle name="Normal 2 2 2 36 2" xfId="4459" xr:uid="{00000000-0005-0000-0000-000053110000}"/>
    <cellStyle name="Normal 2 2 2 37" xfId="4460" xr:uid="{00000000-0005-0000-0000-000054110000}"/>
    <cellStyle name="Normal 2 2 2 37 2" xfId="4461" xr:uid="{00000000-0005-0000-0000-000055110000}"/>
    <cellStyle name="Normal 2 2 2 38" xfId="4462" xr:uid="{00000000-0005-0000-0000-000056110000}"/>
    <cellStyle name="Normal 2 2 2 38 2" xfId="4463" xr:uid="{00000000-0005-0000-0000-000057110000}"/>
    <cellStyle name="Normal 2 2 2 39" xfId="4464" xr:uid="{00000000-0005-0000-0000-000058110000}"/>
    <cellStyle name="Normal 2 2 2 39 2" xfId="4465" xr:uid="{00000000-0005-0000-0000-000059110000}"/>
    <cellStyle name="Normal 2 2 2 4" xfId="4466" xr:uid="{00000000-0005-0000-0000-00005A110000}"/>
    <cellStyle name="Normal 2 2 2 4 2" xfId="4467" xr:uid="{00000000-0005-0000-0000-00005B110000}"/>
    <cellStyle name="Normal 2 2 2 4 2 2" xfId="4468" xr:uid="{00000000-0005-0000-0000-00005C110000}"/>
    <cellStyle name="Normal 2 2 2 4 2 3" xfId="4469" xr:uid="{00000000-0005-0000-0000-00005D110000}"/>
    <cellStyle name="Normal 2 2 2 4 3" xfId="4470" xr:uid="{00000000-0005-0000-0000-00005E110000}"/>
    <cellStyle name="Normal 2 2 2 4 3 2" xfId="4471" xr:uid="{00000000-0005-0000-0000-00005F110000}"/>
    <cellStyle name="Normal 2 2 2 4 4" xfId="4472" xr:uid="{00000000-0005-0000-0000-000060110000}"/>
    <cellStyle name="Normal 2 2 2 4 5" xfId="4473" xr:uid="{00000000-0005-0000-0000-000061110000}"/>
    <cellStyle name="Normal 2 2 2 4 6" xfId="4474" xr:uid="{00000000-0005-0000-0000-000062110000}"/>
    <cellStyle name="Normal 2 2 2 4 7" xfId="4475" xr:uid="{00000000-0005-0000-0000-000063110000}"/>
    <cellStyle name="Normal 2 2 2 40" xfId="4476" xr:uid="{00000000-0005-0000-0000-000064110000}"/>
    <cellStyle name="Normal 2 2 2 40 2" xfId="4477" xr:uid="{00000000-0005-0000-0000-000065110000}"/>
    <cellStyle name="Normal 2 2 2 41" xfId="4478" xr:uid="{00000000-0005-0000-0000-000066110000}"/>
    <cellStyle name="Normal 2 2 2 41 2" xfId="4479" xr:uid="{00000000-0005-0000-0000-000067110000}"/>
    <cellStyle name="Normal 2 2 2 42" xfId="4480" xr:uid="{00000000-0005-0000-0000-000068110000}"/>
    <cellStyle name="Normal 2 2 2 42 2" xfId="4481" xr:uid="{00000000-0005-0000-0000-000069110000}"/>
    <cellStyle name="Normal 2 2 2 43" xfId="4482" xr:uid="{00000000-0005-0000-0000-00006A110000}"/>
    <cellStyle name="Normal 2 2 2 43 2" xfId="4483" xr:uid="{00000000-0005-0000-0000-00006B110000}"/>
    <cellStyle name="Normal 2 2 2 44" xfId="4484" xr:uid="{00000000-0005-0000-0000-00006C110000}"/>
    <cellStyle name="Normal 2 2 2 44 2" xfId="4485" xr:uid="{00000000-0005-0000-0000-00006D110000}"/>
    <cellStyle name="Normal 2 2 2 45" xfId="4486" xr:uid="{00000000-0005-0000-0000-00006E110000}"/>
    <cellStyle name="Normal 2 2 2 45 2" xfId="4487" xr:uid="{00000000-0005-0000-0000-00006F110000}"/>
    <cellStyle name="Normal 2 2 2 46" xfId="4488" xr:uid="{00000000-0005-0000-0000-000070110000}"/>
    <cellStyle name="Normal 2 2 2 46 2" xfId="4489" xr:uid="{00000000-0005-0000-0000-000071110000}"/>
    <cellStyle name="Normal 2 2 2 47" xfId="4490" xr:uid="{00000000-0005-0000-0000-000072110000}"/>
    <cellStyle name="Normal 2 2 2 47 2" xfId="4491" xr:uid="{00000000-0005-0000-0000-000073110000}"/>
    <cellStyle name="Normal 2 2 2 48" xfId="4492" xr:uid="{00000000-0005-0000-0000-000074110000}"/>
    <cellStyle name="Normal 2 2 2 48 2" xfId="4493" xr:uid="{00000000-0005-0000-0000-000075110000}"/>
    <cellStyle name="Normal 2 2 2 49" xfId="4494" xr:uid="{00000000-0005-0000-0000-000076110000}"/>
    <cellStyle name="Normal 2 2 2 49 2" xfId="4495" xr:uid="{00000000-0005-0000-0000-000077110000}"/>
    <cellStyle name="Normal 2 2 2 5" xfId="4496" xr:uid="{00000000-0005-0000-0000-000078110000}"/>
    <cellStyle name="Normal 2 2 2 5 10" xfId="4497" xr:uid="{00000000-0005-0000-0000-000079110000}"/>
    <cellStyle name="Normal 2 2 2 5 10 2" xfId="4498" xr:uid="{00000000-0005-0000-0000-00007A110000}"/>
    <cellStyle name="Normal 2 2 2 5 11" xfId="4499" xr:uid="{00000000-0005-0000-0000-00007B110000}"/>
    <cellStyle name="Normal 2 2 2 5 11 2" xfId="4500" xr:uid="{00000000-0005-0000-0000-00007C110000}"/>
    <cellStyle name="Normal 2 2 2 5 12" xfId="4501" xr:uid="{00000000-0005-0000-0000-00007D110000}"/>
    <cellStyle name="Normal 2 2 2 5 12 2" xfId="4502" xr:uid="{00000000-0005-0000-0000-00007E110000}"/>
    <cellStyle name="Normal 2 2 2 5 13" xfId="4503" xr:uid="{00000000-0005-0000-0000-00007F110000}"/>
    <cellStyle name="Normal 2 2 2 5 13 2" xfId="4504" xr:uid="{00000000-0005-0000-0000-000080110000}"/>
    <cellStyle name="Normal 2 2 2 5 14" xfId="4505" xr:uid="{00000000-0005-0000-0000-000081110000}"/>
    <cellStyle name="Normal 2 2 2 5 14 2" xfId="4506" xr:uid="{00000000-0005-0000-0000-000082110000}"/>
    <cellStyle name="Normal 2 2 2 5 15" xfId="4507" xr:uid="{00000000-0005-0000-0000-000083110000}"/>
    <cellStyle name="Normal 2 2 2 5 15 2" xfId="4508" xr:uid="{00000000-0005-0000-0000-000084110000}"/>
    <cellStyle name="Normal 2 2 2 5 16" xfId="4509" xr:uid="{00000000-0005-0000-0000-000085110000}"/>
    <cellStyle name="Normal 2 2 2 5 16 2" xfId="4510" xr:uid="{00000000-0005-0000-0000-000086110000}"/>
    <cellStyle name="Normal 2 2 2 5 17" xfId="4511" xr:uid="{00000000-0005-0000-0000-000087110000}"/>
    <cellStyle name="Normal 2 2 2 5 17 2" xfId="4512" xr:uid="{00000000-0005-0000-0000-000088110000}"/>
    <cellStyle name="Normal 2 2 2 5 18" xfId="4513" xr:uid="{00000000-0005-0000-0000-000089110000}"/>
    <cellStyle name="Normal 2 2 2 5 18 2" xfId="4514" xr:uid="{00000000-0005-0000-0000-00008A110000}"/>
    <cellStyle name="Normal 2 2 2 5 19" xfId="4515" xr:uid="{00000000-0005-0000-0000-00008B110000}"/>
    <cellStyle name="Normal 2 2 2 5 19 2" xfId="4516" xr:uid="{00000000-0005-0000-0000-00008C110000}"/>
    <cellStyle name="Normal 2 2 2 5 2" xfId="4517" xr:uid="{00000000-0005-0000-0000-00008D110000}"/>
    <cellStyle name="Normal 2 2 2 5 2 2" xfId="4518" xr:uid="{00000000-0005-0000-0000-00008E110000}"/>
    <cellStyle name="Normal 2 2 2 5 2 2 2" xfId="4519" xr:uid="{00000000-0005-0000-0000-00008F110000}"/>
    <cellStyle name="Normal 2 2 2 5 2 2 2 2" xfId="4520" xr:uid="{00000000-0005-0000-0000-000090110000}"/>
    <cellStyle name="Normal 2 2 2 5 2 2 3" xfId="4521" xr:uid="{00000000-0005-0000-0000-000091110000}"/>
    <cellStyle name="Normal 2 2 2 5 2 3" xfId="4522" xr:uid="{00000000-0005-0000-0000-000092110000}"/>
    <cellStyle name="Normal 2 2 2 5 2 3 2" xfId="4523" xr:uid="{00000000-0005-0000-0000-000093110000}"/>
    <cellStyle name="Normal 2 2 2 5 2 3 2 2" xfId="4524" xr:uid="{00000000-0005-0000-0000-000094110000}"/>
    <cellStyle name="Normal 2 2 2 5 2 3 3" xfId="4525" xr:uid="{00000000-0005-0000-0000-000095110000}"/>
    <cellStyle name="Normal 2 2 2 5 2 4" xfId="4526" xr:uid="{00000000-0005-0000-0000-000096110000}"/>
    <cellStyle name="Normal 2 2 2 5 2 4 2" xfId="4527" xr:uid="{00000000-0005-0000-0000-000097110000}"/>
    <cellStyle name="Normal 2 2 2 5 2 4 2 2" xfId="4528" xr:uid="{00000000-0005-0000-0000-000098110000}"/>
    <cellStyle name="Normal 2 2 2 5 2 4 3" xfId="4529" xr:uid="{00000000-0005-0000-0000-000099110000}"/>
    <cellStyle name="Normal 2 2 2 5 2 5" xfId="4530" xr:uid="{00000000-0005-0000-0000-00009A110000}"/>
    <cellStyle name="Normal 2 2 2 5 2 5 2" xfId="4531" xr:uid="{00000000-0005-0000-0000-00009B110000}"/>
    <cellStyle name="Normal 2 2 2 5 2 5 2 2" xfId="4532" xr:uid="{00000000-0005-0000-0000-00009C110000}"/>
    <cellStyle name="Normal 2 2 2 5 2 5 3" xfId="4533" xr:uid="{00000000-0005-0000-0000-00009D110000}"/>
    <cellStyle name="Normal 2 2 2 5 2 6" xfId="4534" xr:uid="{00000000-0005-0000-0000-00009E110000}"/>
    <cellStyle name="Normal 2 2 2 5 2 6 2" xfId="4535" xr:uid="{00000000-0005-0000-0000-00009F110000}"/>
    <cellStyle name="Normal 2 2 2 5 2 6 3" xfId="4536" xr:uid="{00000000-0005-0000-0000-0000A0110000}"/>
    <cellStyle name="Normal 2 2 2 5 2 7" xfId="4537" xr:uid="{00000000-0005-0000-0000-0000A1110000}"/>
    <cellStyle name="Normal 2 2 2 5 2 7 2" xfId="4538" xr:uid="{00000000-0005-0000-0000-0000A2110000}"/>
    <cellStyle name="Normal 2 2 2 5 2 8" xfId="4539" xr:uid="{00000000-0005-0000-0000-0000A3110000}"/>
    <cellStyle name="Normal 2 2 2 5 2 9" xfId="4540" xr:uid="{00000000-0005-0000-0000-0000A4110000}"/>
    <cellStyle name="Normal 2 2 2 5 20" xfId="4541" xr:uid="{00000000-0005-0000-0000-0000A5110000}"/>
    <cellStyle name="Normal 2 2 2 5 20 2" xfId="4542" xr:uid="{00000000-0005-0000-0000-0000A6110000}"/>
    <cellStyle name="Normal 2 2 2 5 21" xfId="4543" xr:uid="{00000000-0005-0000-0000-0000A7110000}"/>
    <cellStyle name="Normal 2 2 2 5 21 2" xfId="4544" xr:uid="{00000000-0005-0000-0000-0000A8110000}"/>
    <cellStyle name="Normal 2 2 2 5 22" xfId="4545" xr:uid="{00000000-0005-0000-0000-0000A9110000}"/>
    <cellStyle name="Normal 2 2 2 5 22 2" xfId="4546" xr:uid="{00000000-0005-0000-0000-0000AA110000}"/>
    <cellStyle name="Normal 2 2 2 5 23" xfId="4547" xr:uid="{00000000-0005-0000-0000-0000AB110000}"/>
    <cellStyle name="Normal 2 2 2 5 23 2" xfId="4548" xr:uid="{00000000-0005-0000-0000-0000AC110000}"/>
    <cellStyle name="Normal 2 2 2 5 24" xfId="4549" xr:uid="{00000000-0005-0000-0000-0000AD110000}"/>
    <cellStyle name="Normal 2 2 2 5 24 2" xfId="4550" xr:uid="{00000000-0005-0000-0000-0000AE110000}"/>
    <cellStyle name="Normal 2 2 2 5 25" xfId="4551" xr:uid="{00000000-0005-0000-0000-0000AF110000}"/>
    <cellStyle name="Normal 2 2 2 5 25 2" xfId="4552" xr:uid="{00000000-0005-0000-0000-0000B0110000}"/>
    <cellStyle name="Normal 2 2 2 5 26" xfId="4553" xr:uid="{00000000-0005-0000-0000-0000B1110000}"/>
    <cellStyle name="Normal 2 2 2 5 26 2" xfId="4554" xr:uid="{00000000-0005-0000-0000-0000B2110000}"/>
    <cellStyle name="Normal 2 2 2 5 27" xfId="4555" xr:uid="{00000000-0005-0000-0000-0000B3110000}"/>
    <cellStyle name="Normal 2 2 2 5 27 2" xfId="4556" xr:uid="{00000000-0005-0000-0000-0000B4110000}"/>
    <cellStyle name="Normal 2 2 2 5 28" xfId="4557" xr:uid="{00000000-0005-0000-0000-0000B5110000}"/>
    <cellStyle name="Normal 2 2 2 5 28 2" xfId="4558" xr:uid="{00000000-0005-0000-0000-0000B6110000}"/>
    <cellStyle name="Normal 2 2 2 5 29" xfId="4559" xr:uid="{00000000-0005-0000-0000-0000B7110000}"/>
    <cellStyle name="Normal 2 2 2 5 29 2" xfId="4560" xr:uid="{00000000-0005-0000-0000-0000B8110000}"/>
    <cellStyle name="Normal 2 2 2 5 3" xfId="4561" xr:uid="{00000000-0005-0000-0000-0000B9110000}"/>
    <cellStyle name="Normal 2 2 2 5 3 2" xfId="4562" xr:uid="{00000000-0005-0000-0000-0000BA110000}"/>
    <cellStyle name="Normal 2 2 2 5 30" xfId="4563" xr:uid="{00000000-0005-0000-0000-0000BB110000}"/>
    <cellStyle name="Normal 2 2 2 5 30 2" xfId="4564" xr:uid="{00000000-0005-0000-0000-0000BC110000}"/>
    <cellStyle name="Normal 2 2 2 5 31" xfId="4565" xr:uid="{00000000-0005-0000-0000-0000BD110000}"/>
    <cellStyle name="Normal 2 2 2 5 31 2" xfId="4566" xr:uid="{00000000-0005-0000-0000-0000BE110000}"/>
    <cellStyle name="Normal 2 2 2 5 32" xfId="4567" xr:uid="{00000000-0005-0000-0000-0000BF110000}"/>
    <cellStyle name="Normal 2 2 2 5 32 2" xfId="4568" xr:uid="{00000000-0005-0000-0000-0000C0110000}"/>
    <cellStyle name="Normal 2 2 2 5 33" xfId="4569" xr:uid="{00000000-0005-0000-0000-0000C1110000}"/>
    <cellStyle name="Normal 2 2 2 5 33 2" xfId="4570" xr:uid="{00000000-0005-0000-0000-0000C2110000}"/>
    <cellStyle name="Normal 2 2 2 5 34" xfId="4571" xr:uid="{00000000-0005-0000-0000-0000C3110000}"/>
    <cellStyle name="Normal 2 2 2 5 34 2" xfId="4572" xr:uid="{00000000-0005-0000-0000-0000C4110000}"/>
    <cellStyle name="Normal 2 2 2 5 35" xfId="4573" xr:uid="{00000000-0005-0000-0000-0000C5110000}"/>
    <cellStyle name="Normal 2 2 2 5 35 2" xfId="4574" xr:uid="{00000000-0005-0000-0000-0000C6110000}"/>
    <cellStyle name="Normal 2 2 2 5 36" xfId="4575" xr:uid="{00000000-0005-0000-0000-0000C7110000}"/>
    <cellStyle name="Normal 2 2 2 5 36 2" xfId="4576" xr:uid="{00000000-0005-0000-0000-0000C8110000}"/>
    <cellStyle name="Normal 2 2 2 5 37" xfId="4577" xr:uid="{00000000-0005-0000-0000-0000C9110000}"/>
    <cellStyle name="Normal 2 2 2 5 37 2" xfId="4578" xr:uid="{00000000-0005-0000-0000-0000CA110000}"/>
    <cellStyle name="Normal 2 2 2 5 38" xfId="4579" xr:uid="{00000000-0005-0000-0000-0000CB110000}"/>
    <cellStyle name="Normal 2 2 2 5 38 2" xfId="4580" xr:uid="{00000000-0005-0000-0000-0000CC110000}"/>
    <cellStyle name="Normal 2 2 2 5 39" xfId="4581" xr:uid="{00000000-0005-0000-0000-0000CD110000}"/>
    <cellStyle name="Normal 2 2 2 5 39 2" xfId="4582" xr:uid="{00000000-0005-0000-0000-0000CE110000}"/>
    <cellStyle name="Normal 2 2 2 5 4" xfId="4583" xr:uid="{00000000-0005-0000-0000-0000CF110000}"/>
    <cellStyle name="Normal 2 2 2 5 4 2" xfId="4584" xr:uid="{00000000-0005-0000-0000-0000D0110000}"/>
    <cellStyle name="Normal 2 2 2 5 40" xfId="4585" xr:uid="{00000000-0005-0000-0000-0000D1110000}"/>
    <cellStyle name="Normal 2 2 2 5 40 2" xfId="4586" xr:uid="{00000000-0005-0000-0000-0000D2110000}"/>
    <cellStyle name="Normal 2 2 2 5 41" xfId="4587" xr:uid="{00000000-0005-0000-0000-0000D3110000}"/>
    <cellStyle name="Normal 2 2 2 5 41 2" xfId="4588" xr:uid="{00000000-0005-0000-0000-0000D4110000}"/>
    <cellStyle name="Normal 2 2 2 5 42" xfId="4589" xr:uid="{00000000-0005-0000-0000-0000D5110000}"/>
    <cellStyle name="Normal 2 2 2 5 43" xfId="4590" xr:uid="{00000000-0005-0000-0000-0000D6110000}"/>
    <cellStyle name="Normal 2 2 2 5 44" xfId="4591" xr:uid="{00000000-0005-0000-0000-0000D7110000}"/>
    <cellStyle name="Normal 2 2 2 5 45" xfId="4592" xr:uid="{00000000-0005-0000-0000-0000D8110000}"/>
    <cellStyle name="Normal 2 2 2 5 5" xfId="4593" xr:uid="{00000000-0005-0000-0000-0000D9110000}"/>
    <cellStyle name="Normal 2 2 2 5 5 2" xfId="4594" xr:uid="{00000000-0005-0000-0000-0000DA110000}"/>
    <cellStyle name="Normal 2 2 2 5 6" xfId="4595" xr:uid="{00000000-0005-0000-0000-0000DB110000}"/>
    <cellStyle name="Normal 2 2 2 5 6 2" xfId="4596" xr:uid="{00000000-0005-0000-0000-0000DC110000}"/>
    <cellStyle name="Normal 2 2 2 5 6 3" xfId="4597" xr:uid="{00000000-0005-0000-0000-0000DD110000}"/>
    <cellStyle name="Normal 2 2 2 5 7" xfId="4598" xr:uid="{00000000-0005-0000-0000-0000DE110000}"/>
    <cellStyle name="Normal 2 2 2 5 7 2" xfId="4599" xr:uid="{00000000-0005-0000-0000-0000DF110000}"/>
    <cellStyle name="Normal 2 2 2 5 8" xfId="4600" xr:uid="{00000000-0005-0000-0000-0000E0110000}"/>
    <cellStyle name="Normal 2 2 2 5 8 2" xfId="4601" xr:uid="{00000000-0005-0000-0000-0000E1110000}"/>
    <cellStyle name="Normal 2 2 2 5 8 3" xfId="4602" xr:uid="{00000000-0005-0000-0000-0000E2110000}"/>
    <cellStyle name="Normal 2 2 2 5 9" xfId="4603" xr:uid="{00000000-0005-0000-0000-0000E3110000}"/>
    <cellStyle name="Normal 2 2 2 5 9 2" xfId="4604" xr:uid="{00000000-0005-0000-0000-0000E4110000}"/>
    <cellStyle name="Normal 2 2 2 50" xfId="4605" xr:uid="{00000000-0005-0000-0000-0000E5110000}"/>
    <cellStyle name="Normal 2 2 2 50 2" xfId="4606" xr:uid="{00000000-0005-0000-0000-0000E6110000}"/>
    <cellStyle name="Normal 2 2 2 51" xfId="4607" xr:uid="{00000000-0005-0000-0000-0000E7110000}"/>
    <cellStyle name="Normal 2 2 2 51 2" xfId="4608" xr:uid="{00000000-0005-0000-0000-0000E8110000}"/>
    <cellStyle name="Normal 2 2 2 52" xfId="4609" xr:uid="{00000000-0005-0000-0000-0000E9110000}"/>
    <cellStyle name="Normal 2 2 2 52 2" xfId="4610" xr:uid="{00000000-0005-0000-0000-0000EA110000}"/>
    <cellStyle name="Normal 2 2 2 53" xfId="4611" xr:uid="{00000000-0005-0000-0000-0000EB110000}"/>
    <cellStyle name="Normal 2 2 2 53 2" xfId="4612" xr:uid="{00000000-0005-0000-0000-0000EC110000}"/>
    <cellStyle name="Normal 2 2 2 54" xfId="4613" xr:uid="{00000000-0005-0000-0000-0000ED110000}"/>
    <cellStyle name="Normal 2 2 2 54 2" xfId="4614" xr:uid="{00000000-0005-0000-0000-0000EE110000}"/>
    <cellStyle name="Normal 2 2 2 55" xfId="4615" xr:uid="{00000000-0005-0000-0000-0000EF110000}"/>
    <cellStyle name="Normal 2 2 2 55 2" xfId="4616" xr:uid="{00000000-0005-0000-0000-0000F0110000}"/>
    <cellStyle name="Normal 2 2 2 56" xfId="4617" xr:uid="{00000000-0005-0000-0000-0000F1110000}"/>
    <cellStyle name="Normal 2 2 2 56 2" xfId="4618" xr:uid="{00000000-0005-0000-0000-0000F2110000}"/>
    <cellStyle name="Normal 2 2 2 57" xfId="4619" xr:uid="{00000000-0005-0000-0000-0000F3110000}"/>
    <cellStyle name="Normal 2 2 2 57 2" xfId="4620" xr:uid="{00000000-0005-0000-0000-0000F4110000}"/>
    <cellStyle name="Normal 2 2 2 58" xfId="4621" xr:uid="{00000000-0005-0000-0000-0000F5110000}"/>
    <cellStyle name="Normal 2 2 2 58 2" xfId="4622" xr:uid="{00000000-0005-0000-0000-0000F6110000}"/>
    <cellStyle name="Normal 2 2 2 59" xfId="4623" xr:uid="{00000000-0005-0000-0000-0000F7110000}"/>
    <cellStyle name="Normal 2 2 2 59 2" xfId="4624" xr:uid="{00000000-0005-0000-0000-0000F8110000}"/>
    <cellStyle name="Normal 2 2 2 6" xfId="4625" xr:uid="{00000000-0005-0000-0000-0000F9110000}"/>
    <cellStyle name="Normal 2 2 2 6 10" xfId="4626" xr:uid="{00000000-0005-0000-0000-0000FA110000}"/>
    <cellStyle name="Normal 2 2 2 6 10 2" xfId="4627" xr:uid="{00000000-0005-0000-0000-0000FB110000}"/>
    <cellStyle name="Normal 2 2 2 6 11" xfId="4628" xr:uid="{00000000-0005-0000-0000-0000FC110000}"/>
    <cellStyle name="Normal 2 2 2 6 11 2" xfId="4629" xr:uid="{00000000-0005-0000-0000-0000FD110000}"/>
    <cellStyle name="Normal 2 2 2 6 12" xfId="4630" xr:uid="{00000000-0005-0000-0000-0000FE110000}"/>
    <cellStyle name="Normal 2 2 2 6 12 2" xfId="4631" xr:uid="{00000000-0005-0000-0000-0000FF110000}"/>
    <cellStyle name="Normal 2 2 2 6 13" xfId="4632" xr:uid="{00000000-0005-0000-0000-000000120000}"/>
    <cellStyle name="Normal 2 2 2 6 13 2" xfId="4633" xr:uid="{00000000-0005-0000-0000-000001120000}"/>
    <cellStyle name="Normal 2 2 2 6 14" xfId="4634" xr:uid="{00000000-0005-0000-0000-000002120000}"/>
    <cellStyle name="Normal 2 2 2 6 14 2" xfId="4635" xr:uid="{00000000-0005-0000-0000-000003120000}"/>
    <cellStyle name="Normal 2 2 2 6 15" xfId="4636" xr:uid="{00000000-0005-0000-0000-000004120000}"/>
    <cellStyle name="Normal 2 2 2 6 15 2" xfId="4637" xr:uid="{00000000-0005-0000-0000-000005120000}"/>
    <cellStyle name="Normal 2 2 2 6 16" xfId="4638" xr:uid="{00000000-0005-0000-0000-000006120000}"/>
    <cellStyle name="Normal 2 2 2 6 16 2" xfId="4639" xr:uid="{00000000-0005-0000-0000-000007120000}"/>
    <cellStyle name="Normal 2 2 2 6 17" xfId="4640" xr:uid="{00000000-0005-0000-0000-000008120000}"/>
    <cellStyle name="Normal 2 2 2 6 17 2" xfId="4641" xr:uid="{00000000-0005-0000-0000-000009120000}"/>
    <cellStyle name="Normal 2 2 2 6 18" xfId="4642" xr:uid="{00000000-0005-0000-0000-00000A120000}"/>
    <cellStyle name="Normal 2 2 2 6 18 2" xfId="4643" xr:uid="{00000000-0005-0000-0000-00000B120000}"/>
    <cellStyle name="Normal 2 2 2 6 19" xfId="4644" xr:uid="{00000000-0005-0000-0000-00000C120000}"/>
    <cellStyle name="Normal 2 2 2 6 19 2" xfId="4645" xr:uid="{00000000-0005-0000-0000-00000D120000}"/>
    <cellStyle name="Normal 2 2 2 6 2" xfId="4646" xr:uid="{00000000-0005-0000-0000-00000E120000}"/>
    <cellStyle name="Normal 2 2 2 6 2 2" xfId="4647" xr:uid="{00000000-0005-0000-0000-00000F120000}"/>
    <cellStyle name="Normal 2 2 2 6 2 3" xfId="4648" xr:uid="{00000000-0005-0000-0000-000010120000}"/>
    <cellStyle name="Normal 2 2 2 6 20" xfId="4649" xr:uid="{00000000-0005-0000-0000-000011120000}"/>
    <cellStyle name="Normal 2 2 2 6 20 2" xfId="4650" xr:uid="{00000000-0005-0000-0000-000012120000}"/>
    <cellStyle name="Normal 2 2 2 6 21" xfId="4651" xr:uid="{00000000-0005-0000-0000-000013120000}"/>
    <cellStyle name="Normal 2 2 2 6 21 2" xfId="4652" xr:uid="{00000000-0005-0000-0000-000014120000}"/>
    <cellStyle name="Normal 2 2 2 6 22" xfId="4653" xr:uid="{00000000-0005-0000-0000-000015120000}"/>
    <cellStyle name="Normal 2 2 2 6 23" xfId="4654" xr:uid="{00000000-0005-0000-0000-000016120000}"/>
    <cellStyle name="Normal 2 2 2 6 24" xfId="4655" xr:uid="{00000000-0005-0000-0000-000017120000}"/>
    <cellStyle name="Normal 2 2 2 6 25" xfId="4656" xr:uid="{00000000-0005-0000-0000-000018120000}"/>
    <cellStyle name="Normal 2 2 2 6 3" xfId="4657" xr:uid="{00000000-0005-0000-0000-000019120000}"/>
    <cellStyle name="Normal 2 2 2 6 3 2" xfId="4658" xr:uid="{00000000-0005-0000-0000-00001A120000}"/>
    <cellStyle name="Normal 2 2 2 6 4" xfId="4659" xr:uid="{00000000-0005-0000-0000-00001B120000}"/>
    <cellStyle name="Normal 2 2 2 6 4 2" xfId="4660" xr:uid="{00000000-0005-0000-0000-00001C120000}"/>
    <cellStyle name="Normal 2 2 2 6 4 3" xfId="4661" xr:uid="{00000000-0005-0000-0000-00001D120000}"/>
    <cellStyle name="Normal 2 2 2 6 5" xfId="4662" xr:uid="{00000000-0005-0000-0000-00001E120000}"/>
    <cellStyle name="Normal 2 2 2 6 5 2" xfId="4663" xr:uid="{00000000-0005-0000-0000-00001F120000}"/>
    <cellStyle name="Normal 2 2 2 6 6" xfId="4664" xr:uid="{00000000-0005-0000-0000-000020120000}"/>
    <cellStyle name="Normal 2 2 2 6 6 2" xfId="4665" xr:uid="{00000000-0005-0000-0000-000021120000}"/>
    <cellStyle name="Normal 2 2 2 6 7" xfId="4666" xr:uid="{00000000-0005-0000-0000-000022120000}"/>
    <cellStyle name="Normal 2 2 2 6 7 2" xfId="4667" xr:uid="{00000000-0005-0000-0000-000023120000}"/>
    <cellStyle name="Normal 2 2 2 6 8" xfId="4668" xr:uid="{00000000-0005-0000-0000-000024120000}"/>
    <cellStyle name="Normal 2 2 2 6 8 2" xfId="4669" xr:uid="{00000000-0005-0000-0000-000025120000}"/>
    <cellStyle name="Normal 2 2 2 6 9" xfId="4670" xr:uid="{00000000-0005-0000-0000-000026120000}"/>
    <cellStyle name="Normal 2 2 2 6 9 2" xfId="4671" xr:uid="{00000000-0005-0000-0000-000027120000}"/>
    <cellStyle name="Normal 2 2 2 60" xfId="4672" xr:uid="{00000000-0005-0000-0000-000028120000}"/>
    <cellStyle name="Normal 2 2 2 60 2" xfId="4673" xr:uid="{00000000-0005-0000-0000-000029120000}"/>
    <cellStyle name="Normal 2 2 2 61" xfId="4674" xr:uid="{00000000-0005-0000-0000-00002A120000}"/>
    <cellStyle name="Normal 2 2 2 61 2" xfId="4675" xr:uid="{00000000-0005-0000-0000-00002B120000}"/>
    <cellStyle name="Normal 2 2 2 62" xfId="4676" xr:uid="{00000000-0005-0000-0000-00002C120000}"/>
    <cellStyle name="Normal 2 2 2 62 2" xfId="4677" xr:uid="{00000000-0005-0000-0000-00002D120000}"/>
    <cellStyle name="Normal 2 2 2 63" xfId="4678" xr:uid="{00000000-0005-0000-0000-00002E120000}"/>
    <cellStyle name="Normal 2 2 2 63 2" xfId="4679" xr:uid="{00000000-0005-0000-0000-00002F120000}"/>
    <cellStyle name="Normal 2 2 2 64" xfId="4680" xr:uid="{00000000-0005-0000-0000-000030120000}"/>
    <cellStyle name="Normal 2 2 2 65" xfId="4681" xr:uid="{00000000-0005-0000-0000-000031120000}"/>
    <cellStyle name="Normal 2 2 2 66" xfId="4682" xr:uid="{00000000-0005-0000-0000-000032120000}"/>
    <cellStyle name="Normal 2 2 2 67" xfId="4683" xr:uid="{00000000-0005-0000-0000-000033120000}"/>
    <cellStyle name="Normal 2 2 2 68" xfId="4684" xr:uid="{00000000-0005-0000-0000-000034120000}"/>
    <cellStyle name="Normal 2 2 2 69" xfId="4685" xr:uid="{00000000-0005-0000-0000-000035120000}"/>
    <cellStyle name="Normal 2 2 2 7" xfId="4686" xr:uid="{00000000-0005-0000-0000-000036120000}"/>
    <cellStyle name="Normal 2 2 2 7 2" xfId="4687" xr:uid="{00000000-0005-0000-0000-000037120000}"/>
    <cellStyle name="Normal 2 2 2 7 2 2" xfId="4688" xr:uid="{00000000-0005-0000-0000-000038120000}"/>
    <cellStyle name="Normal 2 2 2 7 2 3" xfId="4689" xr:uid="{00000000-0005-0000-0000-000039120000}"/>
    <cellStyle name="Normal 2 2 2 7 3" xfId="4690" xr:uid="{00000000-0005-0000-0000-00003A120000}"/>
    <cellStyle name="Normal 2 2 2 7 4" xfId="4691" xr:uid="{00000000-0005-0000-0000-00003B120000}"/>
    <cellStyle name="Normal 2 2 2 70" xfId="4692" xr:uid="{00000000-0005-0000-0000-00003C120000}"/>
    <cellStyle name="Normal 2 2 2 71" xfId="4693" xr:uid="{00000000-0005-0000-0000-00003D120000}"/>
    <cellStyle name="Normal 2 2 2 72" xfId="4694" xr:uid="{00000000-0005-0000-0000-00003E120000}"/>
    <cellStyle name="Normal 2 2 2 73" xfId="4695" xr:uid="{00000000-0005-0000-0000-00003F120000}"/>
    <cellStyle name="Normal 2 2 2 74" xfId="4696" xr:uid="{00000000-0005-0000-0000-000040120000}"/>
    <cellStyle name="Normal 2 2 2 75" xfId="4697" xr:uid="{00000000-0005-0000-0000-000041120000}"/>
    <cellStyle name="Normal 2 2 2 76" xfId="4698" xr:uid="{00000000-0005-0000-0000-000042120000}"/>
    <cellStyle name="Normal 2 2 2 77" xfId="4699" xr:uid="{00000000-0005-0000-0000-000043120000}"/>
    <cellStyle name="Normal 2 2 2 78" xfId="4700" xr:uid="{00000000-0005-0000-0000-000044120000}"/>
    <cellStyle name="Normal 2 2 2 79" xfId="4701" xr:uid="{00000000-0005-0000-0000-000045120000}"/>
    <cellStyle name="Normal 2 2 2 8" xfId="4702" xr:uid="{00000000-0005-0000-0000-000046120000}"/>
    <cellStyle name="Normal 2 2 2 8 2" xfId="4703" xr:uid="{00000000-0005-0000-0000-000047120000}"/>
    <cellStyle name="Normal 2 2 2 8 2 2" xfId="4704" xr:uid="{00000000-0005-0000-0000-000048120000}"/>
    <cellStyle name="Normal 2 2 2 8 3" xfId="4705" xr:uid="{00000000-0005-0000-0000-000049120000}"/>
    <cellStyle name="Normal 2 2 2 80" xfId="4706" xr:uid="{00000000-0005-0000-0000-00004A120000}"/>
    <cellStyle name="Normal 2 2 2 81" xfId="4707" xr:uid="{00000000-0005-0000-0000-00004B120000}"/>
    <cellStyle name="Normal 2 2 2 82" xfId="4708" xr:uid="{00000000-0005-0000-0000-00004C120000}"/>
    <cellStyle name="Normal 2 2 2 83" xfId="4709" xr:uid="{00000000-0005-0000-0000-00004D120000}"/>
    <cellStyle name="Normal 2 2 2 84" xfId="4710" xr:uid="{00000000-0005-0000-0000-00004E120000}"/>
    <cellStyle name="Normal 2 2 2 85" xfId="4711" xr:uid="{00000000-0005-0000-0000-00004F120000}"/>
    <cellStyle name="Normal 2 2 2 86" xfId="4712" xr:uid="{00000000-0005-0000-0000-000050120000}"/>
    <cellStyle name="Normal 2 2 2 87" xfId="4713" xr:uid="{00000000-0005-0000-0000-000051120000}"/>
    <cellStyle name="Normal 2 2 2 88" xfId="4714" xr:uid="{00000000-0005-0000-0000-000052120000}"/>
    <cellStyle name="Normal 2 2 2 89" xfId="4715" xr:uid="{00000000-0005-0000-0000-000053120000}"/>
    <cellStyle name="Normal 2 2 2 9" xfId="4716" xr:uid="{00000000-0005-0000-0000-000054120000}"/>
    <cellStyle name="Normal 2 2 2 9 2" xfId="4717" xr:uid="{00000000-0005-0000-0000-000055120000}"/>
    <cellStyle name="Normal 2 2 2 9 2 2" xfId="4718" xr:uid="{00000000-0005-0000-0000-000056120000}"/>
    <cellStyle name="Normal 2 2 2 9 3" xfId="4719" xr:uid="{00000000-0005-0000-0000-000057120000}"/>
    <cellStyle name="Normal 2 2 2 90" xfId="4720" xr:uid="{00000000-0005-0000-0000-000058120000}"/>
    <cellStyle name="Normal 2 2 2 91" xfId="4721" xr:uid="{00000000-0005-0000-0000-000059120000}"/>
    <cellStyle name="Normal 2 2 2 92" xfId="4722" xr:uid="{00000000-0005-0000-0000-00005A120000}"/>
    <cellStyle name="Normal 2 2 2 93" xfId="4723" xr:uid="{00000000-0005-0000-0000-00005B120000}"/>
    <cellStyle name="Normal 2 2 2 94" xfId="4724" xr:uid="{00000000-0005-0000-0000-00005C120000}"/>
    <cellStyle name="Normal 2 2 2 94 2" xfId="4725" xr:uid="{00000000-0005-0000-0000-00005D120000}"/>
    <cellStyle name="Normal 2 2 2 95" xfId="4726" xr:uid="{00000000-0005-0000-0000-00005E120000}"/>
    <cellStyle name="Normal 2 2 2 96" xfId="4727" xr:uid="{00000000-0005-0000-0000-00005F120000}"/>
    <cellStyle name="Normal 2 2 2 97" xfId="4728" xr:uid="{00000000-0005-0000-0000-000060120000}"/>
    <cellStyle name="Normal 2 2 2 98" xfId="4729" xr:uid="{00000000-0005-0000-0000-000061120000}"/>
    <cellStyle name="Normal 2 2 2 99" xfId="4730" xr:uid="{00000000-0005-0000-0000-000062120000}"/>
    <cellStyle name="Normal 2 2 20" xfId="4731" xr:uid="{00000000-0005-0000-0000-000063120000}"/>
    <cellStyle name="Normal 2 2 20 2" xfId="4732" xr:uid="{00000000-0005-0000-0000-000064120000}"/>
    <cellStyle name="Normal 2 2 20 2 2" xfId="4733" xr:uid="{00000000-0005-0000-0000-000065120000}"/>
    <cellStyle name="Normal 2 2 20 3" xfId="4734" xr:uid="{00000000-0005-0000-0000-000066120000}"/>
    <cellStyle name="Normal 2 2 21" xfId="4735" xr:uid="{00000000-0005-0000-0000-000067120000}"/>
    <cellStyle name="Normal 2 2 21 2" xfId="4736" xr:uid="{00000000-0005-0000-0000-000068120000}"/>
    <cellStyle name="Normal 2 2 21 2 2" xfId="4737" xr:uid="{00000000-0005-0000-0000-000069120000}"/>
    <cellStyle name="Normal 2 2 21 3" xfId="4738" xr:uid="{00000000-0005-0000-0000-00006A120000}"/>
    <cellStyle name="Normal 2 2 22" xfId="4739" xr:uid="{00000000-0005-0000-0000-00006B120000}"/>
    <cellStyle name="Normal 2 2 22 2" xfId="4740" xr:uid="{00000000-0005-0000-0000-00006C120000}"/>
    <cellStyle name="Normal 2 2 22 2 2" xfId="4741" xr:uid="{00000000-0005-0000-0000-00006D120000}"/>
    <cellStyle name="Normal 2 2 22 3" xfId="4742" xr:uid="{00000000-0005-0000-0000-00006E120000}"/>
    <cellStyle name="Normal 2 2 23" xfId="4743" xr:uid="{00000000-0005-0000-0000-00006F120000}"/>
    <cellStyle name="Normal 2 2 23 2" xfId="4744" xr:uid="{00000000-0005-0000-0000-000070120000}"/>
    <cellStyle name="Normal 2 2 23 2 2" xfId="4745" xr:uid="{00000000-0005-0000-0000-000071120000}"/>
    <cellStyle name="Normal 2 2 23 3" xfId="4746" xr:uid="{00000000-0005-0000-0000-000072120000}"/>
    <cellStyle name="Normal 2 2 24" xfId="4747" xr:uid="{00000000-0005-0000-0000-000073120000}"/>
    <cellStyle name="Normal 2 2 24 2" xfId="4748" xr:uid="{00000000-0005-0000-0000-000074120000}"/>
    <cellStyle name="Normal 2 2 24 2 2" xfId="4749" xr:uid="{00000000-0005-0000-0000-000075120000}"/>
    <cellStyle name="Normal 2 2 24 3" xfId="4750" xr:uid="{00000000-0005-0000-0000-000076120000}"/>
    <cellStyle name="Normal 2 2 25" xfId="4751" xr:uid="{00000000-0005-0000-0000-000077120000}"/>
    <cellStyle name="Normal 2 2 25 2" xfId="4752" xr:uid="{00000000-0005-0000-0000-000078120000}"/>
    <cellStyle name="Normal 2 2 25 2 2" xfId="4753" xr:uid="{00000000-0005-0000-0000-000079120000}"/>
    <cellStyle name="Normal 2 2 25 3" xfId="4754" xr:uid="{00000000-0005-0000-0000-00007A120000}"/>
    <cellStyle name="Normal 2 2 26" xfId="4755" xr:uid="{00000000-0005-0000-0000-00007B120000}"/>
    <cellStyle name="Normal 2 2 26 2" xfId="4756" xr:uid="{00000000-0005-0000-0000-00007C120000}"/>
    <cellStyle name="Normal 2 2 26 2 2" xfId="4757" xr:uid="{00000000-0005-0000-0000-00007D120000}"/>
    <cellStyle name="Normal 2 2 26 3" xfId="4758" xr:uid="{00000000-0005-0000-0000-00007E120000}"/>
    <cellStyle name="Normal 2 2 27" xfId="4759" xr:uid="{00000000-0005-0000-0000-00007F120000}"/>
    <cellStyle name="Normal 2 2 27 2" xfId="4760" xr:uid="{00000000-0005-0000-0000-000080120000}"/>
    <cellStyle name="Normal 2 2 27 2 2" xfId="4761" xr:uid="{00000000-0005-0000-0000-000081120000}"/>
    <cellStyle name="Normal 2 2 27 3" xfId="4762" xr:uid="{00000000-0005-0000-0000-000082120000}"/>
    <cellStyle name="Normal 2 2 28" xfId="4763" xr:uid="{00000000-0005-0000-0000-000083120000}"/>
    <cellStyle name="Normal 2 2 28 2" xfId="4764" xr:uid="{00000000-0005-0000-0000-000084120000}"/>
    <cellStyle name="Normal 2 2 28 2 2" xfId="4765" xr:uid="{00000000-0005-0000-0000-000085120000}"/>
    <cellStyle name="Normal 2 2 28 3" xfId="4766" xr:uid="{00000000-0005-0000-0000-000086120000}"/>
    <cellStyle name="Normal 2 2 29" xfId="4767" xr:uid="{00000000-0005-0000-0000-000087120000}"/>
    <cellStyle name="Normal 2 2 29 2" xfId="4768" xr:uid="{00000000-0005-0000-0000-000088120000}"/>
    <cellStyle name="Normal 2 2 29 2 2" xfId="4769" xr:uid="{00000000-0005-0000-0000-000089120000}"/>
    <cellStyle name="Normal 2 2 29 3" xfId="4770" xr:uid="{00000000-0005-0000-0000-00008A120000}"/>
    <cellStyle name="Normal 2 2 3" xfId="4771" xr:uid="{00000000-0005-0000-0000-00008B120000}"/>
    <cellStyle name="Normal 2 2 3 2" xfId="4772" xr:uid="{00000000-0005-0000-0000-00008C120000}"/>
    <cellStyle name="Normal 2 2 3 2 2" xfId="4773" xr:uid="{00000000-0005-0000-0000-00008D120000}"/>
    <cellStyle name="Normal 2 2 3 2 3" xfId="4774" xr:uid="{00000000-0005-0000-0000-00008E120000}"/>
    <cellStyle name="Normal 2 2 3 3" xfId="4775" xr:uid="{00000000-0005-0000-0000-00008F120000}"/>
    <cellStyle name="Normal 2 2 3 3 2" xfId="4776" xr:uid="{00000000-0005-0000-0000-000090120000}"/>
    <cellStyle name="Normal 2 2 3 4" xfId="4777" xr:uid="{00000000-0005-0000-0000-000091120000}"/>
    <cellStyle name="Normal 2 2 3 5" xfId="4778" xr:uid="{00000000-0005-0000-0000-000092120000}"/>
    <cellStyle name="Normal 2 2 3 6" xfId="4779" xr:uid="{00000000-0005-0000-0000-000093120000}"/>
    <cellStyle name="Normal 2 2 3 7" xfId="4780" xr:uid="{00000000-0005-0000-0000-000094120000}"/>
    <cellStyle name="Normal 2 2 30" xfId="4781" xr:uid="{00000000-0005-0000-0000-000095120000}"/>
    <cellStyle name="Normal 2 2 30 2" xfId="4782" xr:uid="{00000000-0005-0000-0000-000096120000}"/>
    <cellStyle name="Normal 2 2 30 2 2" xfId="4783" xr:uid="{00000000-0005-0000-0000-000097120000}"/>
    <cellStyle name="Normal 2 2 30 3" xfId="4784" xr:uid="{00000000-0005-0000-0000-000098120000}"/>
    <cellStyle name="Normal 2 2 31" xfId="4785" xr:uid="{00000000-0005-0000-0000-000099120000}"/>
    <cellStyle name="Normal 2 2 31 2" xfId="4786" xr:uid="{00000000-0005-0000-0000-00009A120000}"/>
    <cellStyle name="Normal 2 2 31 2 2" xfId="4787" xr:uid="{00000000-0005-0000-0000-00009B120000}"/>
    <cellStyle name="Normal 2 2 31 3" xfId="4788" xr:uid="{00000000-0005-0000-0000-00009C120000}"/>
    <cellStyle name="Normal 2 2 32" xfId="4789" xr:uid="{00000000-0005-0000-0000-00009D120000}"/>
    <cellStyle name="Normal 2 2 32 2" xfId="4790" xr:uid="{00000000-0005-0000-0000-00009E120000}"/>
    <cellStyle name="Normal 2 2 32 2 2" xfId="4791" xr:uid="{00000000-0005-0000-0000-00009F120000}"/>
    <cellStyle name="Normal 2 2 32 3" xfId="4792" xr:uid="{00000000-0005-0000-0000-0000A0120000}"/>
    <cellStyle name="Normal 2 2 33" xfId="4793" xr:uid="{00000000-0005-0000-0000-0000A1120000}"/>
    <cellStyle name="Normal 2 2 33 2" xfId="4794" xr:uid="{00000000-0005-0000-0000-0000A2120000}"/>
    <cellStyle name="Normal 2 2 33 2 2" xfId="4795" xr:uid="{00000000-0005-0000-0000-0000A3120000}"/>
    <cellStyle name="Normal 2 2 33 3" xfId="4796" xr:uid="{00000000-0005-0000-0000-0000A4120000}"/>
    <cellStyle name="Normal 2 2 34" xfId="4797" xr:uid="{00000000-0005-0000-0000-0000A5120000}"/>
    <cellStyle name="Normal 2 2 34 2" xfId="4798" xr:uid="{00000000-0005-0000-0000-0000A6120000}"/>
    <cellStyle name="Normal 2 2 34 2 2" xfId="4799" xr:uid="{00000000-0005-0000-0000-0000A7120000}"/>
    <cellStyle name="Normal 2 2 34 3" xfId="4800" xr:uid="{00000000-0005-0000-0000-0000A8120000}"/>
    <cellStyle name="Normal 2 2 35" xfId="4801" xr:uid="{00000000-0005-0000-0000-0000A9120000}"/>
    <cellStyle name="Normal 2 2 35 2" xfId="4802" xr:uid="{00000000-0005-0000-0000-0000AA120000}"/>
    <cellStyle name="Normal 2 2 35 2 2" xfId="4803" xr:uid="{00000000-0005-0000-0000-0000AB120000}"/>
    <cellStyle name="Normal 2 2 35 3" xfId="4804" xr:uid="{00000000-0005-0000-0000-0000AC120000}"/>
    <cellStyle name="Normal 2 2 36" xfId="4805" xr:uid="{00000000-0005-0000-0000-0000AD120000}"/>
    <cellStyle name="Normal 2 2 36 2" xfId="4806" xr:uid="{00000000-0005-0000-0000-0000AE120000}"/>
    <cellStyle name="Normal 2 2 36 2 2" xfId="4807" xr:uid="{00000000-0005-0000-0000-0000AF120000}"/>
    <cellStyle name="Normal 2 2 36 3" xfId="4808" xr:uid="{00000000-0005-0000-0000-0000B0120000}"/>
    <cellStyle name="Normal 2 2 37" xfId="4809" xr:uid="{00000000-0005-0000-0000-0000B1120000}"/>
    <cellStyle name="Normal 2 2 37 2" xfId="4810" xr:uid="{00000000-0005-0000-0000-0000B2120000}"/>
    <cellStyle name="Normal 2 2 37 2 2" xfId="4811" xr:uid="{00000000-0005-0000-0000-0000B3120000}"/>
    <cellStyle name="Normal 2 2 37 3" xfId="4812" xr:uid="{00000000-0005-0000-0000-0000B4120000}"/>
    <cellStyle name="Normal 2 2 38" xfId="4813" xr:uid="{00000000-0005-0000-0000-0000B5120000}"/>
    <cellStyle name="Normal 2 2 38 2" xfId="4814" xr:uid="{00000000-0005-0000-0000-0000B6120000}"/>
    <cellStyle name="Normal 2 2 38 2 2" xfId="4815" xr:uid="{00000000-0005-0000-0000-0000B7120000}"/>
    <cellStyle name="Normal 2 2 38 3" xfId="4816" xr:uid="{00000000-0005-0000-0000-0000B8120000}"/>
    <cellStyle name="Normal 2 2 39" xfId="4817" xr:uid="{00000000-0005-0000-0000-0000B9120000}"/>
    <cellStyle name="Normal 2 2 39 2" xfId="4818" xr:uid="{00000000-0005-0000-0000-0000BA120000}"/>
    <cellStyle name="Normal 2 2 39 2 2" xfId="4819" xr:uid="{00000000-0005-0000-0000-0000BB120000}"/>
    <cellStyle name="Normal 2 2 39 3" xfId="4820" xr:uid="{00000000-0005-0000-0000-0000BC120000}"/>
    <cellStyle name="Normal 2 2 4" xfId="4821" xr:uid="{00000000-0005-0000-0000-0000BD120000}"/>
    <cellStyle name="Normal 2 2 4 10" xfId="4822" xr:uid="{00000000-0005-0000-0000-0000BE120000}"/>
    <cellStyle name="Normal 2 2 4 11" xfId="4823" xr:uid="{00000000-0005-0000-0000-0000BF120000}"/>
    <cellStyle name="Normal 2 2 4 12" xfId="4824" xr:uid="{00000000-0005-0000-0000-0000C0120000}"/>
    <cellStyle name="Normal 2 2 4 13" xfId="4825" xr:uid="{00000000-0005-0000-0000-0000C1120000}"/>
    <cellStyle name="Normal 2 2 4 14" xfId="4826" xr:uid="{00000000-0005-0000-0000-0000C2120000}"/>
    <cellStyle name="Normal 2 2 4 15" xfId="4827" xr:uid="{00000000-0005-0000-0000-0000C3120000}"/>
    <cellStyle name="Normal 2 2 4 16" xfId="4828" xr:uid="{00000000-0005-0000-0000-0000C4120000}"/>
    <cellStyle name="Normal 2 2 4 17" xfId="4829" xr:uid="{00000000-0005-0000-0000-0000C5120000}"/>
    <cellStyle name="Normal 2 2 4 18" xfId="4830" xr:uid="{00000000-0005-0000-0000-0000C6120000}"/>
    <cellStyle name="Normal 2 2 4 19" xfId="4831" xr:uid="{00000000-0005-0000-0000-0000C7120000}"/>
    <cellStyle name="Normal 2 2 4 2" xfId="4832" xr:uid="{00000000-0005-0000-0000-0000C8120000}"/>
    <cellStyle name="Normal 2 2 4 2 2" xfId="4833" xr:uid="{00000000-0005-0000-0000-0000C9120000}"/>
    <cellStyle name="Normal 2 2 4 20" xfId="4834" xr:uid="{00000000-0005-0000-0000-0000CA120000}"/>
    <cellStyle name="Normal 2 2 4 21" xfId="4835" xr:uid="{00000000-0005-0000-0000-0000CB120000}"/>
    <cellStyle name="Normal 2 2 4 22" xfId="4836" xr:uid="{00000000-0005-0000-0000-0000CC120000}"/>
    <cellStyle name="Normal 2 2 4 23" xfId="4837" xr:uid="{00000000-0005-0000-0000-0000CD120000}"/>
    <cellStyle name="Normal 2 2 4 24" xfId="4838" xr:uid="{00000000-0005-0000-0000-0000CE120000}"/>
    <cellStyle name="Normal 2 2 4 25" xfId="4839" xr:uid="{00000000-0005-0000-0000-0000CF120000}"/>
    <cellStyle name="Normal 2 2 4 26" xfId="4840" xr:uid="{00000000-0005-0000-0000-0000D0120000}"/>
    <cellStyle name="Normal 2 2 4 27" xfId="4841" xr:uid="{00000000-0005-0000-0000-0000D1120000}"/>
    <cellStyle name="Normal 2 2 4 28" xfId="4842" xr:uid="{00000000-0005-0000-0000-0000D2120000}"/>
    <cellStyle name="Normal 2 2 4 29" xfId="4843" xr:uid="{00000000-0005-0000-0000-0000D3120000}"/>
    <cellStyle name="Normal 2 2 4 3" xfId="4844" xr:uid="{00000000-0005-0000-0000-0000D4120000}"/>
    <cellStyle name="Normal 2 2 4 30" xfId="4845" xr:uid="{00000000-0005-0000-0000-0000D5120000}"/>
    <cellStyle name="Normal 2 2 4 31" xfId="4846" xr:uid="{00000000-0005-0000-0000-0000D6120000}"/>
    <cellStyle name="Normal 2 2 4 32" xfId="4847" xr:uid="{00000000-0005-0000-0000-0000D7120000}"/>
    <cellStyle name="Normal 2 2 4 33" xfId="4848" xr:uid="{00000000-0005-0000-0000-0000D8120000}"/>
    <cellStyle name="Normal 2 2 4 34" xfId="4849" xr:uid="{00000000-0005-0000-0000-0000D9120000}"/>
    <cellStyle name="Normal 2 2 4 35" xfId="4850" xr:uid="{00000000-0005-0000-0000-0000DA120000}"/>
    <cellStyle name="Normal 2 2 4 36" xfId="4851" xr:uid="{00000000-0005-0000-0000-0000DB120000}"/>
    <cellStyle name="Normal 2 2 4 37" xfId="4852" xr:uid="{00000000-0005-0000-0000-0000DC120000}"/>
    <cellStyle name="Normal 2 2 4 38" xfId="4853" xr:uid="{00000000-0005-0000-0000-0000DD120000}"/>
    <cellStyle name="Normal 2 2 4 39" xfId="4854" xr:uid="{00000000-0005-0000-0000-0000DE120000}"/>
    <cellStyle name="Normal 2 2 4 4" xfId="4855" xr:uid="{00000000-0005-0000-0000-0000DF120000}"/>
    <cellStyle name="Normal 2 2 4 40" xfId="4856" xr:uid="{00000000-0005-0000-0000-0000E0120000}"/>
    <cellStyle name="Normal 2 2 4 41" xfId="4857" xr:uid="{00000000-0005-0000-0000-0000E1120000}"/>
    <cellStyle name="Normal 2 2 4 42" xfId="4858" xr:uid="{00000000-0005-0000-0000-0000E2120000}"/>
    <cellStyle name="Normal 2 2 4 43" xfId="4859" xr:uid="{00000000-0005-0000-0000-0000E3120000}"/>
    <cellStyle name="Normal 2 2 4 44" xfId="4860" xr:uid="{00000000-0005-0000-0000-0000E4120000}"/>
    <cellStyle name="Normal 2 2 4 45" xfId="4861" xr:uid="{00000000-0005-0000-0000-0000E5120000}"/>
    <cellStyle name="Normal 2 2 4 46" xfId="4862" xr:uid="{00000000-0005-0000-0000-0000E6120000}"/>
    <cellStyle name="Normal 2 2 4 47" xfId="4863" xr:uid="{00000000-0005-0000-0000-0000E7120000}"/>
    <cellStyle name="Normal 2 2 4 48" xfId="4864" xr:uid="{00000000-0005-0000-0000-0000E8120000}"/>
    <cellStyle name="Normal 2 2 4 49" xfId="4865" xr:uid="{00000000-0005-0000-0000-0000E9120000}"/>
    <cellStyle name="Normal 2 2 4 5" xfId="4866" xr:uid="{00000000-0005-0000-0000-0000EA120000}"/>
    <cellStyle name="Normal 2 2 4 50" xfId="4867" xr:uid="{00000000-0005-0000-0000-0000EB120000}"/>
    <cellStyle name="Normal 2 2 4 51" xfId="4868" xr:uid="{00000000-0005-0000-0000-0000EC120000}"/>
    <cellStyle name="Normal 2 2 4 52" xfId="4869" xr:uid="{00000000-0005-0000-0000-0000ED120000}"/>
    <cellStyle name="Normal 2 2 4 53" xfId="4870" xr:uid="{00000000-0005-0000-0000-0000EE120000}"/>
    <cellStyle name="Normal 2 2 4 54" xfId="4871" xr:uid="{00000000-0005-0000-0000-0000EF120000}"/>
    <cellStyle name="Normal 2 2 4 55" xfId="4872" xr:uid="{00000000-0005-0000-0000-0000F0120000}"/>
    <cellStyle name="Normal 2 2 4 56" xfId="4873" xr:uid="{00000000-0005-0000-0000-0000F1120000}"/>
    <cellStyle name="Normal 2 2 4 57" xfId="4874" xr:uid="{00000000-0005-0000-0000-0000F2120000}"/>
    <cellStyle name="Normal 2 2 4 58" xfId="4875" xr:uid="{00000000-0005-0000-0000-0000F3120000}"/>
    <cellStyle name="Normal 2 2 4 59" xfId="4876" xr:uid="{00000000-0005-0000-0000-0000F4120000}"/>
    <cellStyle name="Normal 2 2 4 6" xfId="4877" xr:uid="{00000000-0005-0000-0000-0000F5120000}"/>
    <cellStyle name="Normal 2 2 4 60" xfId="4878" xr:uid="{00000000-0005-0000-0000-0000F6120000}"/>
    <cellStyle name="Normal 2 2 4 61" xfId="4879" xr:uid="{00000000-0005-0000-0000-0000F7120000}"/>
    <cellStyle name="Normal 2 2 4 62" xfId="4880" xr:uid="{00000000-0005-0000-0000-0000F8120000}"/>
    <cellStyle name="Normal 2 2 4 63" xfId="4881" xr:uid="{00000000-0005-0000-0000-0000F9120000}"/>
    <cellStyle name="Normal 2 2 4 64" xfId="4882" xr:uid="{00000000-0005-0000-0000-0000FA120000}"/>
    <cellStyle name="Normal 2 2 4 65" xfId="4883" xr:uid="{00000000-0005-0000-0000-0000FB120000}"/>
    <cellStyle name="Normal 2 2 4 66" xfId="4884" xr:uid="{00000000-0005-0000-0000-0000FC120000}"/>
    <cellStyle name="Normal 2 2 4 67" xfId="4885" xr:uid="{00000000-0005-0000-0000-0000FD120000}"/>
    <cellStyle name="Normal 2 2 4 68" xfId="4886" xr:uid="{00000000-0005-0000-0000-0000FE120000}"/>
    <cellStyle name="Normal 2 2 4 69" xfId="4887" xr:uid="{00000000-0005-0000-0000-0000FF120000}"/>
    <cellStyle name="Normal 2 2 4 7" xfId="4888" xr:uid="{00000000-0005-0000-0000-000000130000}"/>
    <cellStyle name="Normal 2 2 4 70" xfId="4889" xr:uid="{00000000-0005-0000-0000-000001130000}"/>
    <cellStyle name="Normal 2 2 4 71" xfId="4890" xr:uid="{00000000-0005-0000-0000-000002130000}"/>
    <cellStyle name="Normal 2 2 4 72" xfId="4891" xr:uid="{00000000-0005-0000-0000-000003130000}"/>
    <cellStyle name="Normal 2 2 4 73" xfId="4892" xr:uid="{00000000-0005-0000-0000-000004130000}"/>
    <cellStyle name="Normal 2 2 4 74" xfId="4893" xr:uid="{00000000-0005-0000-0000-000005130000}"/>
    <cellStyle name="Normal 2 2 4 75" xfId="4894" xr:uid="{00000000-0005-0000-0000-000006130000}"/>
    <cellStyle name="Normal 2 2 4 76" xfId="4895" xr:uid="{00000000-0005-0000-0000-000007130000}"/>
    <cellStyle name="Normal 2 2 4 77" xfId="4896" xr:uid="{00000000-0005-0000-0000-000008130000}"/>
    <cellStyle name="Normal 2 2 4 78" xfId="4897" xr:uid="{00000000-0005-0000-0000-000009130000}"/>
    <cellStyle name="Normal 2 2 4 79" xfId="4898" xr:uid="{00000000-0005-0000-0000-00000A130000}"/>
    <cellStyle name="Normal 2 2 4 8" xfId="4899" xr:uid="{00000000-0005-0000-0000-00000B130000}"/>
    <cellStyle name="Normal 2 2 4 80" xfId="4900" xr:uid="{00000000-0005-0000-0000-00000C130000}"/>
    <cellStyle name="Normal 2 2 4 81" xfId="4901" xr:uid="{00000000-0005-0000-0000-00000D130000}"/>
    <cellStyle name="Normal 2 2 4 82" xfId="4902" xr:uid="{00000000-0005-0000-0000-00000E130000}"/>
    <cellStyle name="Normal 2 2 4 83" xfId="4903" xr:uid="{00000000-0005-0000-0000-00000F130000}"/>
    <cellStyle name="Normal 2 2 4 84" xfId="4904" xr:uid="{00000000-0005-0000-0000-000010130000}"/>
    <cellStyle name="Normal 2 2 4 85" xfId="4905" xr:uid="{00000000-0005-0000-0000-000011130000}"/>
    <cellStyle name="Normal 2 2 4 86" xfId="4906" xr:uid="{00000000-0005-0000-0000-000012130000}"/>
    <cellStyle name="Normal 2 2 4 87" xfId="4907" xr:uid="{00000000-0005-0000-0000-000013130000}"/>
    <cellStyle name="Normal 2 2 4 88" xfId="4908" xr:uid="{00000000-0005-0000-0000-000014130000}"/>
    <cellStyle name="Normal 2 2 4 89" xfId="4909" xr:uid="{00000000-0005-0000-0000-000015130000}"/>
    <cellStyle name="Normal 2 2 4 9" xfId="4910" xr:uid="{00000000-0005-0000-0000-000016130000}"/>
    <cellStyle name="Normal 2 2 4 90" xfId="4911" xr:uid="{00000000-0005-0000-0000-000017130000}"/>
    <cellStyle name="Normal 2 2 4 91" xfId="4912" xr:uid="{00000000-0005-0000-0000-000018130000}"/>
    <cellStyle name="Normal 2 2 40" xfId="4913" xr:uid="{00000000-0005-0000-0000-000019130000}"/>
    <cellStyle name="Normal 2 2 40 2" xfId="4914" xr:uid="{00000000-0005-0000-0000-00001A130000}"/>
    <cellStyle name="Normal 2 2 40 2 2" xfId="4915" xr:uid="{00000000-0005-0000-0000-00001B130000}"/>
    <cellStyle name="Normal 2 2 40 3" xfId="4916" xr:uid="{00000000-0005-0000-0000-00001C130000}"/>
    <cellStyle name="Normal 2 2 41" xfId="4917" xr:uid="{00000000-0005-0000-0000-00001D130000}"/>
    <cellStyle name="Normal 2 2 41 2" xfId="4918" xr:uid="{00000000-0005-0000-0000-00001E130000}"/>
    <cellStyle name="Normal 2 2 41 2 2" xfId="4919" xr:uid="{00000000-0005-0000-0000-00001F130000}"/>
    <cellStyle name="Normal 2 2 41 3" xfId="4920" xr:uid="{00000000-0005-0000-0000-000020130000}"/>
    <cellStyle name="Normal 2 2 42" xfId="4921" xr:uid="{00000000-0005-0000-0000-000021130000}"/>
    <cellStyle name="Normal 2 2 42 2" xfId="4922" xr:uid="{00000000-0005-0000-0000-000022130000}"/>
    <cellStyle name="Normal 2 2 42 2 2" xfId="4923" xr:uid="{00000000-0005-0000-0000-000023130000}"/>
    <cellStyle name="Normal 2 2 42 3" xfId="4924" xr:uid="{00000000-0005-0000-0000-000024130000}"/>
    <cellStyle name="Normal 2 2 43" xfId="4925" xr:uid="{00000000-0005-0000-0000-000025130000}"/>
    <cellStyle name="Normal 2 2 43 2" xfId="4926" xr:uid="{00000000-0005-0000-0000-000026130000}"/>
    <cellStyle name="Normal 2 2 43 2 2" xfId="4927" xr:uid="{00000000-0005-0000-0000-000027130000}"/>
    <cellStyle name="Normal 2 2 43 3" xfId="4928" xr:uid="{00000000-0005-0000-0000-000028130000}"/>
    <cellStyle name="Normal 2 2 44" xfId="4929" xr:uid="{00000000-0005-0000-0000-000029130000}"/>
    <cellStyle name="Normal 2 2 44 2" xfId="4930" xr:uid="{00000000-0005-0000-0000-00002A130000}"/>
    <cellStyle name="Normal 2 2 44 2 2" xfId="4931" xr:uid="{00000000-0005-0000-0000-00002B130000}"/>
    <cellStyle name="Normal 2 2 44 3" xfId="4932" xr:uid="{00000000-0005-0000-0000-00002C130000}"/>
    <cellStyle name="Normal 2 2 45" xfId="4933" xr:uid="{00000000-0005-0000-0000-00002D130000}"/>
    <cellStyle name="Normal 2 2 45 2" xfId="4934" xr:uid="{00000000-0005-0000-0000-00002E130000}"/>
    <cellStyle name="Normal 2 2 45 2 2" xfId="4935" xr:uid="{00000000-0005-0000-0000-00002F130000}"/>
    <cellStyle name="Normal 2 2 45 3" xfId="4936" xr:uid="{00000000-0005-0000-0000-000030130000}"/>
    <cellStyle name="Normal 2 2 46" xfId="4937" xr:uid="{00000000-0005-0000-0000-000031130000}"/>
    <cellStyle name="Normal 2 2 46 2" xfId="4938" xr:uid="{00000000-0005-0000-0000-000032130000}"/>
    <cellStyle name="Normal 2 2 46 2 2" xfId="4939" xr:uid="{00000000-0005-0000-0000-000033130000}"/>
    <cellStyle name="Normal 2 2 46 3" xfId="4940" xr:uid="{00000000-0005-0000-0000-000034130000}"/>
    <cellStyle name="Normal 2 2 47" xfId="4941" xr:uid="{00000000-0005-0000-0000-000035130000}"/>
    <cellStyle name="Normal 2 2 47 2" xfId="4942" xr:uid="{00000000-0005-0000-0000-000036130000}"/>
    <cellStyle name="Normal 2 2 47 2 2" xfId="4943" xr:uid="{00000000-0005-0000-0000-000037130000}"/>
    <cellStyle name="Normal 2 2 47 3" xfId="4944" xr:uid="{00000000-0005-0000-0000-000038130000}"/>
    <cellStyle name="Normal 2 2 48" xfId="4945" xr:uid="{00000000-0005-0000-0000-000039130000}"/>
    <cellStyle name="Normal 2 2 48 2" xfId="4946" xr:uid="{00000000-0005-0000-0000-00003A130000}"/>
    <cellStyle name="Normal 2 2 48 2 2" xfId="4947" xr:uid="{00000000-0005-0000-0000-00003B130000}"/>
    <cellStyle name="Normal 2 2 48 3" xfId="4948" xr:uid="{00000000-0005-0000-0000-00003C130000}"/>
    <cellStyle name="Normal 2 2 49" xfId="4949" xr:uid="{00000000-0005-0000-0000-00003D130000}"/>
    <cellStyle name="Normal 2 2 49 2" xfId="4950" xr:uid="{00000000-0005-0000-0000-00003E130000}"/>
    <cellStyle name="Normal 2 2 49 2 2" xfId="4951" xr:uid="{00000000-0005-0000-0000-00003F130000}"/>
    <cellStyle name="Normal 2 2 49 3" xfId="4952" xr:uid="{00000000-0005-0000-0000-000040130000}"/>
    <cellStyle name="Normal 2 2 5" xfId="4953" xr:uid="{00000000-0005-0000-0000-000041130000}"/>
    <cellStyle name="Normal 2 2 5 10" xfId="4954" xr:uid="{00000000-0005-0000-0000-000042130000}"/>
    <cellStyle name="Normal 2 2 5 11" xfId="4955" xr:uid="{00000000-0005-0000-0000-000043130000}"/>
    <cellStyle name="Normal 2 2 5 12" xfId="4956" xr:uid="{00000000-0005-0000-0000-000044130000}"/>
    <cellStyle name="Normal 2 2 5 13" xfId="4957" xr:uid="{00000000-0005-0000-0000-000045130000}"/>
    <cellStyle name="Normal 2 2 5 14" xfId="4958" xr:uid="{00000000-0005-0000-0000-000046130000}"/>
    <cellStyle name="Normal 2 2 5 15" xfId="4959" xr:uid="{00000000-0005-0000-0000-000047130000}"/>
    <cellStyle name="Normal 2 2 5 16" xfId="4960" xr:uid="{00000000-0005-0000-0000-000048130000}"/>
    <cellStyle name="Normal 2 2 5 17" xfId="4961" xr:uid="{00000000-0005-0000-0000-000049130000}"/>
    <cellStyle name="Normal 2 2 5 18" xfId="4962" xr:uid="{00000000-0005-0000-0000-00004A130000}"/>
    <cellStyle name="Normal 2 2 5 19" xfId="4963" xr:uid="{00000000-0005-0000-0000-00004B130000}"/>
    <cellStyle name="Normal 2 2 5 2" xfId="4964" xr:uid="{00000000-0005-0000-0000-00004C130000}"/>
    <cellStyle name="Normal 2 2 5 2 2" xfId="4965" xr:uid="{00000000-0005-0000-0000-00004D130000}"/>
    <cellStyle name="Normal 2 2 5 20" xfId="4966" xr:uid="{00000000-0005-0000-0000-00004E130000}"/>
    <cellStyle name="Normal 2 2 5 21" xfId="4967" xr:uid="{00000000-0005-0000-0000-00004F130000}"/>
    <cellStyle name="Normal 2 2 5 22" xfId="4968" xr:uid="{00000000-0005-0000-0000-000050130000}"/>
    <cellStyle name="Normal 2 2 5 23" xfId="4969" xr:uid="{00000000-0005-0000-0000-000051130000}"/>
    <cellStyle name="Normal 2 2 5 24" xfId="4970" xr:uid="{00000000-0005-0000-0000-000052130000}"/>
    <cellStyle name="Normal 2 2 5 25" xfId="4971" xr:uid="{00000000-0005-0000-0000-000053130000}"/>
    <cellStyle name="Normal 2 2 5 26" xfId="4972" xr:uid="{00000000-0005-0000-0000-000054130000}"/>
    <cellStyle name="Normal 2 2 5 27" xfId="4973" xr:uid="{00000000-0005-0000-0000-000055130000}"/>
    <cellStyle name="Normal 2 2 5 28" xfId="4974" xr:uid="{00000000-0005-0000-0000-000056130000}"/>
    <cellStyle name="Normal 2 2 5 29" xfId="4975" xr:uid="{00000000-0005-0000-0000-000057130000}"/>
    <cellStyle name="Normal 2 2 5 3" xfId="4976" xr:uid="{00000000-0005-0000-0000-000058130000}"/>
    <cellStyle name="Normal 2 2 5 30" xfId="4977" xr:uid="{00000000-0005-0000-0000-000059130000}"/>
    <cellStyle name="Normal 2 2 5 31" xfId="4978" xr:uid="{00000000-0005-0000-0000-00005A130000}"/>
    <cellStyle name="Normal 2 2 5 32" xfId="4979" xr:uid="{00000000-0005-0000-0000-00005B130000}"/>
    <cellStyle name="Normal 2 2 5 33" xfId="4980" xr:uid="{00000000-0005-0000-0000-00005C130000}"/>
    <cellStyle name="Normal 2 2 5 34" xfId="4981" xr:uid="{00000000-0005-0000-0000-00005D130000}"/>
    <cellStyle name="Normal 2 2 5 35" xfId="4982" xr:uid="{00000000-0005-0000-0000-00005E130000}"/>
    <cellStyle name="Normal 2 2 5 36" xfId="4983" xr:uid="{00000000-0005-0000-0000-00005F130000}"/>
    <cellStyle name="Normal 2 2 5 37" xfId="4984" xr:uid="{00000000-0005-0000-0000-000060130000}"/>
    <cellStyle name="Normal 2 2 5 38" xfId="4985" xr:uid="{00000000-0005-0000-0000-000061130000}"/>
    <cellStyle name="Normal 2 2 5 39" xfId="4986" xr:uid="{00000000-0005-0000-0000-000062130000}"/>
    <cellStyle name="Normal 2 2 5 4" xfId="4987" xr:uid="{00000000-0005-0000-0000-000063130000}"/>
    <cellStyle name="Normal 2 2 5 40" xfId="4988" xr:uid="{00000000-0005-0000-0000-000064130000}"/>
    <cellStyle name="Normal 2 2 5 41" xfId="4989" xr:uid="{00000000-0005-0000-0000-000065130000}"/>
    <cellStyle name="Normal 2 2 5 42" xfId="4990" xr:uid="{00000000-0005-0000-0000-000066130000}"/>
    <cellStyle name="Normal 2 2 5 43" xfId="4991" xr:uid="{00000000-0005-0000-0000-000067130000}"/>
    <cellStyle name="Normal 2 2 5 44" xfId="4992" xr:uid="{00000000-0005-0000-0000-000068130000}"/>
    <cellStyle name="Normal 2 2 5 45" xfId="4993" xr:uid="{00000000-0005-0000-0000-000069130000}"/>
    <cellStyle name="Normal 2 2 5 46" xfId="4994" xr:uid="{00000000-0005-0000-0000-00006A130000}"/>
    <cellStyle name="Normal 2 2 5 47" xfId="4995" xr:uid="{00000000-0005-0000-0000-00006B130000}"/>
    <cellStyle name="Normal 2 2 5 48" xfId="4996" xr:uid="{00000000-0005-0000-0000-00006C130000}"/>
    <cellStyle name="Normal 2 2 5 49" xfId="4997" xr:uid="{00000000-0005-0000-0000-00006D130000}"/>
    <cellStyle name="Normal 2 2 5 5" xfId="4998" xr:uid="{00000000-0005-0000-0000-00006E130000}"/>
    <cellStyle name="Normal 2 2 5 50" xfId="4999" xr:uid="{00000000-0005-0000-0000-00006F130000}"/>
    <cellStyle name="Normal 2 2 5 51" xfId="5000" xr:uid="{00000000-0005-0000-0000-000070130000}"/>
    <cellStyle name="Normal 2 2 5 52" xfId="5001" xr:uid="{00000000-0005-0000-0000-000071130000}"/>
    <cellStyle name="Normal 2 2 5 53" xfId="5002" xr:uid="{00000000-0005-0000-0000-000072130000}"/>
    <cellStyle name="Normal 2 2 5 54" xfId="5003" xr:uid="{00000000-0005-0000-0000-000073130000}"/>
    <cellStyle name="Normal 2 2 5 55" xfId="5004" xr:uid="{00000000-0005-0000-0000-000074130000}"/>
    <cellStyle name="Normal 2 2 5 56" xfId="5005" xr:uid="{00000000-0005-0000-0000-000075130000}"/>
    <cellStyle name="Normal 2 2 5 57" xfId="5006" xr:uid="{00000000-0005-0000-0000-000076130000}"/>
    <cellStyle name="Normal 2 2 5 58" xfId="5007" xr:uid="{00000000-0005-0000-0000-000077130000}"/>
    <cellStyle name="Normal 2 2 5 59" xfId="5008" xr:uid="{00000000-0005-0000-0000-000078130000}"/>
    <cellStyle name="Normal 2 2 5 6" xfId="5009" xr:uid="{00000000-0005-0000-0000-000079130000}"/>
    <cellStyle name="Normal 2 2 5 60" xfId="5010" xr:uid="{00000000-0005-0000-0000-00007A130000}"/>
    <cellStyle name="Normal 2 2 5 61" xfId="5011" xr:uid="{00000000-0005-0000-0000-00007B130000}"/>
    <cellStyle name="Normal 2 2 5 62" xfId="5012" xr:uid="{00000000-0005-0000-0000-00007C130000}"/>
    <cellStyle name="Normal 2 2 5 63" xfId="5013" xr:uid="{00000000-0005-0000-0000-00007D130000}"/>
    <cellStyle name="Normal 2 2 5 64" xfId="5014" xr:uid="{00000000-0005-0000-0000-00007E130000}"/>
    <cellStyle name="Normal 2 2 5 65" xfId="5015" xr:uid="{00000000-0005-0000-0000-00007F130000}"/>
    <cellStyle name="Normal 2 2 5 66" xfId="5016" xr:uid="{00000000-0005-0000-0000-000080130000}"/>
    <cellStyle name="Normal 2 2 5 67" xfId="5017" xr:uid="{00000000-0005-0000-0000-000081130000}"/>
    <cellStyle name="Normal 2 2 5 68" xfId="5018" xr:uid="{00000000-0005-0000-0000-000082130000}"/>
    <cellStyle name="Normal 2 2 5 69" xfId="5019" xr:uid="{00000000-0005-0000-0000-000083130000}"/>
    <cellStyle name="Normal 2 2 5 7" xfId="5020" xr:uid="{00000000-0005-0000-0000-000084130000}"/>
    <cellStyle name="Normal 2 2 5 70" xfId="5021" xr:uid="{00000000-0005-0000-0000-000085130000}"/>
    <cellStyle name="Normal 2 2 5 71" xfId="5022" xr:uid="{00000000-0005-0000-0000-000086130000}"/>
    <cellStyle name="Normal 2 2 5 72" xfId="5023" xr:uid="{00000000-0005-0000-0000-000087130000}"/>
    <cellStyle name="Normal 2 2 5 73" xfId="5024" xr:uid="{00000000-0005-0000-0000-000088130000}"/>
    <cellStyle name="Normal 2 2 5 74" xfId="5025" xr:uid="{00000000-0005-0000-0000-000089130000}"/>
    <cellStyle name="Normal 2 2 5 75" xfId="5026" xr:uid="{00000000-0005-0000-0000-00008A130000}"/>
    <cellStyle name="Normal 2 2 5 76" xfId="5027" xr:uid="{00000000-0005-0000-0000-00008B130000}"/>
    <cellStyle name="Normal 2 2 5 77" xfId="5028" xr:uid="{00000000-0005-0000-0000-00008C130000}"/>
    <cellStyle name="Normal 2 2 5 78" xfId="5029" xr:uid="{00000000-0005-0000-0000-00008D130000}"/>
    <cellStyle name="Normal 2 2 5 79" xfId="5030" xr:uid="{00000000-0005-0000-0000-00008E130000}"/>
    <cellStyle name="Normal 2 2 5 8" xfId="5031" xr:uid="{00000000-0005-0000-0000-00008F130000}"/>
    <cellStyle name="Normal 2 2 5 80" xfId="5032" xr:uid="{00000000-0005-0000-0000-000090130000}"/>
    <cellStyle name="Normal 2 2 5 81" xfId="5033" xr:uid="{00000000-0005-0000-0000-000091130000}"/>
    <cellStyle name="Normal 2 2 5 82" xfId="5034" xr:uid="{00000000-0005-0000-0000-000092130000}"/>
    <cellStyle name="Normal 2 2 5 83" xfId="5035" xr:uid="{00000000-0005-0000-0000-000093130000}"/>
    <cellStyle name="Normal 2 2 5 84" xfId="5036" xr:uid="{00000000-0005-0000-0000-000094130000}"/>
    <cellStyle name="Normal 2 2 5 85" xfId="5037" xr:uid="{00000000-0005-0000-0000-000095130000}"/>
    <cellStyle name="Normal 2 2 5 86" xfId="5038" xr:uid="{00000000-0005-0000-0000-000096130000}"/>
    <cellStyle name="Normal 2 2 5 87" xfId="5039" xr:uid="{00000000-0005-0000-0000-000097130000}"/>
    <cellStyle name="Normal 2 2 5 88" xfId="5040" xr:uid="{00000000-0005-0000-0000-000098130000}"/>
    <cellStyle name="Normal 2 2 5 89" xfId="5041" xr:uid="{00000000-0005-0000-0000-000099130000}"/>
    <cellStyle name="Normal 2 2 5 9" xfId="5042" xr:uid="{00000000-0005-0000-0000-00009A130000}"/>
    <cellStyle name="Normal 2 2 5 90" xfId="5043" xr:uid="{00000000-0005-0000-0000-00009B130000}"/>
    <cellStyle name="Normal 2 2 5 91" xfId="5044" xr:uid="{00000000-0005-0000-0000-00009C130000}"/>
    <cellStyle name="Normal 2 2 50" xfId="5045" xr:uid="{00000000-0005-0000-0000-00009D130000}"/>
    <cellStyle name="Normal 2 2 50 2" xfId="5046" xr:uid="{00000000-0005-0000-0000-00009E130000}"/>
    <cellStyle name="Normal 2 2 50 2 2" xfId="5047" xr:uid="{00000000-0005-0000-0000-00009F130000}"/>
    <cellStyle name="Normal 2 2 50 3" xfId="5048" xr:uid="{00000000-0005-0000-0000-0000A0130000}"/>
    <cellStyle name="Normal 2 2 51" xfId="5049" xr:uid="{00000000-0005-0000-0000-0000A1130000}"/>
    <cellStyle name="Normal 2 2 51 2" xfId="5050" xr:uid="{00000000-0005-0000-0000-0000A2130000}"/>
    <cellStyle name="Normal 2 2 51 2 2" xfId="5051" xr:uid="{00000000-0005-0000-0000-0000A3130000}"/>
    <cellStyle name="Normal 2 2 51 3" xfId="5052" xr:uid="{00000000-0005-0000-0000-0000A4130000}"/>
    <cellStyle name="Normal 2 2 52" xfId="5053" xr:uid="{00000000-0005-0000-0000-0000A5130000}"/>
    <cellStyle name="Normal 2 2 52 2" xfId="5054" xr:uid="{00000000-0005-0000-0000-0000A6130000}"/>
    <cellStyle name="Normal 2 2 52 2 2" xfId="5055" xr:uid="{00000000-0005-0000-0000-0000A7130000}"/>
    <cellStyle name="Normal 2 2 52 3" xfId="5056" xr:uid="{00000000-0005-0000-0000-0000A8130000}"/>
    <cellStyle name="Normal 2 2 53" xfId="5057" xr:uid="{00000000-0005-0000-0000-0000A9130000}"/>
    <cellStyle name="Normal 2 2 53 2" xfId="5058" xr:uid="{00000000-0005-0000-0000-0000AA130000}"/>
    <cellStyle name="Normal 2 2 53 2 2" xfId="5059" xr:uid="{00000000-0005-0000-0000-0000AB130000}"/>
    <cellStyle name="Normal 2 2 53 3" xfId="5060" xr:uid="{00000000-0005-0000-0000-0000AC130000}"/>
    <cellStyle name="Normal 2 2 54" xfId="5061" xr:uid="{00000000-0005-0000-0000-0000AD130000}"/>
    <cellStyle name="Normal 2 2 54 2" xfId="5062" xr:uid="{00000000-0005-0000-0000-0000AE130000}"/>
    <cellStyle name="Normal 2 2 54 2 2" xfId="5063" xr:uid="{00000000-0005-0000-0000-0000AF130000}"/>
    <cellStyle name="Normal 2 2 54 3" xfId="5064" xr:uid="{00000000-0005-0000-0000-0000B0130000}"/>
    <cellStyle name="Normal 2 2 55" xfId="5065" xr:uid="{00000000-0005-0000-0000-0000B1130000}"/>
    <cellStyle name="Normal 2 2 55 2" xfId="5066" xr:uid="{00000000-0005-0000-0000-0000B2130000}"/>
    <cellStyle name="Normal 2 2 55 2 2" xfId="5067" xr:uid="{00000000-0005-0000-0000-0000B3130000}"/>
    <cellStyle name="Normal 2 2 55 3" xfId="5068" xr:uid="{00000000-0005-0000-0000-0000B4130000}"/>
    <cellStyle name="Normal 2 2 56" xfId="5069" xr:uid="{00000000-0005-0000-0000-0000B5130000}"/>
    <cellStyle name="Normal 2 2 56 2" xfId="5070" xr:uid="{00000000-0005-0000-0000-0000B6130000}"/>
    <cellStyle name="Normal 2 2 56 2 2" xfId="5071" xr:uid="{00000000-0005-0000-0000-0000B7130000}"/>
    <cellStyle name="Normal 2 2 56 3" xfId="5072" xr:uid="{00000000-0005-0000-0000-0000B8130000}"/>
    <cellStyle name="Normal 2 2 57" xfId="5073" xr:uid="{00000000-0005-0000-0000-0000B9130000}"/>
    <cellStyle name="Normal 2 2 57 2" xfId="5074" xr:uid="{00000000-0005-0000-0000-0000BA130000}"/>
    <cellStyle name="Normal 2 2 57 2 2" xfId="5075" xr:uid="{00000000-0005-0000-0000-0000BB130000}"/>
    <cellStyle name="Normal 2 2 57 3" xfId="5076" xr:uid="{00000000-0005-0000-0000-0000BC130000}"/>
    <cellStyle name="Normal 2 2 58" xfId="5077" xr:uid="{00000000-0005-0000-0000-0000BD130000}"/>
    <cellStyle name="Normal 2 2 58 2" xfId="5078" xr:uid="{00000000-0005-0000-0000-0000BE130000}"/>
    <cellStyle name="Normal 2 2 58 2 2" xfId="5079" xr:uid="{00000000-0005-0000-0000-0000BF130000}"/>
    <cellStyle name="Normal 2 2 58 3" xfId="5080" xr:uid="{00000000-0005-0000-0000-0000C0130000}"/>
    <cellStyle name="Normal 2 2 59" xfId="5081" xr:uid="{00000000-0005-0000-0000-0000C1130000}"/>
    <cellStyle name="Normal 2 2 59 2" xfId="5082" xr:uid="{00000000-0005-0000-0000-0000C2130000}"/>
    <cellStyle name="Normal 2 2 59 2 2" xfId="5083" xr:uid="{00000000-0005-0000-0000-0000C3130000}"/>
    <cellStyle name="Normal 2 2 59 3" xfId="5084" xr:uid="{00000000-0005-0000-0000-0000C4130000}"/>
    <cellStyle name="Normal 2 2 6" xfId="5085" xr:uid="{00000000-0005-0000-0000-0000C5130000}"/>
    <cellStyle name="Normal 2 2 6 10" xfId="5086" xr:uid="{00000000-0005-0000-0000-0000C6130000}"/>
    <cellStyle name="Normal 2 2 6 11" xfId="5087" xr:uid="{00000000-0005-0000-0000-0000C7130000}"/>
    <cellStyle name="Normal 2 2 6 12" xfId="5088" xr:uid="{00000000-0005-0000-0000-0000C8130000}"/>
    <cellStyle name="Normal 2 2 6 13" xfId="5089" xr:uid="{00000000-0005-0000-0000-0000C9130000}"/>
    <cellStyle name="Normal 2 2 6 14" xfId="5090" xr:uid="{00000000-0005-0000-0000-0000CA130000}"/>
    <cellStyle name="Normal 2 2 6 15" xfId="5091" xr:uid="{00000000-0005-0000-0000-0000CB130000}"/>
    <cellStyle name="Normal 2 2 6 16" xfId="5092" xr:uid="{00000000-0005-0000-0000-0000CC130000}"/>
    <cellStyle name="Normal 2 2 6 17" xfId="5093" xr:uid="{00000000-0005-0000-0000-0000CD130000}"/>
    <cellStyle name="Normal 2 2 6 18" xfId="5094" xr:uid="{00000000-0005-0000-0000-0000CE130000}"/>
    <cellStyle name="Normal 2 2 6 19" xfId="5095" xr:uid="{00000000-0005-0000-0000-0000CF130000}"/>
    <cellStyle name="Normal 2 2 6 2" xfId="5096" xr:uid="{00000000-0005-0000-0000-0000D0130000}"/>
    <cellStyle name="Normal 2 2 6 2 2" xfId="5097" xr:uid="{00000000-0005-0000-0000-0000D1130000}"/>
    <cellStyle name="Normal 2 2 6 20" xfId="5098" xr:uid="{00000000-0005-0000-0000-0000D2130000}"/>
    <cellStyle name="Normal 2 2 6 21" xfId="5099" xr:uid="{00000000-0005-0000-0000-0000D3130000}"/>
    <cellStyle name="Normal 2 2 6 22" xfId="5100" xr:uid="{00000000-0005-0000-0000-0000D4130000}"/>
    <cellStyle name="Normal 2 2 6 23" xfId="5101" xr:uid="{00000000-0005-0000-0000-0000D5130000}"/>
    <cellStyle name="Normal 2 2 6 24" xfId="5102" xr:uid="{00000000-0005-0000-0000-0000D6130000}"/>
    <cellStyle name="Normal 2 2 6 25" xfId="5103" xr:uid="{00000000-0005-0000-0000-0000D7130000}"/>
    <cellStyle name="Normal 2 2 6 26" xfId="5104" xr:uid="{00000000-0005-0000-0000-0000D8130000}"/>
    <cellStyle name="Normal 2 2 6 27" xfId="5105" xr:uid="{00000000-0005-0000-0000-0000D9130000}"/>
    <cellStyle name="Normal 2 2 6 28" xfId="5106" xr:uid="{00000000-0005-0000-0000-0000DA130000}"/>
    <cellStyle name="Normal 2 2 6 29" xfId="5107" xr:uid="{00000000-0005-0000-0000-0000DB130000}"/>
    <cellStyle name="Normal 2 2 6 3" xfId="5108" xr:uid="{00000000-0005-0000-0000-0000DC130000}"/>
    <cellStyle name="Normal 2 2 6 3 2" xfId="5109" xr:uid="{00000000-0005-0000-0000-0000DD130000}"/>
    <cellStyle name="Normal 2 2 6 3 3" xfId="5110" xr:uid="{00000000-0005-0000-0000-0000DE130000}"/>
    <cellStyle name="Normal 2 2 6 30" xfId="5111" xr:uid="{00000000-0005-0000-0000-0000DF130000}"/>
    <cellStyle name="Normal 2 2 6 31" xfId="5112" xr:uid="{00000000-0005-0000-0000-0000E0130000}"/>
    <cellStyle name="Normal 2 2 6 32" xfId="5113" xr:uid="{00000000-0005-0000-0000-0000E1130000}"/>
    <cellStyle name="Normal 2 2 6 33" xfId="5114" xr:uid="{00000000-0005-0000-0000-0000E2130000}"/>
    <cellStyle name="Normal 2 2 6 34" xfId="5115" xr:uid="{00000000-0005-0000-0000-0000E3130000}"/>
    <cellStyle name="Normal 2 2 6 35" xfId="5116" xr:uid="{00000000-0005-0000-0000-0000E4130000}"/>
    <cellStyle name="Normal 2 2 6 36" xfId="5117" xr:uid="{00000000-0005-0000-0000-0000E5130000}"/>
    <cellStyle name="Normal 2 2 6 37" xfId="5118" xr:uid="{00000000-0005-0000-0000-0000E6130000}"/>
    <cellStyle name="Normal 2 2 6 38" xfId="5119" xr:uid="{00000000-0005-0000-0000-0000E7130000}"/>
    <cellStyle name="Normal 2 2 6 39" xfId="5120" xr:uid="{00000000-0005-0000-0000-0000E8130000}"/>
    <cellStyle name="Normal 2 2 6 4" xfId="5121" xr:uid="{00000000-0005-0000-0000-0000E9130000}"/>
    <cellStyle name="Normal 2 2 6 40" xfId="5122" xr:uid="{00000000-0005-0000-0000-0000EA130000}"/>
    <cellStyle name="Normal 2 2 6 41" xfId="5123" xr:uid="{00000000-0005-0000-0000-0000EB130000}"/>
    <cellStyle name="Normal 2 2 6 42" xfId="5124" xr:uid="{00000000-0005-0000-0000-0000EC130000}"/>
    <cellStyle name="Normal 2 2 6 5" xfId="5125" xr:uid="{00000000-0005-0000-0000-0000ED130000}"/>
    <cellStyle name="Normal 2 2 6 6" xfId="5126" xr:uid="{00000000-0005-0000-0000-0000EE130000}"/>
    <cellStyle name="Normal 2 2 6 7" xfId="5127" xr:uid="{00000000-0005-0000-0000-0000EF130000}"/>
    <cellStyle name="Normal 2 2 6 8" xfId="5128" xr:uid="{00000000-0005-0000-0000-0000F0130000}"/>
    <cellStyle name="Normal 2 2 6 9" xfId="5129" xr:uid="{00000000-0005-0000-0000-0000F1130000}"/>
    <cellStyle name="Normal 2 2 60" xfId="5130" xr:uid="{00000000-0005-0000-0000-0000F2130000}"/>
    <cellStyle name="Normal 2 2 60 2" xfId="5131" xr:uid="{00000000-0005-0000-0000-0000F3130000}"/>
    <cellStyle name="Normal 2 2 60 2 2" xfId="5132" xr:uid="{00000000-0005-0000-0000-0000F4130000}"/>
    <cellStyle name="Normal 2 2 60 3" xfId="5133" xr:uid="{00000000-0005-0000-0000-0000F5130000}"/>
    <cellStyle name="Normal 2 2 61" xfId="5134" xr:uid="{00000000-0005-0000-0000-0000F6130000}"/>
    <cellStyle name="Normal 2 2 61 2" xfId="5135" xr:uid="{00000000-0005-0000-0000-0000F7130000}"/>
    <cellStyle name="Normal 2 2 61 2 2" xfId="5136" xr:uid="{00000000-0005-0000-0000-0000F8130000}"/>
    <cellStyle name="Normal 2 2 61 3" xfId="5137" xr:uid="{00000000-0005-0000-0000-0000F9130000}"/>
    <cellStyle name="Normal 2 2 62" xfId="5138" xr:uid="{00000000-0005-0000-0000-0000FA130000}"/>
    <cellStyle name="Normal 2 2 62 2" xfId="5139" xr:uid="{00000000-0005-0000-0000-0000FB130000}"/>
    <cellStyle name="Normal 2 2 62 2 2" xfId="5140" xr:uid="{00000000-0005-0000-0000-0000FC130000}"/>
    <cellStyle name="Normal 2 2 62 3" xfId="5141" xr:uid="{00000000-0005-0000-0000-0000FD130000}"/>
    <cellStyle name="Normal 2 2 63" xfId="5142" xr:uid="{00000000-0005-0000-0000-0000FE130000}"/>
    <cellStyle name="Normal 2 2 63 2" xfId="5143" xr:uid="{00000000-0005-0000-0000-0000FF130000}"/>
    <cellStyle name="Normal 2 2 63 2 2" xfId="5144" xr:uid="{00000000-0005-0000-0000-000000140000}"/>
    <cellStyle name="Normal 2 2 63 3" xfId="5145" xr:uid="{00000000-0005-0000-0000-000001140000}"/>
    <cellStyle name="Normal 2 2 64" xfId="5146" xr:uid="{00000000-0005-0000-0000-000002140000}"/>
    <cellStyle name="Normal 2 2 64 2" xfId="5147" xr:uid="{00000000-0005-0000-0000-000003140000}"/>
    <cellStyle name="Normal 2 2 64 2 2" xfId="5148" xr:uid="{00000000-0005-0000-0000-000004140000}"/>
    <cellStyle name="Normal 2 2 64 3" xfId="5149" xr:uid="{00000000-0005-0000-0000-000005140000}"/>
    <cellStyle name="Normal 2 2 65" xfId="5150" xr:uid="{00000000-0005-0000-0000-000006140000}"/>
    <cellStyle name="Normal 2 2 65 2" xfId="5151" xr:uid="{00000000-0005-0000-0000-000007140000}"/>
    <cellStyle name="Normal 2 2 66" xfId="5152" xr:uid="{00000000-0005-0000-0000-000008140000}"/>
    <cellStyle name="Normal 2 2 66 2" xfId="5153" xr:uid="{00000000-0005-0000-0000-000009140000}"/>
    <cellStyle name="Normal 2 2 67" xfId="5154" xr:uid="{00000000-0005-0000-0000-00000A140000}"/>
    <cellStyle name="Normal 2 2 67 2" xfId="5155" xr:uid="{00000000-0005-0000-0000-00000B140000}"/>
    <cellStyle name="Normal 2 2 68" xfId="5156" xr:uid="{00000000-0005-0000-0000-00000C140000}"/>
    <cellStyle name="Normal 2 2 68 2" xfId="5157" xr:uid="{00000000-0005-0000-0000-00000D140000}"/>
    <cellStyle name="Normal 2 2 69" xfId="5158" xr:uid="{00000000-0005-0000-0000-00000E140000}"/>
    <cellStyle name="Normal 2 2 69 2" xfId="5159" xr:uid="{00000000-0005-0000-0000-00000F140000}"/>
    <cellStyle name="Normal 2 2 7" xfId="5160" xr:uid="{00000000-0005-0000-0000-000010140000}"/>
    <cellStyle name="Normal 2 2 7 10" xfId="5161" xr:uid="{00000000-0005-0000-0000-000011140000}"/>
    <cellStyle name="Normal 2 2 7 11" xfId="5162" xr:uid="{00000000-0005-0000-0000-000012140000}"/>
    <cellStyle name="Normal 2 2 7 12" xfId="5163" xr:uid="{00000000-0005-0000-0000-000013140000}"/>
    <cellStyle name="Normal 2 2 7 13" xfId="5164" xr:uid="{00000000-0005-0000-0000-000014140000}"/>
    <cellStyle name="Normal 2 2 7 14" xfId="5165" xr:uid="{00000000-0005-0000-0000-000015140000}"/>
    <cellStyle name="Normal 2 2 7 15" xfId="5166" xr:uid="{00000000-0005-0000-0000-000016140000}"/>
    <cellStyle name="Normal 2 2 7 16" xfId="5167" xr:uid="{00000000-0005-0000-0000-000017140000}"/>
    <cellStyle name="Normal 2 2 7 17" xfId="5168" xr:uid="{00000000-0005-0000-0000-000018140000}"/>
    <cellStyle name="Normal 2 2 7 18" xfId="5169" xr:uid="{00000000-0005-0000-0000-000019140000}"/>
    <cellStyle name="Normal 2 2 7 19" xfId="5170" xr:uid="{00000000-0005-0000-0000-00001A140000}"/>
    <cellStyle name="Normal 2 2 7 2" xfId="5171" xr:uid="{00000000-0005-0000-0000-00001B140000}"/>
    <cellStyle name="Normal 2 2 7 2 2" xfId="5172" xr:uid="{00000000-0005-0000-0000-00001C140000}"/>
    <cellStyle name="Normal 2 2 7 20" xfId="5173" xr:uid="{00000000-0005-0000-0000-00001D140000}"/>
    <cellStyle name="Normal 2 2 7 21" xfId="5174" xr:uid="{00000000-0005-0000-0000-00001E140000}"/>
    <cellStyle name="Normal 2 2 7 22" xfId="5175" xr:uid="{00000000-0005-0000-0000-00001F140000}"/>
    <cellStyle name="Normal 2 2 7 3" xfId="5176" xr:uid="{00000000-0005-0000-0000-000020140000}"/>
    <cellStyle name="Normal 2 2 7 3 2" xfId="5177" xr:uid="{00000000-0005-0000-0000-000021140000}"/>
    <cellStyle name="Normal 2 2 7 3 3" xfId="5178" xr:uid="{00000000-0005-0000-0000-000022140000}"/>
    <cellStyle name="Normal 2 2 7 4" xfId="5179" xr:uid="{00000000-0005-0000-0000-000023140000}"/>
    <cellStyle name="Normal 2 2 7 5" xfId="5180" xr:uid="{00000000-0005-0000-0000-000024140000}"/>
    <cellStyle name="Normal 2 2 7 6" xfId="5181" xr:uid="{00000000-0005-0000-0000-000025140000}"/>
    <cellStyle name="Normal 2 2 7 7" xfId="5182" xr:uid="{00000000-0005-0000-0000-000026140000}"/>
    <cellStyle name="Normal 2 2 7 8" xfId="5183" xr:uid="{00000000-0005-0000-0000-000027140000}"/>
    <cellStyle name="Normal 2 2 7 9" xfId="5184" xr:uid="{00000000-0005-0000-0000-000028140000}"/>
    <cellStyle name="Normal 2 2 70" xfId="5185" xr:uid="{00000000-0005-0000-0000-000029140000}"/>
    <cellStyle name="Normal 2 2 70 2" xfId="5186" xr:uid="{00000000-0005-0000-0000-00002A140000}"/>
    <cellStyle name="Normal 2 2 71" xfId="5187" xr:uid="{00000000-0005-0000-0000-00002B140000}"/>
    <cellStyle name="Normal 2 2 71 2" xfId="5188" xr:uid="{00000000-0005-0000-0000-00002C140000}"/>
    <cellStyle name="Normal 2 2 72" xfId="5189" xr:uid="{00000000-0005-0000-0000-00002D140000}"/>
    <cellStyle name="Normal 2 2 72 2" xfId="5190" xr:uid="{00000000-0005-0000-0000-00002E140000}"/>
    <cellStyle name="Normal 2 2 73" xfId="5191" xr:uid="{00000000-0005-0000-0000-00002F140000}"/>
    <cellStyle name="Normal 2 2 73 2" xfId="5192" xr:uid="{00000000-0005-0000-0000-000030140000}"/>
    <cellStyle name="Normal 2 2 74" xfId="5193" xr:uid="{00000000-0005-0000-0000-000031140000}"/>
    <cellStyle name="Normal 2 2 74 2" xfId="5194" xr:uid="{00000000-0005-0000-0000-000032140000}"/>
    <cellStyle name="Normal 2 2 75" xfId="5195" xr:uid="{00000000-0005-0000-0000-000033140000}"/>
    <cellStyle name="Normal 2 2 75 2" xfId="5196" xr:uid="{00000000-0005-0000-0000-000034140000}"/>
    <cellStyle name="Normal 2 2 76" xfId="5197" xr:uid="{00000000-0005-0000-0000-000035140000}"/>
    <cellStyle name="Normal 2 2 76 2" xfId="5198" xr:uid="{00000000-0005-0000-0000-000036140000}"/>
    <cellStyle name="Normal 2 2 77" xfId="5199" xr:uid="{00000000-0005-0000-0000-000037140000}"/>
    <cellStyle name="Normal 2 2 77 2" xfId="5200" xr:uid="{00000000-0005-0000-0000-000038140000}"/>
    <cellStyle name="Normal 2 2 78" xfId="5201" xr:uid="{00000000-0005-0000-0000-000039140000}"/>
    <cellStyle name="Normal 2 2 78 2" xfId="5202" xr:uid="{00000000-0005-0000-0000-00003A140000}"/>
    <cellStyle name="Normal 2 2 79" xfId="5203" xr:uid="{00000000-0005-0000-0000-00003B140000}"/>
    <cellStyle name="Normal 2 2 79 2" xfId="5204" xr:uid="{00000000-0005-0000-0000-00003C140000}"/>
    <cellStyle name="Normal 2 2 8" xfId="5205" xr:uid="{00000000-0005-0000-0000-00003D140000}"/>
    <cellStyle name="Normal 2 2 8 2" xfId="5206" xr:uid="{00000000-0005-0000-0000-00003E140000}"/>
    <cellStyle name="Normal 2 2 8 2 2" xfId="5207" xr:uid="{00000000-0005-0000-0000-00003F140000}"/>
    <cellStyle name="Normal 2 2 8 2 3" xfId="5208" xr:uid="{00000000-0005-0000-0000-000040140000}"/>
    <cellStyle name="Normal 2 2 8 3" xfId="5209" xr:uid="{00000000-0005-0000-0000-000041140000}"/>
    <cellStyle name="Normal 2 2 8 4" xfId="5210" xr:uid="{00000000-0005-0000-0000-000042140000}"/>
    <cellStyle name="Normal 2 2 8 5" xfId="5211" xr:uid="{00000000-0005-0000-0000-000043140000}"/>
    <cellStyle name="Normal 2 2 80" xfId="5212" xr:uid="{00000000-0005-0000-0000-000044140000}"/>
    <cellStyle name="Normal 2 2 80 2" xfId="5213" xr:uid="{00000000-0005-0000-0000-000045140000}"/>
    <cellStyle name="Normal 2 2 81" xfId="5214" xr:uid="{00000000-0005-0000-0000-000046140000}"/>
    <cellStyle name="Normal 2 2 81 2" xfId="5215" xr:uid="{00000000-0005-0000-0000-000047140000}"/>
    <cellStyle name="Normal 2 2 82" xfId="5216" xr:uid="{00000000-0005-0000-0000-000048140000}"/>
    <cellStyle name="Normal 2 2 82 2" xfId="5217" xr:uid="{00000000-0005-0000-0000-000049140000}"/>
    <cellStyle name="Normal 2 2 83" xfId="5218" xr:uid="{00000000-0005-0000-0000-00004A140000}"/>
    <cellStyle name="Normal 2 2 83 2" xfId="5219" xr:uid="{00000000-0005-0000-0000-00004B140000}"/>
    <cellStyle name="Normal 2 2 84" xfId="5220" xr:uid="{00000000-0005-0000-0000-00004C140000}"/>
    <cellStyle name="Normal 2 2 84 2" xfId="5221" xr:uid="{00000000-0005-0000-0000-00004D140000}"/>
    <cellStyle name="Normal 2 2 85" xfId="5222" xr:uid="{00000000-0005-0000-0000-00004E140000}"/>
    <cellStyle name="Normal 2 2 85 2" xfId="5223" xr:uid="{00000000-0005-0000-0000-00004F140000}"/>
    <cellStyle name="Normal 2 2 86" xfId="5224" xr:uid="{00000000-0005-0000-0000-000050140000}"/>
    <cellStyle name="Normal 2 2 86 2" xfId="5225" xr:uid="{00000000-0005-0000-0000-000051140000}"/>
    <cellStyle name="Normal 2 2 87" xfId="5226" xr:uid="{00000000-0005-0000-0000-000052140000}"/>
    <cellStyle name="Normal 2 2 87 2" xfId="5227" xr:uid="{00000000-0005-0000-0000-000053140000}"/>
    <cellStyle name="Normal 2 2 88" xfId="5228" xr:uid="{00000000-0005-0000-0000-000054140000}"/>
    <cellStyle name="Normal 2 2 88 2" xfId="5229" xr:uid="{00000000-0005-0000-0000-000055140000}"/>
    <cellStyle name="Normal 2 2 89" xfId="5230" xr:uid="{00000000-0005-0000-0000-000056140000}"/>
    <cellStyle name="Normal 2 2 89 2" xfId="5231" xr:uid="{00000000-0005-0000-0000-000057140000}"/>
    <cellStyle name="Normal 2 2 9" xfId="5232" xr:uid="{00000000-0005-0000-0000-000058140000}"/>
    <cellStyle name="Normal 2 2 9 2" xfId="5233" xr:uid="{00000000-0005-0000-0000-000059140000}"/>
    <cellStyle name="Normal 2 2 9 2 2" xfId="5234" xr:uid="{00000000-0005-0000-0000-00005A140000}"/>
    <cellStyle name="Normal 2 2 9 3" xfId="5235" xr:uid="{00000000-0005-0000-0000-00005B140000}"/>
    <cellStyle name="Normal 2 2 90" xfId="5236" xr:uid="{00000000-0005-0000-0000-00005C140000}"/>
    <cellStyle name="Normal 2 2 90 2" xfId="5237" xr:uid="{00000000-0005-0000-0000-00005D140000}"/>
    <cellStyle name="Normal 2 2 91" xfId="5238" xr:uid="{00000000-0005-0000-0000-00005E140000}"/>
    <cellStyle name="Normal 2 2 91 2" xfId="5239" xr:uid="{00000000-0005-0000-0000-00005F140000}"/>
    <cellStyle name="Normal 2 2 92" xfId="5240" xr:uid="{00000000-0005-0000-0000-000060140000}"/>
    <cellStyle name="Normal 2 2 92 2" xfId="5241" xr:uid="{00000000-0005-0000-0000-000061140000}"/>
    <cellStyle name="Normal 2 2 93" xfId="5242" xr:uid="{00000000-0005-0000-0000-000062140000}"/>
    <cellStyle name="Normal 2 2 93 2" xfId="5243" xr:uid="{00000000-0005-0000-0000-000063140000}"/>
    <cellStyle name="Normal 2 2 94" xfId="5244" xr:uid="{00000000-0005-0000-0000-000064140000}"/>
    <cellStyle name="Normal 2 2 94 2" xfId="5245" xr:uid="{00000000-0005-0000-0000-000065140000}"/>
    <cellStyle name="Normal 2 2 95" xfId="5246" xr:uid="{00000000-0005-0000-0000-000066140000}"/>
    <cellStyle name="Normal 2 2 95 2" xfId="5247" xr:uid="{00000000-0005-0000-0000-000067140000}"/>
    <cellStyle name="Normal 2 2 96" xfId="5248" xr:uid="{00000000-0005-0000-0000-000068140000}"/>
    <cellStyle name="Normal 2 2 96 2" xfId="5249" xr:uid="{00000000-0005-0000-0000-000069140000}"/>
    <cellStyle name="Normal 2 2 97" xfId="5250" xr:uid="{00000000-0005-0000-0000-00006A140000}"/>
    <cellStyle name="Normal 2 2 97 2" xfId="5251" xr:uid="{00000000-0005-0000-0000-00006B140000}"/>
    <cellStyle name="Normal 2 2 98" xfId="5252" xr:uid="{00000000-0005-0000-0000-00006C140000}"/>
    <cellStyle name="Normal 2 2 98 2" xfId="5253" xr:uid="{00000000-0005-0000-0000-00006D140000}"/>
    <cellStyle name="Normal 2 2 99" xfId="5254" xr:uid="{00000000-0005-0000-0000-00006E140000}"/>
    <cellStyle name="Normal 2 2 99 2" xfId="5255" xr:uid="{00000000-0005-0000-0000-00006F140000}"/>
    <cellStyle name="Normal 2 20" xfId="5256" xr:uid="{00000000-0005-0000-0000-000070140000}"/>
    <cellStyle name="Normal 2 20 2" xfId="5257" xr:uid="{00000000-0005-0000-0000-000071140000}"/>
    <cellStyle name="Normal 2 20 2 2" xfId="5258" xr:uid="{00000000-0005-0000-0000-000072140000}"/>
    <cellStyle name="Normal 2 20 3" xfId="5259" xr:uid="{00000000-0005-0000-0000-000073140000}"/>
    <cellStyle name="Normal 2 21" xfId="5260" xr:uid="{00000000-0005-0000-0000-000074140000}"/>
    <cellStyle name="Normal 2 21 2" xfId="5261" xr:uid="{00000000-0005-0000-0000-000075140000}"/>
    <cellStyle name="Normal 2 21 2 2" xfId="5262" xr:uid="{00000000-0005-0000-0000-000076140000}"/>
    <cellStyle name="Normal 2 21 3" xfId="5263" xr:uid="{00000000-0005-0000-0000-000077140000}"/>
    <cellStyle name="Normal 2 22" xfId="5264" xr:uid="{00000000-0005-0000-0000-000078140000}"/>
    <cellStyle name="Normal 2 22 2" xfId="5265" xr:uid="{00000000-0005-0000-0000-000079140000}"/>
    <cellStyle name="Normal 2 22 2 2" xfId="5266" xr:uid="{00000000-0005-0000-0000-00007A140000}"/>
    <cellStyle name="Normal 2 22 3" xfId="5267" xr:uid="{00000000-0005-0000-0000-00007B140000}"/>
    <cellStyle name="Normal 2 23" xfId="5268" xr:uid="{00000000-0005-0000-0000-00007C140000}"/>
    <cellStyle name="Normal 2 23 2" xfId="5269" xr:uid="{00000000-0005-0000-0000-00007D140000}"/>
    <cellStyle name="Normal 2 23 2 2" xfId="5270" xr:uid="{00000000-0005-0000-0000-00007E140000}"/>
    <cellStyle name="Normal 2 23 3" xfId="5271" xr:uid="{00000000-0005-0000-0000-00007F140000}"/>
    <cellStyle name="Normal 2 24" xfId="5272" xr:uid="{00000000-0005-0000-0000-000080140000}"/>
    <cellStyle name="Normal 2 24 2" xfId="5273" xr:uid="{00000000-0005-0000-0000-000081140000}"/>
    <cellStyle name="Normal 2 24 2 2" xfId="5274" xr:uid="{00000000-0005-0000-0000-000082140000}"/>
    <cellStyle name="Normal 2 24 3" xfId="5275" xr:uid="{00000000-0005-0000-0000-000083140000}"/>
    <cellStyle name="Normal 2 25" xfId="5276" xr:uid="{00000000-0005-0000-0000-000084140000}"/>
    <cellStyle name="Normal 2 25 2" xfId="5277" xr:uid="{00000000-0005-0000-0000-000085140000}"/>
    <cellStyle name="Normal 2 25 2 2" xfId="5278" xr:uid="{00000000-0005-0000-0000-000086140000}"/>
    <cellStyle name="Normal 2 25 3" xfId="5279" xr:uid="{00000000-0005-0000-0000-000087140000}"/>
    <cellStyle name="Normal 2 26" xfId="5280" xr:uid="{00000000-0005-0000-0000-000088140000}"/>
    <cellStyle name="Normal 2 26 2" xfId="5281" xr:uid="{00000000-0005-0000-0000-000089140000}"/>
    <cellStyle name="Normal 2 26 2 2" xfId="5282" xr:uid="{00000000-0005-0000-0000-00008A140000}"/>
    <cellStyle name="Normal 2 26 3" xfId="5283" xr:uid="{00000000-0005-0000-0000-00008B140000}"/>
    <cellStyle name="Normal 2 27" xfId="5284" xr:uid="{00000000-0005-0000-0000-00008C140000}"/>
    <cellStyle name="Normal 2 27 2" xfId="5285" xr:uid="{00000000-0005-0000-0000-00008D140000}"/>
    <cellStyle name="Normal 2 27 2 2" xfId="5286" xr:uid="{00000000-0005-0000-0000-00008E140000}"/>
    <cellStyle name="Normal 2 27 3" xfId="5287" xr:uid="{00000000-0005-0000-0000-00008F140000}"/>
    <cellStyle name="Normal 2 28" xfId="5288" xr:uid="{00000000-0005-0000-0000-000090140000}"/>
    <cellStyle name="Normal 2 28 2" xfId="5289" xr:uid="{00000000-0005-0000-0000-000091140000}"/>
    <cellStyle name="Normal 2 28 2 2" xfId="5290" xr:uid="{00000000-0005-0000-0000-000092140000}"/>
    <cellStyle name="Normal 2 28 3" xfId="5291" xr:uid="{00000000-0005-0000-0000-000093140000}"/>
    <cellStyle name="Normal 2 29" xfId="5292" xr:uid="{00000000-0005-0000-0000-000094140000}"/>
    <cellStyle name="Normal 2 29 2" xfId="5293" xr:uid="{00000000-0005-0000-0000-000095140000}"/>
    <cellStyle name="Normal 2 29 2 2" xfId="5294" xr:uid="{00000000-0005-0000-0000-000096140000}"/>
    <cellStyle name="Normal 2 29 3" xfId="5295" xr:uid="{00000000-0005-0000-0000-000097140000}"/>
    <cellStyle name="Normal 2 3" xfId="67" xr:uid="{00000000-0005-0000-0000-000098140000}"/>
    <cellStyle name="Normal 2 3 10" xfId="5296" xr:uid="{00000000-0005-0000-0000-000099140000}"/>
    <cellStyle name="Normal 2 3 100" xfId="5297" xr:uid="{00000000-0005-0000-0000-00009A140000}"/>
    <cellStyle name="Normal 2 3 101" xfId="5298" xr:uid="{00000000-0005-0000-0000-00009B140000}"/>
    <cellStyle name="Normal 2 3 102" xfId="5299" xr:uid="{00000000-0005-0000-0000-00009C140000}"/>
    <cellStyle name="Normal 2 3 103" xfId="5300" xr:uid="{00000000-0005-0000-0000-00009D140000}"/>
    <cellStyle name="Normal 2 3 104" xfId="5301" xr:uid="{00000000-0005-0000-0000-00009E140000}"/>
    <cellStyle name="Normal 2 3 105" xfId="5302" xr:uid="{00000000-0005-0000-0000-00009F140000}"/>
    <cellStyle name="Normal 2 3 106" xfId="5303" xr:uid="{00000000-0005-0000-0000-0000A0140000}"/>
    <cellStyle name="Normal 2 3 107" xfId="5304" xr:uid="{00000000-0005-0000-0000-0000A1140000}"/>
    <cellStyle name="Normal 2 3 108" xfId="5305" xr:uid="{00000000-0005-0000-0000-0000A2140000}"/>
    <cellStyle name="Normal 2 3 109" xfId="5306" xr:uid="{00000000-0005-0000-0000-0000A3140000}"/>
    <cellStyle name="Normal 2 3 11" xfId="5307" xr:uid="{00000000-0005-0000-0000-0000A4140000}"/>
    <cellStyle name="Normal 2 3 110" xfId="5308" xr:uid="{00000000-0005-0000-0000-0000A5140000}"/>
    <cellStyle name="Normal 2 3 111" xfId="5309" xr:uid="{00000000-0005-0000-0000-0000A6140000}"/>
    <cellStyle name="Normal 2 3 112" xfId="5310" xr:uid="{00000000-0005-0000-0000-0000A7140000}"/>
    <cellStyle name="Normal 2 3 113" xfId="5311" xr:uid="{00000000-0005-0000-0000-0000A8140000}"/>
    <cellStyle name="Normal 2 3 114" xfId="5312" xr:uid="{00000000-0005-0000-0000-0000A9140000}"/>
    <cellStyle name="Normal 2 3 115" xfId="5313" xr:uid="{00000000-0005-0000-0000-0000AA140000}"/>
    <cellStyle name="Normal 2 3 116" xfId="5314" xr:uid="{00000000-0005-0000-0000-0000AB140000}"/>
    <cellStyle name="Normal 2 3 117" xfId="5315" xr:uid="{00000000-0005-0000-0000-0000AC140000}"/>
    <cellStyle name="Normal 2 3 118" xfId="5316" xr:uid="{00000000-0005-0000-0000-0000AD140000}"/>
    <cellStyle name="Normal 2 3 119" xfId="5317" xr:uid="{00000000-0005-0000-0000-0000AE140000}"/>
    <cellStyle name="Normal 2 3 12" xfId="5318" xr:uid="{00000000-0005-0000-0000-0000AF140000}"/>
    <cellStyle name="Normal 2 3 120" xfId="5319" xr:uid="{00000000-0005-0000-0000-0000B0140000}"/>
    <cellStyle name="Normal 2 3 121" xfId="5320" xr:uid="{00000000-0005-0000-0000-0000B1140000}"/>
    <cellStyle name="Normal 2 3 122" xfId="5321" xr:uid="{00000000-0005-0000-0000-0000B2140000}"/>
    <cellStyle name="Normal 2 3 123" xfId="5322" xr:uid="{00000000-0005-0000-0000-0000B3140000}"/>
    <cellStyle name="Normal 2 3 124" xfId="5323" xr:uid="{00000000-0005-0000-0000-0000B4140000}"/>
    <cellStyle name="Normal 2 3 125" xfId="5324" xr:uid="{00000000-0005-0000-0000-0000B5140000}"/>
    <cellStyle name="Normal 2 3 126" xfId="5325" xr:uid="{00000000-0005-0000-0000-0000B6140000}"/>
    <cellStyle name="Normal 2 3 127" xfId="5326" xr:uid="{00000000-0005-0000-0000-0000B7140000}"/>
    <cellStyle name="Normal 2 3 128" xfId="5327" xr:uid="{00000000-0005-0000-0000-0000B8140000}"/>
    <cellStyle name="Normal 2 3 129" xfId="5328" xr:uid="{00000000-0005-0000-0000-0000B9140000}"/>
    <cellStyle name="Normal 2 3 13" xfId="5329" xr:uid="{00000000-0005-0000-0000-0000BA140000}"/>
    <cellStyle name="Normal 2 3 130" xfId="5330" xr:uid="{00000000-0005-0000-0000-0000BB140000}"/>
    <cellStyle name="Normal 2 3 131" xfId="5331" xr:uid="{00000000-0005-0000-0000-0000BC140000}"/>
    <cellStyle name="Normal 2 3 132" xfId="5332" xr:uid="{00000000-0005-0000-0000-0000BD140000}"/>
    <cellStyle name="Normal 2 3 133" xfId="5333" xr:uid="{00000000-0005-0000-0000-0000BE140000}"/>
    <cellStyle name="Normal 2 3 134" xfId="5334" xr:uid="{00000000-0005-0000-0000-0000BF140000}"/>
    <cellStyle name="Normal 2 3 135" xfId="5335" xr:uid="{00000000-0005-0000-0000-0000C0140000}"/>
    <cellStyle name="Normal 2 3 136" xfId="5336" xr:uid="{00000000-0005-0000-0000-0000C1140000}"/>
    <cellStyle name="Normal 2 3 137" xfId="5337" xr:uid="{00000000-0005-0000-0000-0000C2140000}"/>
    <cellStyle name="Normal 2 3 138" xfId="5338" xr:uid="{00000000-0005-0000-0000-0000C3140000}"/>
    <cellStyle name="Normal 2 3 139" xfId="5339" xr:uid="{00000000-0005-0000-0000-0000C4140000}"/>
    <cellStyle name="Normal 2 3 14" xfId="5340" xr:uid="{00000000-0005-0000-0000-0000C5140000}"/>
    <cellStyle name="Normal 2 3 140" xfId="5341" xr:uid="{00000000-0005-0000-0000-0000C6140000}"/>
    <cellStyle name="Normal 2 3 141" xfId="5342" xr:uid="{00000000-0005-0000-0000-0000C7140000}"/>
    <cellStyle name="Normal 2 3 142" xfId="5343" xr:uid="{00000000-0005-0000-0000-0000C8140000}"/>
    <cellStyle name="Normal 2 3 143" xfId="5344" xr:uid="{00000000-0005-0000-0000-0000C9140000}"/>
    <cellStyle name="Normal 2 3 144" xfId="5345" xr:uid="{00000000-0005-0000-0000-0000CA140000}"/>
    <cellStyle name="Normal 2 3 15" xfId="5346" xr:uid="{00000000-0005-0000-0000-0000CB140000}"/>
    <cellStyle name="Normal 2 3 16" xfId="5347" xr:uid="{00000000-0005-0000-0000-0000CC140000}"/>
    <cellStyle name="Normal 2 3 17" xfId="5348" xr:uid="{00000000-0005-0000-0000-0000CD140000}"/>
    <cellStyle name="Normal 2 3 18" xfId="5349" xr:uid="{00000000-0005-0000-0000-0000CE140000}"/>
    <cellStyle name="Normal 2 3 19" xfId="5350" xr:uid="{00000000-0005-0000-0000-0000CF140000}"/>
    <cellStyle name="Normal 2 3 2" xfId="14" xr:uid="{00000000-0005-0000-0000-0000D0140000}"/>
    <cellStyle name="Normal 2 3 2 2" xfId="5351" xr:uid="{00000000-0005-0000-0000-0000D1140000}"/>
    <cellStyle name="Normal 2 3 2 2 10" xfId="5352" xr:uid="{00000000-0005-0000-0000-0000D2140000}"/>
    <cellStyle name="Normal 2 3 2 2 2" xfId="5353" xr:uid="{00000000-0005-0000-0000-0000D3140000}"/>
    <cellStyle name="Normal 2 3 2 2 3" xfId="5354" xr:uid="{00000000-0005-0000-0000-0000D4140000}"/>
    <cellStyle name="Normal 2 3 2 2 4" xfId="5355" xr:uid="{00000000-0005-0000-0000-0000D5140000}"/>
    <cellStyle name="Normal 2 3 2 2 5" xfId="5356" xr:uid="{00000000-0005-0000-0000-0000D6140000}"/>
    <cellStyle name="Normal 2 3 2 2 6" xfId="5357" xr:uid="{00000000-0005-0000-0000-0000D7140000}"/>
    <cellStyle name="Normal 2 3 2 2 7" xfId="5358" xr:uid="{00000000-0005-0000-0000-0000D8140000}"/>
    <cellStyle name="Normal 2 3 2 2 8" xfId="5359" xr:uid="{00000000-0005-0000-0000-0000D9140000}"/>
    <cellStyle name="Normal 2 3 2 2 9" xfId="5360" xr:uid="{00000000-0005-0000-0000-0000DA140000}"/>
    <cellStyle name="Normal 2 3 2 3" xfId="5361" xr:uid="{00000000-0005-0000-0000-0000DB140000}"/>
    <cellStyle name="Normal 2 3 2 3 2" xfId="5362" xr:uid="{00000000-0005-0000-0000-0000DC140000}"/>
    <cellStyle name="Normal 2 3 2 4" xfId="5363" xr:uid="{00000000-0005-0000-0000-0000DD140000}"/>
    <cellStyle name="Normal 2 3 2 4 2" xfId="5364" xr:uid="{00000000-0005-0000-0000-0000DE140000}"/>
    <cellStyle name="Normal 2 3 2 5" xfId="5365" xr:uid="{00000000-0005-0000-0000-0000DF140000}"/>
    <cellStyle name="Normal 2 3 2 5 2" xfId="5366" xr:uid="{00000000-0005-0000-0000-0000E0140000}"/>
    <cellStyle name="Normal 2 3 2 6" xfId="5367" xr:uid="{00000000-0005-0000-0000-0000E1140000}"/>
    <cellStyle name="Normal 2 3 2 6 2" xfId="5368" xr:uid="{00000000-0005-0000-0000-0000E2140000}"/>
    <cellStyle name="Normal 2 3 2 7" xfId="5369" xr:uid="{00000000-0005-0000-0000-0000E3140000}"/>
    <cellStyle name="Normal 2 3 2 7 2" xfId="5370" xr:uid="{00000000-0005-0000-0000-0000E4140000}"/>
    <cellStyle name="Normal 2 3 2 8" xfId="5371" xr:uid="{00000000-0005-0000-0000-0000E5140000}"/>
    <cellStyle name="Normal 2 3 2 8 2" xfId="5372" xr:uid="{00000000-0005-0000-0000-0000E6140000}"/>
    <cellStyle name="Normal 2 3 2 9" xfId="5373" xr:uid="{00000000-0005-0000-0000-0000E7140000}"/>
    <cellStyle name="Normal 2 3 2 9 2" xfId="5374" xr:uid="{00000000-0005-0000-0000-0000E8140000}"/>
    <cellStyle name="Normal 2 3 20" xfId="5375" xr:uid="{00000000-0005-0000-0000-0000E9140000}"/>
    <cellStyle name="Normal 2 3 21" xfId="5376" xr:uid="{00000000-0005-0000-0000-0000EA140000}"/>
    <cellStyle name="Normal 2 3 22" xfId="5377" xr:uid="{00000000-0005-0000-0000-0000EB140000}"/>
    <cellStyle name="Normal 2 3 23" xfId="5378" xr:uid="{00000000-0005-0000-0000-0000EC140000}"/>
    <cellStyle name="Normal 2 3 24" xfId="5379" xr:uid="{00000000-0005-0000-0000-0000ED140000}"/>
    <cellStyle name="Normal 2 3 25" xfId="5380" xr:uid="{00000000-0005-0000-0000-0000EE140000}"/>
    <cellStyle name="Normal 2 3 26" xfId="5381" xr:uid="{00000000-0005-0000-0000-0000EF140000}"/>
    <cellStyle name="Normal 2 3 27" xfId="5382" xr:uid="{00000000-0005-0000-0000-0000F0140000}"/>
    <cellStyle name="Normal 2 3 28" xfId="5383" xr:uid="{00000000-0005-0000-0000-0000F1140000}"/>
    <cellStyle name="Normal 2 3 29" xfId="5384" xr:uid="{00000000-0005-0000-0000-0000F2140000}"/>
    <cellStyle name="Normal 2 3 3" xfId="5385" xr:uid="{00000000-0005-0000-0000-0000F3140000}"/>
    <cellStyle name="Normal 2 3 3 2" xfId="5386" xr:uid="{00000000-0005-0000-0000-0000F4140000}"/>
    <cellStyle name="Normal 2 3 3 2 2" xfId="5387" xr:uid="{00000000-0005-0000-0000-0000F5140000}"/>
    <cellStyle name="Normal 2 3 3 2 3" xfId="5388" xr:uid="{00000000-0005-0000-0000-0000F6140000}"/>
    <cellStyle name="Normal 2 3 3 3" xfId="5389" xr:uid="{00000000-0005-0000-0000-0000F7140000}"/>
    <cellStyle name="Normal 2 3 3 4" xfId="5390" xr:uid="{00000000-0005-0000-0000-0000F8140000}"/>
    <cellStyle name="Normal 2 3 30" xfId="5391" xr:uid="{00000000-0005-0000-0000-0000F9140000}"/>
    <cellStyle name="Normal 2 3 31" xfId="5392" xr:uid="{00000000-0005-0000-0000-0000FA140000}"/>
    <cellStyle name="Normal 2 3 32" xfId="5393" xr:uid="{00000000-0005-0000-0000-0000FB140000}"/>
    <cellStyle name="Normal 2 3 33" xfId="5394" xr:uid="{00000000-0005-0000-0000-0000FC140000}"/>
    <cellStyle name="Normal 2 3 34" xfId="5395" xr:uid="{00000000-0005-0000-0000-0000FD140000}"/>
    <cellStyle name="Normal 2 3 35" xfId="5396" xr:uid="{00000000-0005-0000-0000-0000FE140000}"/>
    <cellStyle name="Normal 2 3 36" xfId="5397" xr:uid="{00000000-0005-0000-0000-0000FF140000}"/>
    <cellStyle name="Normal 2 3 37" xfId="5398" xr:uid="{00000000-0005-0000-0000-000000150000}"/>
    <cellStyle name="Normal 2 3 38" xfId="5399" xr:uid="{00000000-0005-0000-0000-000001150000}"/>
    <cellStyle name="Normal 2 3 39" xfId="5400" xr:uid="{00000000-0005-0000-0000-000002150000}"/>
    <cellStyle name="Normal 2 3 4" xfId="5401" xr:uid="{00000000-0005-0000-0000-000003150000}"/>
    <cellStyle name="Normal 2 3 4 2" xfId="5402" xr:uid="{00000000-0005-0000-0000-000004150000}"/>
    <cellStyle name="Normal 2 3 40" xfId="5403" xr:uid="{00000000-0005-0000-0000-000005150000}"/>
    <cellStyle name="Normal 2 3 41" xfId="5404" xr:uid="{00000000-0005-0000-0000-000006150000}"/>
    <cellStyle name="Normal 2 3 42" xfId="5405" xr:uid="{00000000-0005-0000-0000-000007150000}"/>
    <cellStyle name="Normal 2 3 43" xfId="5406" xr:uid="{00000000-0005-0000-0000-000008150000}"/>
    <cellStyle name="Normal 2 3 44" xfId="5407" xr:uid="{00000000-0005-0000-0000-000009150000}"/>
    <cellStyle name="Normal 2 3 45" xfId="5408" xr:uid="{00000000-0005-0000-0000-00000A150000}"/>
    <cellStyle name="Normal 2 3 46" xfId="5409" xr:uid="{00000000-0005-0000-0000-00000B150000}"/>
    <cellStyle name="Normal 2 3 47" xfId="5410" xr:uid="{00000000-0005-0000-0000-00000C150000}"/>
    <cellStyle name="Normal 2 3 48" xfId="5411" xr:uid="{00000000-0005-0000-0000-00000D150000}"/>
    <cellStyle name="Normal 2 3 49" xfId="5412" xr:uid="{00000000-0005-0000-0000-00000E150000}"/>
    <cellStyle name="Normal 2 3 5" xfId="5413" xr:uid="{00000000-0005-0000-0000-00000F150000}"/>
    <cellStyle name="Normal 2 3 50" xfId="5414" xr:uid="{00000000-0005-0000-0000-000010150000}"/>
    <cellStyle name="Normal 2 3 51" xfId="5415" xr:uid="{00000000-0005-0000-0000-000011150000}"/>
    <cellStyle name="Normal 2 3 52" xfId="5416" xr:uid="{00000000-0005-0000-0000-000012150000}"/>
    <cellStyle name="Normal 2 3 53" xfId="5417" xr:uid="{00000000-0005-0000-0000-000013150000}"/>
    <cellStyle name="Normal 2 3 54" xfId="5418" xr:uid="{00000000-0005-0000-0000-000014150000}"/>
    <cellStyle name="Normal 2 3 55" xfId="5419" xr:uid="{00000000-0005-0000-0000-000015150000}"/>
    <cellStyle name="Normal 2 3 56" xfId="5420" xr:uid="{00000000-0005-0000-0000-000016150000}"/>
    <cellStyle name="Normal 2 3 57" xfId="5421" xr:uid="{00000000-0005-0000-0000-000017150000}"/>
    <cellStyle name="Normal 2 3 58" xfId="5422" xr:uid="{00000000-0005-0000-0000-000018150000}"/>
    <cellStyle name="Normal 2 3 59" xfId="5423" xr:uid="{00000000-0005-0000-0000-000019150000}"/>
    <cellStyle name="Normal 2 3 6" xfId="5424" xr:uid="{00000000-0005-0000-0000-00001A150000}"/>
    <cellStyle name="Normal 2 3 60" xfId="5425" xr:uid="{00000000-0005-0000-0000-00001B150000}"/>
    <cellStyle name="Normal 2 3 61" xfId="5426" xr:uid="{00000000-0005-0000-0000-00001C150000}"/>
    <cellStyle name="Normal 2 3 62" xfId="5427" xr:uid="{00000000-0005-0000-0000-00001D150000}"/>
    <cellStyle name="Normal 2 3 63" xfId="5428" xr:uid="{00000000-0005-0000-0000-00001E150000}"/>
    <cellStyle name="Normal 2 3 64" xfId="5429" xr:uid="{00000000-0005-0000-0000-00001F150000}"/>
    <cellStyle name="Normal 2 3 65" xfId="5430" xr:uid="{00000000-0005-0000-0000-000020150000}"/>
    <cellStyle name="Normal 2 3 66" xfId="5431" xr:uid="{00000000-0005-0000-0000-000021150000}"/>
    <cellStyle name="Normal 2 3 67" xfId="5432" xr:uid="{00000000-0005-0000-0000-000022150000}"/>
    <cellStyle name="Normal 2 3 68" xfId="5433" xr:uid="{00000000-0005-0000-0000-000023150000}"/>
    <cellStyle name="Normal 2 3 69" xfId="5434" xr:uid="{00000000-0005-0000-0000-000024150000}"/>
    <cellStyle name="Normal 2 3 7" xfId="5435" xr:uid="{00000000-0005-0000-0000-000025150000}"/>
    <cellStyle name="Normal 2 3 70" xfId="5436" xr:uid="{00000000-0005-0000-0000-000026150000}"/>
    <cellStyle name="Normal 2 3 71" xfId="5437" xr:uid="{00000000-0005-0000-0000-000027150000}"/>
    <cellStyle name="Normal 2 3 72" xfId="5438" xr:uid="{00000000-0005-0000-0000-000028150000}"/>
    <cellStyle name="Normal 2 3 73" xfId="5439" xr:uid="{00000000-0005-0000-0000-000029150000}"/>
    <cellStyle name="Normal 2 3 74" xfId="5440" xr:uid="{00000000-0005-0000-0000-00002A150000}"/>
    <cellStyle name="Normal 2 3 75" xfId="5441" xr:uid="{00000000-0005-0000-0000-00002B150000}"/>
    <cellStyle name="Normal 2 3 76" xfId="5442" xr:uid="{00000000-0005-0000-0000-00002C150000}"/>
    <cellStyle name="Normal 2 3 77" xfId="5443" xr:uid="{00000000-0005-0000-0000-00002D150000}"/>
    <cellStyle name="Normal 2 3 78" xfId="5444" xr:uid="{00000000-0005-0000-0000-00002E150000}"/>
    <cellStyle name="Normal 2 3 79" xfId="5445" xr:uid="{00000000-0005-0000-0000-00002F150000}"/>
    <cellStyle name="Normal 2 3 8" xfId="5446" xr:uid="{00000000-0005-0000-0000-000030150000}"/>
    <cellStyle name="Normal 2 3 80" xfId="5447" xr:uid="{00000000-0005-0000-0000-000031150000}"/>
    <cellStyle name="Normal 2 3 81" xfId="5448" xr:uid="{00000000-0005-0000-0000-000032150000}"/>
    <cellStyle name="Normal 2 3 82" xfId="5449" xr:uid="{00000000-0005-0000-0000-000033150000}"/>
    <cellStyle name="Normal 2 3 83" xfId="5450" xr:uid="{00000000-0005-0000-0000-000034150000}"/>
    <cellStyle name="Normal 2 3 84" xfId="5451" xr:uid="{00000000-0005-0000-0000-000035150000}"/>
    <cellStyle name="Normal 2 3 85" xfId="5452" xr:uid="{00000000-0005-0000-0000-000036150000}"/>
    <cellStyle name="Normal 2 3 86" xfId="5453" xr:uid="{00000000-0005-0000-0000-000037150000}"/>
    <cellStyle name="Normal 2 3 87" xfId="5454" xr:uid="{00000000-0005-0000-0000-000038150000}"/>
    <cellStyle name="Normal 2 3 88" xfId="5455" xr:uid="{00000000-0005-0000-0000-000039150000}"/>
    <cellStyle name="Normal 2 3 89" xfId="5456" xr:uid="{00000000-0005-0000-0000-00003A150000}"/>
    <cellStyle name="Normal 2 3 9" xfId="5457" xr:uid="{00000000-0005-0000-0000-00003B150000}"/>
    <cellStyle name="Normal 2 3 90" xfId="5458" xr:uid="{00000000-0005-0000-0000-00003C150000}"/>
    <cellStyle name="Normal 2 3 91" xfId="5459" xr:uid="{00000000-0005-0000-0000-00003D150000}"/>
    <cellStyle name="Normal 2 3 92" xfId="5460" xr:uid="{00000000-0005-0000-0000-00003E150000}"/>
    <cellStyle name="Normal 2 3 93" xfId="5461" xr:uid="{00000000-0005-0000-0000-00003F150000}"/>
    <cellStyle name="Normal 2 3 94" xfId="5462" xr:uid="{00000000-0005-0000-0000-000040150000}"/>
    <cellStyle name="Normal 2 3 95" xfId="5463" xr:uid="{00000000-0005-0000-0000-000041150000}"/>
    <cellStyle name="Normal 2 3 96" xfId="5464" xr:uid="{00000000-0005-0000-0000-000042150000}"/>
    <cellStyle name="Normal 2 3 96 2" xfId="5465" xr:uid="{00000000-0005-0000-0000-000043150000}"/>
    <cellStyle name="Normal 2 3 97" xfId="5466" xr:uid="{00000000-0005-0000-0000-000044150000}"/>
    <cellStyle name="Normal 2 3 98" xfId="5467" xr:uid="{00000000-0005-0000-0000-000045150000}"/>
    <cellStyle name="Normal 2 3 99" xfId="5468" xr:uid="{00000000-0005-0000-0000-000046150000}"/>
    <cellStyle name="Normal 2 30" xfId="5469" xr:uid="{00000000-0005-0000-0000-000047150000}"/>
    <cellStyle name="Normal 2 30 2" xfId="5470" xr:uid="{00000000-0005-0000-0000-000048150000}"/>
    <cellStyle name="Normal 2 30 2 2" xfId="5471" xr:uid="{00000000-0005-0000-0000-000049150000}"/>
    <cellStyle name="Normal 2 30 3" xfId="5472" xr:uid="{00000000-0005-0000-0000-00004A150000}"/>
    <cellStyle name="Normal 2 31" xfId="5473" xr:uid="{00000000-0005-0000-0000-00004B150000}"/>
    <cellStyle name="Normal 2 31 2" xfId="5474" xr:uid="{00000000-0005-0000-0000-00004C150000}"/>
    <cellStyle name="Normal 2 31 2 2" xfId="5475" xr:uid="{00000000-0005-0000-0000-00004D150000}"/>
    <cellStyle name="Normal 2 31 3" xfId="5476" xr:uid="{00000000-0005-0000-0000-00004E150000}"/>
    <cellStyle name="Normal 2 32" xfId="5477" xr:uid="{00000000-0005-0000-0000-00004F150000}"/>
    <cellStyle name="Normal 2 32 2" xfId="5478" xr:uid="{00000000-0005-0000-0000-000050150000}"/>
    <cellStyle name="Normal 2 32 2 2" xfId="5479" xr:uid="{00000000-0005-0000-0000-000051150000}"/>
    <cellStyle name="Normal 2 32 3" xfId="5480" xr:uid="{00000000-0005-0000-0000-000052150000}"/>
    <cellStyle name="Normal 2 33" xfId="5481" xr:uid="{00000000-0005-0000-0000-000053150000}"/>
    <cellStyle name="Normal 2 33 2" xfId="5482" xr:uid="{00000000-0005-0000-0000-000054150000}"/>
    <cellStyle name="Normal 2 33 2 2" xfId="5483" xr:uid="{00000000-0005-0000-0000-000055150000}"/>
    <cellStyle name="Normal 2 33 3" xfId="5484" xr:uid="{00000000-0005-0000-0000-000056150000}"/>
    <cellStyle name="Normal 2 34" xfId="5485" xr:uid="{00000000-0005-0000-0000-000057150000}"/>
    <cellStyle name="Normal 2 34 2" xfId="5486" xr:uid="{00000000-0005-0000-0000-000058150000}"/>
    <cellStyle name="Normal 2 34 2 2" xfId="5487" xr:uid="{00000000-0005-0000-0000-000059150000}"/>
    <cellStyle name="Normal 2 34 3" xfId="5488" xr:uid="{00000000-0005-0000-0000-00005A150000}"/>
    <cellStyle name="Normal 2 35" xfId="5489" xr:uid="{00000000-0005-0000-0000-00005B150000}"/>
    <cellStyle name="Normal 2 35 2" xfId="5490" xr:uid="{00000000-0005-0000-0000-00005C150000}"/>
    <cellStyle name="Normal 2 35 2 2" xfId="5491" xr:uid="{00000000-0005-0000-0000-00005D150000}"/>
    <cellStyle name="Normal 2 35 3" xfId="5492" xr:uid="{00000000-0005-0000-0000-00005E150000}"/>
    <cellStyle name="Normal 2 36" xfId="5493" xr:uid="{00000000-0005-0000-0000-00005F150000}"/>
    <cellStyle name="Normal 2 36 2" xfId="5494" xr:uid="{00000000-0005-0000-0000-000060150000}"/>
    <cellStyle name="Normal 2 36 2 2" xfId="5495" xr:uid="{00000000-0005-0000-0000-000061150000}"/>
    <cellStyle name="Normal 2 36 3" xfId="5496" xr:uid="{00000000-0005-0000-0000-000062150000}"/>
    <cellStyle name="Normal 2 37" xfId="5497" xr:uid="{00000000-0005-0000-0000-000063150000}"/>
    <cellStyle name="Normal 2 37 2" xfId="5498" xr:uid="{00000000-0005-0000-0000-000064150000}"/>
    <cellStyle name="Normal 2 37 2 2" xfId="5499" xr:uid="{00000000-0005-0000-0000-000065150000}"/>
    <cellStyle name="Normal 2 37 3" xfId="5500" xr:uid="{00000000-0005-0000-0000-000066150000}"/>
    <cellStyle name="Normal 2 38" xfId="5501" xr:uid="{00000000-0005-0000-0000-000067150000}"/>
    <cellStyle name="Normal 2 38 2" xfId="5502" xr:uid="{00000000-0005-0000-0000-000068150000}"/>
    <cellStyle name="Normal 2 38 2 2" xfId="5503" xr:uid="{00000000-0005-0000-0000-000069150000}"/>
    <cellStyle name="Normal 2 38 3" xfId="5504" xr:uid="{00000000-0005-0000-0000-00006A150000}"/>
    <cellStyle name="Normal 2 39" xfId="5505" xr:uid="{00000000-0005-0000-0000-00006B150000}"/>
    <cellStyle name="Normal 2 39 2" xfId="5506" xr:uid="{00000000-0005-0000-0000-00006C150000}"/>
    <cellStyle name="Normal 2 39 2 2" xfId="5507" xr:uid="{00000000-0005-0000-0000-00006D150000}"/>
    <cellStyle name="Normal 2 39 3" xfId="5508" xr:uid="{00000000-0005-0000-0000-00006E150000}"/>
    <cellStyle name="Normal 2 4" xfId="5509" xr:uid="{00000000-0005-0000-0000-00006F150000}"/>
    <cellStyle name="Normal 2 4 10" xfId="5510" xr:uid="{00000000-0005-0000-0000-000070150000}"/>
    <cellStyle name="Normal 2 4 11" xfId="5511" xr:uid="{00000000-0005-0000-0000-000071150000}"/>
    <cellStyle name="Normal 2 4 12" xfId="5512" xr:uid="{00000000-0005-0000-0000-000072150000}"/>
    <cellStyle name="Normal 2 4 13" xfId="5513" xr:uid="{00000000-0005-0000-0000-000073150000}"/>
    <cellStyle name="Normal 2 4 2" xfId="5514" xr:uid="{00000000-0005-0000-0000-000074150000}"/>
    <cellStyle name="Normal 2 4 2 2" xfId="5515" xr:uid="{00000000-0005-0000-0000-000075150000}"/>
    <cellStyle name="Normal 2 4 2 2 2" xfId="5516" xr:uid="{00000000-0005-0000-0000-000076150000}"/>
    <cellStyle name="Normal 2 4 2 2 2 2" xfId="5517" xr:uid="{00000000-0005-0000-0000-000077150000}"/>
    <cellStyle name="Normal 2 4 2 2 2 2 2" xfId="5518" xr:uid="{00000000-0005-0000-0000-000078150000}"/>
    <cellStyle name="Normal 2 4 2 2 2 3" xfId="5519" xr:uid="{00000000-0005-0000-0000-000079150000}"/>
    <cellStyle name="Normal 2 4 2 2 3" xfId="5520" xr:uid="{00000000-0005-0000-0000-00007A150000}"/>
    <cellStyle name="Normal 2 4 2 2 3 2" xfId="5521" xr:uid="{00000000-0005-0000-0000-00007B150000}"/>
    <cellStyle name="Normal 2 4 2 2 3 2 2" xfId="5522" xr:uid="{00000000-0005-0000-0000-00007C150000}"/>
    <cellStyle name="Normal 2 4 2 2 3 3" xfId="5523" xr:uid="{00000000-0005-0000-0000-00007D150000}"/>
    <cellStyle name="Normal 2 4 2 2 4" xfId="5524" xr:uid="{00000000-0005-0000-0000-00007E150000}"/>
    <cellStyle name="Normal 2 4 2 2 4 2" xfId="5525" xr:uid="{00000000-0005-0000-0000-00007F150000}"/>
    <cellStyle name="Normal 2 4 2 2 4 2 2" xfId="5526" xr:uid="{00000000-0005-0000-0000-000080150000}"/>
    <cellStyle name="Normal 2 4 2 2 4 3" xfId="5527" xr:uid="{00000000-0005-0000-0000-000081150000}"/>
    <cellStyle name="Normal 2 4 2 2 5" xfId="5528" xr:uid="{00000000-0005-0000-0000-000082150000}"/>
    <cellStyle name="Normal 2 4 2 2 5 2" xfId="5529" xr:uid="{00000000-0005-0000-0000-000083150000}"/>
    <cellStyle name="Normal 2 4 2 2 5 2 2" xfId="5530" xr:uid="{00000000-0005-0000-0000-000084150000}"/>
    <cellStyle name="Normal 2 4 2 2 5 3" xfId="5531" xr:uid="{00000000-0005-0000-0000-000085150000}"/>
    <cellStyle name="Normal 2 4 2 3" xfId="5532" xr:uid="{00000000-0005-0000-0000-000086150000}"/>
    <cellStyle name="Normal 2 4 2 4" xfId="5533" xr:uid="{00000000-0005-0000-0000-000087150000}"/>
    <cellStyle name="Normal 2 4 2 5" xfId="5534" xr:uid="{00000000-0005-0000-0000-000088150000}"/>
    <cellStyle name="Normal 2 4 2 6" xfId="5535" xr:uid="{00000000-0005-0000-0000-000089150000}"/>
    <cellStyle name="Normal 2 4 2 6 2" xfId="5536" xr:uid="{00000000-0005-0000-0000-00008A150000}"/>
    <cellStyle name="Normal 2 4 2 7" xfId="5537" xr:uid="{00000000-0005-0000-0000-00008B150000}"/>
    <cellStyle name="Normal 2 4 2 8" xfId="5538" xr:uid="{00000000-0005-0000-0000-00008C150000}"/>
    <cellStyle name="Normal 2 4 3" xfId="5539" xr:uid="{00000000-0005-0000-0000-00008D150000}"/>
    <cellStyle name="Normal 2 4 3 2" xfId="5540" xr:uid="{00000000-0005-0000-0000-00008E150000}"/>
    <cellStyle name="Normal 2 4 3 2 2" xfId="5541" xr:uid="{00000000-0005-0000-0000-00008F150000}"/>
    <cellStyle name="Normal 2 4 3 3" xfId="5542" xr:uid="{00000000-0005-0000-0000-000090150000}"/>
    <cellStyle name="Normal 2 4 3 4" xfId="5543" xr:uid="{00000000-0005-0000-0000-000091150000}"/>
    <cellStyle name="Normal 2 4 3 5" xfId="5544" xr:uid="{00000000-0005-0000-0000-000092150000}"/>
    <cellStyle name="Normal 2 4 4" xfId="5545" xr:uid="{00000000-0005-0000-0000-000093150000}"/>
    <cellStyle name="Normal 2 4 4 2" xfId="5546" xr:uid="{00000000-0005-0000-0000-000094150000}"/>
    <cellStyle name="Normal 2 4 4 2 2" xfId="5547" xr:uid="{00000000-0005-0000-0000-000095150000}"/>
    <cellStyle name="Normal 2 4 4 3" xfId="5548" xr:uid="{00000000-0005-0000-0000-000096150000}"/>
    <cellStyle name="Normal 2 4 5" xfId="5549" xr:uid="{00000000-0005-0000-0000-000097150000}"/>
    <cellStyle name="Normal 2 4 5 2" xfId="5550" xr:uid="{00000000-0005-0000-0000-000098150000}"/>
    <cellStyle name="Normal 2 4 5 2 2" xfId="5551" xr:uid="{00000000-0005-0000-0000-000099150000}"/>
    <cellStyle name="Normal 2 4 5 3" xfId="5552" xr:uid="{00000000-0005-0000-0000-00009A150000}"/>
    <cellStyle name="Normal 2 4 6" xfId="5553" xr:uid="{00000000-0005-0000-0000-00009B150000}"/>
    <cellStyle name="Normal 2 4 6 2" xfId="5554" xr:uid="{00000000-0005-0000-0000-00009C150000}"/>
    <cellStyle name="Normal 2 4 6 2 2" xfId="5555" xr:uid="{00000000-0005-0000-0000-00009D150000}"/>
    <cellStyle name="Normal 2 4 6 3" xfId="5556" xr:uid="{00000000-0005-0000-0000-00009E150000}"/>
    <cellStyle name="Normal 2 4 7" xfId="5557" xr:uid="{00000000-0005-0000-0000-00009F150000}"/>
    <cellStyle name="Normal 2 4 7 2" xfId="5558" xr:uid="{00000000-0005-0000-0000-0000A0150000}"/>
    <cellStyle name="Normal 2 4 7 2 2" xfId="5559" xr:uid="{00000000-0005-0000-0000-0000A1150000}"/>
    <cellStyle name="Normal 2 4 7 3" xfId="5560" xr:uid="{00000000-0005-0000-0000-0000A2150000}"/>
    <cellStyle name="Normal 2 4 7 4" xfId="5561" xr:uid="{00000000-0005-0000-0000-0000A3150000}"/>
    <cellStyle name="Normal 2 4 8" xfId="5562" xr:uid="{00000000-0005-0000-0000-0000A4150000}"/>
    <cellStyle name="Normal 2 4 8 2" xfId="5563" xr:uid="{00000000-0005-0000-0000-0000A5150000}"/>
    <cellStyle name="Normal 2 4 9" xfId="5564" xr:uid="{00000000-0005-0000-0000-0000A6150000}"/>
    <cellStyle name="Normal 2 40" xfId="5565" xr:uid="{00000000-0005-0000-0000-0000A7150000}"/>
    <cellStyle name="Normal 2 40 2" xfId="5566" xr:uid="{00000000-0005-0000-0000-0000A8150000}"/>
    <cellStyle name="Normal 2 40 2 2" xfId="5567" xr:uid="{00000000-0005-0000-0000-0000A9150000}"/>
    <cellStyle name="Normal 2 40 3" xfId="5568" xr:uid="{00000000-0005-0000-0000-0000AA150000}"/>
    <cellStyle name="Normal 2 41" xfId="5569" xr:uid="{00000000-0005-0000-0000-0000AB150000}"/>
    <cellStyle name="Normal 2 41 2" xfId="5570" xr:uid="{00000000-0005-0000-0000-0000AC150000}"/>
    <cellStyle name="Normal 2 41 2 2" xfId="5571" xr:uid="{00000000-0005-0000-0000-0000AD150000}"/>
    <cellStyle name="Normal 2 41 3" xfId="5572" xr:uid="{00000000-0005-0000-0000-0000AE150000}"/>
    <cellStyle name="Normal 2 42" xfId="5573" xr:uid="{00000000-0005-0000-0000-0000AF150000}"/>
    <cellStyle name="Normal 2 42 2" xfId="5574" xr:uid="{00000000-0005-0000-0000-0000B0150000}"/>
    <cellStyle name="Normal 2 42 2 2" xfId="5575" xr:uid="{00000000-0005-0000-0000-0000B1150000}"/>
    <cellStyle name="Normal 2 42 3" xfId="5576" xr:uid="{00000000-0005-0000-0000-0000B2150000}"/>
    <cellStyle name="Normal 2 43" xfId="5577" xr:uid="{00000000-0005-0000-0000-0000B3150000}"/>
    <cellStyle name="Normal 2 43 2" xfId="5578" xr:uid="{00000000-0005-0000-0000-0000B4150000}"/>
    <cellStyle name="Normal 2 43 2 2" xfId="5579" xr:uid="{00000000-0005-0000-0000-0000B5150000}"/>
    <cellStyle name="Normal 2 43 3" xfId="5580" xr:uid="{00000000-0005-0000-0000-0000B6150000}"/>
    <cellStyle name="Normal 2 44" xfId="5581" xr:uid="{00000000-0005-0000-0000-0000B7150000}"/>
    <cellStyle name="Normal 2 44 2" xfId="5582" xr:uid="{00000000-0005-0000-0000-0000B8150000}"/>
    <cellStyle name="Normal 2 44 2 2" xfId="5583" xr:uid="{00000000-0005-0000-0000-0000B9150000}"/>
    <cellStyle name="Normal 2 44 3" xfId="5584" xr:uid="{00000000-0005-0000-0000-0000BA150000}"/>
    <cellStyle name="Normal 2 45" xfId="5585" xr:uid="{00000000-0005-0000-0000-0000BB150000}"/>
    <cellStyle name="Normal 2 45 2" xfId="5586" xr:uid="{00000000-0005-0000-0000-0000BC150000}"/>
    <cellStyle name="Normal 2 45 2 2" xfId="5587" xr:uid="{00000000-0005-0000-0000-0000BD150000}"/>
    <cellStyle name="Normal 2 45 3" xfId="5588" xr:uid="{00000000-0005-0000-0000-0000BE150000}"/>
    <cellStyle name="Normal 2 46" xfId="5589" xr:uid="{00000000-0005-0000-0000-0000BF150000}"/>
    <cellStyle name="Normal 2 46 2" xfId="5590" xr:uid="{00000000-0005-0000-0000-0000C0150000}"/>
    <cellStyle name="Normal 2 46 2 2" xfId="5591" xr:uid="{00000000-0005-0000-0000-0000C1150000}"/>
    <cellStyle name="Normal 2 46 3" xfId="5592" xr:uid="{00000000-0005-0000-0000-0000C2150000}"/>
    <cellStyle name="Normal 2 47" xfId="5593" xr:uid="{00000000-0005-0000-0000-0000C3150000}"/>
    <cellStyle name="Normal 2 47 2" xfId="5594" xr:uid="{00000000-0005-0000-0000-0000C4150000}"/>
    <cellStyle name="Normal 2 47 2 2" xfId="5595" xr:uid="{00000000-0005-0000-0000-0000C5150000}"/>
    <cellStyle name="Normal 2 47 3" xfId="5596" xr:uid="{00000000-0005-0000-0000-0000C6150000}"/>
    <cellStyle name="Normal 2 48" xfId="5597" xr:uid="{00000000-0005-0000-0000-0000C7150000}"/>
    <cellStyle name="Normal 2 48 2" xfId="5598" xr:uid="{00000000-0005-0000-0000-0000C8150000}"/>
    <cellStyle name="Normal 2 48 2 2" xfId="5599" xr:uid="{00000000-0005-0000-0000-0000C9150000}"/>
    <cellStyle name="Normal 2 48 3" xfId="5600" xr:uid="{00000000-0005-0000-0000-0000CA150000}"/>
    <cellStyle name="Normal 2 49" xfId="5601" xr:uid="{00000000-0005-0000-0000-0000CB150000}"/>
    <cellStyle name="Normal 2 49 2" xfId="5602" xr:uid="{00000000-0005-0000-0000-0000CC150000}"/>
    <cellStyle name="Normal 2 49 2 2" xfId="5603" xr:uid="{00000000-0005-0000-0000-0000CD150000}"/>
    <cellStyle name="Normal 2 49 3" xfId="5604" xr:uid="{00000000-0005-0000-0000-0000CE150000}"/>
    <cellStyle name="Normal 2 5" xfId="5605" xr:uid="{00000000-0005-0000-0000-0000CF150000}"/>
    <cellStyle name="Normal 2 5 10" xfId="5606" xr:uid="{00000000-0005-0000-0000-0000D0150000}"/>
    <cellStyle name="Normal 2 5 11" xfId="5607" xr:uid="{00000000-0005-0000-0000-0000D1150000}"/>
    <cellStyle name="Normal 2 5 12" xfId="5608" xr:uid="{00000000-0005-0000-0000-0000D2150000}"/>
    <cellStyle name="Normal 2 5 13" xfId="5609" xr:uid="{00000000-0005-0000-0000-0000D3150000}"/>
    <cellStyle name="Normal 2 5 2" xfId="5610" xr:uid="{00000000-0005-0000-0000-0000D4150000}"/>
    <cellStyle name="Normal 2 5 2 2" xfId="5611" xr:uid="{00000000-0005-0000-0000-0000D5150000}"/>
    <cellStyle name="Normal 2 5 2 2 2" xfId="5612" xr:uid="{00000000-0005-0000-0000-0000D6150000}"/>
    <cellStyle name="Normal 2 5 2 2 2 2" xfId="5613" xr:uid="{00000000-0005-0000-0000-0000D7150000}"/>
    <cellStyle name="Normal 2 5 2 2 2 2 2" xfId="5614" xr:uid="{00000000-0005-0000-0000-0000D8150000}"/>
    <cellStyle name="Normal 2 5 2 2 2 3" xfId="5615" xr:uid="{00000000-0005-0000-0000-0000D9150000}"/>
    <cellStyle name="Normal 2 5 2 2 3" xfId="5616" xr:uid="{00000000-0005-0000-0000-0000DA150000}"/>
    <cellStyle name="Normal 2 5 2 2 3 2" xfId="5617" xr:uid="{00000000-0005-0000-0000-0000DB150000}"/>
    <cellStyle name="Normal 2 5 2 2 3 2 2" xfId="5618" xr:uid="{00000000-0005-0000-0000-0000DC150000}"/>
    <cellStyle name="Normal 2 5 2 2 3 3" xfId="5619" xr:uid="{00000000-0005-0000-0000-0000DD150000}"/>
    <cellStyle name="Normal 2 5 2 2 4" xfId="5620" xr:uid="{00000000-0005-0000-0000-0000DE150000}"/>
    <cellStyle name="Normal 2 5 2 2 4 2" xfId="5621" xr:uid="{00000000-0005-0000-0000-0000DF150000}"/>
    <cellStyle name="Normal 2 5 2 2 4 2 2" xfId="5622" xr:uid="{00000000-0005-0000-0000-0000E0150000}"/>
    <cellStyle name="Normal 2 5 2 2 4 3" xfId="5623" xr:uid="{00000000-0005-0000-0000-0000E1150000}"/>
    <cellStyle name="Normal 2 5 2 2 5" xfId="5624" xr:uid="{00000000-0005-0000-0000-0000E2150000}"/>
    <cellStyle name="Normal 2 5 2 2 5 2" xfId="5625" xr:uid="{00000000-0005-0000-0000-0000E3150000}"/>
    <cellStyle name="Normal 2 5 2 2 5 2 2" xfId="5626" xr:uid="{00000000-0005-0000-0000-0000E4150000}"/>
    <cellStyle name="Normal 2 5 2 2 5 3" xfId="5627" xr:uid="{00000000-0005-0000-0000-0000E5150000}"/>
    <cellStyle name="Normal 2 5 2 3" xfId="5628" xr:uid="{00000000-0005-0000-0000-0000E6150000}"/>
    <cellStyle name="Normal 2 5 2 4" xfId="5629" xr:uid="{00000000-0005-0000-0000-0000E7150000}"/>
    <cellStyle name="Normal 2 5 2 5" xfId="5630" xr:uid="{00000000-0005-0000-0000-0000E8150000}"/>
    <cellStyle name="Normal 2 5 2 6" xfId="5631" xr:uid="{00000000-0005-0000-0000-0000E9150000}"/>
    <cellStyle name="Normal 2 5 2 6 2" xfId="5632" xr:uid="{00000000-0005-0000-0000-0000EA150000}"/>
    <cellStyle name="Normal 2 5 2 7" xfId="5633" xr:uid="{00000000-0005-0000-0000-0000EB150000}"/>
    <cellStyle name="Normal 2 5 2 8" xfId="5634" xr:uid="{00000000-0005-0000-0000-0000EC150000}"/>
    <cellStyle name="Normal 2 5 3" xfId="5635" xr:uid="{00000000-0005-0000-0000-0000ED150000}"/>
    <cellStyle name="Normal 2 5 3 2" xfId="5636" xr:uid="{00000000-0005-0000-0000-0000EE150000}"/>
    <cellStyle name="Normal 2 5 3 2 2" xfId="5637" xr:uid="{00000000-0005-0000-0000-0000EF150000}"/>
    <cellStyle name="Normal 2 5 3 3" xfId="5638" xr:uid="{00000000-0005-0000-0000-0000F0150000}"/>
    <cellStyle name="Normal 2 5 3 4" xfId="5639" xr:uid="{00000000-0005-0000-0000-0000F1150000}"/>
    <cellStyle name="Normal 2 5 3 5" xfId="5640" xr:uid="{00000000-0005-0000-0000-0000F2150000}"/>
    <cellStyle name="Normal 2 5 4" xfId="5641" xr:uid="{00000000-0005-0000-0000-0000F3150000}"/>
    <cellStyle name="Normal 2 5 4 2" xfId="5642" xr:uid="{00000000-0005-0000-0000-0000F4150000}"/>
    <cellStyle name="Normal 2 5 4 2 2" xfId="5643" xr:uid="{00000000-0005-0000-0000-0000F5150000}"/>
    <cellStyle name="Normal 2 5 4 3" xfId="5644" xr:uid="{00000000-0005-0000-0000-0000F6150000}"/>
    <cellStyle name="Normal 2 5 5" xfId="5645" xr:uid="{00000000-0005-0000-0000-0000F7150000}"/>
    <cellStyle name="Normal 2 5 5 2" xfId="5646" xr:uid="{00000000-0005-0000-0000-0000F8150000}"/>
    <cellStyle name="Normal 2 5 5 2 2" xfId="5647" xr:uid="{00000000-0005-0000-0000-0000F9150000}"/>
    <cellStyle name="Normal 2 5 5 3" xfId="5648" xr:uid="{00000000-0005-0000-0000-0000FA150000}"/>
    <cellStyle name="Normal 2 5 6" xfId="5649" xr:uid="{00000000-0005-0000-0000-0000FB150000}"/>
    <cellStyle name="Normal 2 5 6 2" xfId="5650" xr:uid="{00000000-0005-0000-0000-0000FC150000}"/>
    <cellStyle name="Normal 2 5 6 2 2" xfId="5651" xr:uid="{00000000-0005-0000-0000-0000FD150000}"/>
    <cellStyle name="Normal 2 5 6 3" xfId="5652" xr:uid="{00000000-0005-0000-0000-0000FE150000}"/>
    <cellStyle name="Normal 2 5 7" xfId="5653" xr:uid="{00000000-0005-0000-0000-0000FF150000}"/>
    <cellStyle name="Normal 2 5 7 2" xfId="5654" xr:uid="{00000000-0005-0000-0000-000000160000}"/>
    <cellStyle name="Normal 2 5 7 2 2" xfId="5655" xr:uid="{00000000-0005-0000-0000-000001160000}"/>
    <cellStyle name="Normal 2 5 7 3" xfId="5656" xr:uid="{00000000-0005-0000-0000-000002160000}"/>
    <cellStyle name="Normal 2 5 7 4" xfId="5657" xr:uid="{00000000-0005-0000-0000-000003160000}"/>
    <cellStyle name="Normal 2 5 8" xfId="5658" xr:uid="{00000000-0005-0000-0000-000004160000}"/>
    <cellStyle name="Normal 2 5 8 2" xfId="5659" xr:uid="{00000000-0005-0000-0000-000005160000}"/>
    <cellStyle name="Normal 2 5 9" xfId="5660" xr:uid="{00000000-0005-0000-0000-000006160000}"/>
    <cellStyle name="Normal 2 50" xfId="5661" xr:uid="{00000000-0005-0000-0000-000007160000}"/>
    <cellStyle name="Normal 2 50 2" xfId="5662" xr:uid="{00000000-0005-0000-0000-000008160000}"/>
    <cellStyle name="Normal 2 50 2 2" xfId="5663" xr:uid="{00000000-0005-0000-0000-000009160000}"/>
    <cellStyle name="Normal 2 50 3" xfId="5664" xr:uid="{00000000-0005-0000-0000-00000A160000}"/>
    <cellStyle name="Normal 2 51" xfId="5665" xr:uid="{00000000-0005-0000-0000-00000B160000}"/>
    <cellStyle name="Normal 2 51 2" xfId="5666" xr:uid="{00000000-0005-0000-0000-00000C160000}"/>
    <cellStyle name="Normal 2 51 2 2" xfId="5667" xr:uid="{00000000-0005-0000-0000-00000D160000}"/>
    <cellStyle name="Normal 2 51 3" xfId="5668" xr:uid="{00000000-0005-0000-0000-00000E160000}"/>
    <cellStyle name="Normal 2 52" xfId="5669" xr:uid="{00000000-0005-0000-0000-00000F160000}"/>
    <cellStyle name="Normal 2 52 2" xfId="5670" xr:uid="{00000000-0005-0000-0000-000010160000}"/>
    <cellStyle name="Normal 2 52 2 2" xfId="5671" xr:uid="{00000000-0005-0000-0000-000011160000}"/>
    <cellStyle name="Normal 2 52 3" xfId="5672" xr:uid="{00000000-0005-0000-0000-000012160000}"/>
    <cellStyle name="Normal 2 53" xfId="5673" xr:uid="{00000000-0005-0000-0000-000013160000}"/>
    <cellStyle name="Normal 2 53 2" xfId="5674" xr:uid="{00000000-0005-0000-0000-000014160000}"/>
    <cellStyle name="Normal 2 53 2 2" xfId="5675" xr:uid="{00000000-0005-0000-0000-000015160000}"/>
    <cellStyle name="Normal 2 53 3" xfId="5676" xr:uid="{00000000-0005-0000-0000-000016160000}"/>
    <cellStyle name="Normal 2 54" xfId="5677" xr:uid="{00000000-0005-0000-0000-000017160000}"/>
    <cellStyle name="Normal 2 54 2" xfId="5678" xr:uid="{00000000-0005-0000-0000-000018160000}"/>
    <cellStyle name="Normal 2 54 2 2" xfId="5679" xr:uid="{00000000-0005-0000-0000-000019160000}"/>
    <cellStyle name="Normal 2 54 3" xfId="5680" xr:uid="{00000000-0005-0000-0000-00001A160000}"/>
    <cellStyle name="Normal 2 55" xfId="5681" xr:uid="{00000000-0005-0000-0000-00001B160000}"/>
    <cellStyle name="Normal 2 55 2" xfId="5682" xr:uid="{00000000-0005-0000-0000-00001C160000}"/>
    <cellStyle name="Normal 2 55 2 2" xfId="5683" xr:uid="{00000000-0005-0000-0000-00001D160000}"/>
    <cellStyle name="Normal 2 55 3" xfId="5684" xr:uid="{00000000-0005-0000-0000-00001E160000}"/>
    <cellStyle name="Normal 2 56" xfId="5685" xr:uid="{00000000-0005-0000-0000-00001F160000}"/>
    <cellStyle name="Normal 2 56 2" xfId="5686" xr:uid="{00000000-0005-0000-0000-000020160000}"/>
    <cellStyle name="Normal 2 56 2 2" xfId="5687" xr:uid="{00000000-0005-0000-0000-000021160000}"/>
    <cellStyle name="Normal 2 56 3" xfId="5688" xr:uid="{00000000-0005-0000-0000-000022160000}"/>
    <cellStyle name="Normal 2 57" xfId="5689" xr:uid="{00000000-0005-0000-0000-000023160000}"/>
    <cellStyle name="Normal 2 57 2" xfId="5690" xr:uid="{00000000-0005-0000-0000-000024160000}"/>
    <cellStyle name="Normal 2 57 2 2" xfId="5691" xr:uid="{00000000-0005-0000-0000-000025160000}"/>
    <cellStyle name="Normal 2 57 3" xfId="5692" xr:uid="{00000000-0005-0000-0000-000026160000}"/>
    <cellStyle name="Normal 2 58" xfId="5693" xr:uid="{00000000-0005-0000-0000-000027160000}"/>
    <cellStyle name="Normal 2 58 2" xfId="5694" xr:uid="{00000000-0005-0000-0000-000028160000}"/>
    <cellStyle name="Normal 2 58 2 2" xfId="5695" xr:uid="{00000000-0005-0000-0000-000029160000}"/>
    <cellStyle name="Normal 2 58 3" xfId="5696" xr:uid="{00000000-0005-0000-0000-00002A160000}"/>
    <cellStyle name="Normal 2 59" xfId="5697" xr:uid="{00000000-0005-0000-0000-00002B160000}"/>
    <cellStyle name="Normal 2 59 2" xfId="5698" xr:uid="{00000000-0005-0000-0000-00002C160000}"/>
    <cellStyle name="Normal 2 59 2 2" xfId="5699" xr:uid="{00000000-0005-0000-0000-00002D160000}"/>
    <cellStyle name="Normal 2 59 3" xfId="5700" xr:uid="{00000000-0005-0000-0000-00002E160000}"/>
    <cellStyle name="Normal 2 6" xfId="5701" xr:uid="{00000000-0005-0000-0000-00002F160000}"/>
    <cellStyle name="Normal 2 6 10" xfId="5702" xr:uid="{00000000-0005-0000-0000-000030160000}"/>
    <cellStyle name="Normal 2 6 2" xfId="5703" xr:uid="{00000000-0005-0000-0000-000031160000}"/>
    <cellStyle name="Normal 2 6 2 2" xfId="5704" xr:uid="{00000000-0005-0000-0000-000032160000}"/>
    <cellStyle name="Normal 2 6 2 3" xfId="5705" xr:uid="{00000000-0005-0000-0000-000033160000}"/>
    <cellStyle name="Normal 2 6 2 4" xfId="5706" xr:uid="{00000000-0005-0000-0000-000034160000}"/>
    <cellStyle name="Normal 2 6 3" xfId="5707" xr:uid="{00000000-0005-0000-0000-000035160000}"/>
    <cellStyle name="Normal 2 6 3 2" xfId="5708" xr:uid="{00000000-0005-0000-0000-000036160000}"/>
    <cellStyle name="Normal 2 6 3 3" xfId="5709" xr:uid="{00000000-0005-0000-0000-000037160000}"/>
    <cellStyle name="Normal 2 6 4" xfId="5710" xr:uid="{00000000-0005-0000-0000-000038160000}"/>
    <cellStyle name="Normal 2 6 4 2" xfId="5711" xr:uid="{00000000-0005-0000-0000-000039160000}"/>
    <cellStyle name="Normal 2 6 5" xfId="5712" xr:uid="{00000000-0005-0000-0000-00003A160000}"/>
    <cellStyle name="Normal 2 6 5 2" xfId="5713" xr:uid="{00000000-0005-0000-0000-00003B160000}"/>
    <cellStyle name="Normal 2 6 6" xfId="5714" xr:uid="{00000000-0005-0000-0000-00003C160000}"/>
    <cellStyle name="Normal 2 6 6 2" xfId="5715" xr:uid="{00000000-0005-0000-0000-00003D160000}"/>
    <cellStyle name="Normal 2 6 6 3" xfId="5716" xr:uid="{00000000-0005-0000-0000-00003E160000}"/>
    <cellStyle name="Normal 2 6 7" xfId="5717" xr:uid="{00000000-0005-0000-0000-00003F160000}"/>
    <cellStyle name="Normal 2 6 8" xfId="5718" xr:uid="{00000000-0005-0000-0000-000040160000}"/>
    <cellStyle name="Normal 2 6 9" xfId="5719" xr:uid="{00000000-0005-0000-0000-000041160000}"/>
    <cellStyle name="Normal 2 60" xfId="5720" xr:uid="{00000000-0005-0000-0000-000042160000}"/>
    <cellStyle name="Normal 2 60 2" xfId="5721" xr:uid="{00000000-0005-0000-0000-000043160000}"/>
    <cellStyle name="Normal 2 60 2 2" xfId="5722" xr:uid="{00000000-0005-0000-0000-000044160000}"/>
    <cellStyle name="Normal 2 60 3" xfId="5723" xr:uid="{00000000-0005-0000-0000-000045160000}"/>
    <cellStyle name="Normal 2 61" xfId="5724" xr:uid="{00000000-0005-0000-0000-000046160000}"/>
    <cellStyle name="Normal 2 61 2" xfId="5725" xr:uid="{00000000-0005-0000-0000-000047160000}"/>
    <cellStyle name="Normal 2 61 2 2" xfId="5726" xr:uid="{00000000-0005-0000-0000-000048160000}"/>
    <cellStyle name="Normal 2 61 3" xfId="5727" xr:uid="{00000000-0005-0000-0000-000049160000}"/>
    <cellStyle name="Normal 2 62" xfId="5728" xr:uid="{00000000-0005-0000-0000-00004A160000}"/>
    <cellStyle name="Normal 2 62 2" xfId="5729" xr:uid="{00000000-0005-0000-0000-00004B160000}"/>
    <cellStyle name="Normal 2 62 2 2" xfId="5730" xr:uid="{00000000-0005-0000-0000-00004C160000}"/>
    <cellStyle name="Normal 2 62 3" xfId="5731" xr:uid="{00000000-0005-0000-0000-00004D160000}"/>
    <cellStyle name="Normal 2 63" xfId="5732" xr:uid="{00000000-0005-0000-0000-00004E160000}"/>
    <cellStyle name="Normal 2 63 2" xfId="5733" xr:uid="{00000000-0005-0000-0000-00004F160000}"/>
    <cellStyle name="Normal 2 63 2 2" xfId="5734" xr:uid="{00000000-0005-0000-0000-000050160000}"/>
    <cellStyle name="Normal 2 63 3" xfId="5735" xr:uid="{00000000-0005-0000-0000-000051160000}"/>
    <cellStyle name="Normal 2 64" xfId="5736" xr:uid="{00000000-0005-0000-0000-000052160000}"/>
    <cellStyle name="Normal 2 64 2" xfId="5737" xr:uid="{00000000-0005-0000-0000-000053160000}"/>
    <cellStyle name="Normal 2 64 2 2" xfId="5738" xr:uid="{00000000-0005-0000-0000-000054160000}"/>
    <cellStyle name="Normal 2 64 3" xfId="5739" xr:uid="{00000000-0005-0000-0000-000055160000}"/>
    <cellStyle name="Normal 2 65" xfId="5740" xr:uid="{00000000-0005-0000-0000-000056160000}"/>
    <cellStyle name="Normal 2 66" xfId="5741" xr:uid="{00000000-0005-0000-0000-000057160000}"/>
    <cellStyle name="Normal 2 67" xfId="5742" xr:uid="{00000000-0005-0000-0000-000058160000}"/>
    <cellStyle name="Normal 2 68" xfId="5743" xr:uid="{00000000-0005-0000-0000-000059160000}"/>
    <cellStyle name="Normal 2 69" xfId="5744" xr:uid="{00000000-0005-0000-0000-00005A160000}"/>
    <cellStyle name="Normal 2 7" xfId="5745" xr:uid="{00000000-0005-0000-0000-00005B160000}"/>
    <cellStyle name="Normal 2 7 10" xfId="5746" xr:uid="{00000000-0005-0000-0000-00005C160000}"/>
    <cellStyle name="Normal 2 7 11" xfId="5747" xr:uid="{00000000-0005-0000-0000-00005D160000}"/>
    <cellStyle name="Normal 2 7 12" xfId="5748" xr:uid="{00000000-0005-0000-0000-00005E160000}"/>
    <cellStyle name="Normal 2 7 13" xfId="5749" xr:uid="{00000000-0005-0000-0000-00005F160000}"/>
    <cellStyle name="Normal 2 7 2" xfId="5750" xr:uid="{00000000-0005-0000-0000-000060160000}"/>
    <cellStyle name="Normal 2 7 2 2" xfId="5751" xr:uid="{00000000-0005-0000-0000-000061160000}"/>
    <cellStyle name="Normal 2 7 2 3" xfId="5752" xr:uid="{00000000-0005-0000-0000-000062160000}"/>
    <cellStyle name="Normal 2 7 2 4" xfId="5753" xr:uid="{00000000-0005-0000-0000-000063160000}"/>
    <cellStyle name="Normal 2 7 2 5" xfId="5754" xr:uid="{00000000-0005-0000-0000-000064160000}"/>
    <cellStyle name="Normal 2 7 3" xfId="5755" xr:uid="{00000000-0005-0000-0000-000065160000}"/>
    <cellStyle name="Normal 2 7 3 2" xfId="5756" xr:uid="{00000000-0005-0000-0000-000066160000}"/>
    <cellStyle name="Normal 2 7 3 3" xfId="5757" xr:uid="{00000000-0005-0000-0000-000067160000}"/>
    <cellStyle name="Normal 2 7 4" xfId="5758" xr:uid="{00000000-0005-0000-0000-000068160000}"/>
    <cellStyle name="Normal 2 7 4 2" xfId="5759" xr:uid="{00000000-0005-0000-0000-000069160000}"/>
    <cellStyle name="Normal 2 7 5" xfId="5760" xr:uid="{00000000-0005-0000-0000-00006A160000}"/>
    <cellStyle name="Normal 2 7 6" xfId="5761" xr:uid="{00000000-0005-0000-0000-00006B160000}"/>
    <cellStyle name="Normal 2 7 7" xfId="5762" xr:uid="{00000000-0005-0000-0000-00006C160000}"/>
    <cellStyle name="Normal 2 7 8" xfId="5763" xr:uid="{00000000-0005-0000-0000-00006D160000}"/>
    <cellStyle name="Normal 2 7 9" xfId="5764" xr:uid="{00000000-0005-0000-0000-00006E160000}"/>
    <cellStyle name="Normal 2 70" xfId="5765" xr:uid="{00000000-0005-0000-0000-00006F160000}"/>
    <cellStyle name="Normal 2 71" xfId="5766" xr:uid="{00000000-0005-0000-0000-000070160000}"/>
    <cellStyle name="Normal 2 71 2" xfId="5767" xr:uid="{00000000-0005-0000-0000-000071160000}"/>
    <cellStyle name="Normal 2 72" xfId="5768" xr:uid="{00000000-0005-0000-0000-000072160000}"/>
    <cellStyle name="Normal 2 72 2" xfId="5769" xr:uid="{00000000-0005-0000-0000-000073160000}"/>
    <cellStyle name="Normal 2 73" xfId="5770" xr:uid="{00000000-0005-0000-0000-000074160000}"/>
    <cellStyle name="Normal 2 74" xfId="5771" xr:uid="{00000000-0005-0000-0000-000075160000}"/>
    <cellStyle name="Normal 2 74 2" xfId="5772" xr:uid="{00000000-0005-0000-0000-000076160000}"/>
    <cellStyle name="Normal 2 75" xfId="5773" xr:uid="{00000000-0005-0000-0000-000077160000}"/>
    <cellStyle name="Normal 2 75 2" xfId="5774" xr:uid="{00000000-0005-0000-0000-000078160000}"/>
    <cellStyle name="Normal 2 76" xfId="5775" xr:uid="{00000000-0005-0000-0000-000079160000}"/>
    <cellStyle name="Normal 2 76 2" xfId="5776" xr:uid="{00000000-0005-0000-0000-00007A160000}"/>
    <cellStyle name="Normal 2 77" xfId="5777" xr:uid="{00000000-0005-0000-0000-00007B160000}"/>
    <cellStyle name="Normal 2 77 2" xfId="5778" xr:uid="{00000000-0005-0000-0000-00007C160000}"/>
    <cellStyle name="Normal 2 78" xfId="5779" xr:uid="{00000000-0005-0000-0000-00007D160000}"/>
    <cellStyle name="Normal 2 78 2" xfId="5780" xr:uid="{00000000-0005-0000-0000-00007E160000}"/>
    <cellStyle name="Normal 2 79" xfId="5781" xr:uid="{00000000-0005-0000-0000-00007F160000}"/>
    <cellStyle name="Normal 2 79 2" xfId="5782" xr:uid="{00000000-0005-0000-0000-000080160000}"/>
    <cellStyle name="Normal 2 8" xfId="5783" xr:uid="{00000000-0005-0000-0000-000081160000}"/>
    <cellStyle name="Normal 2 8 2" xfId="5784" xr:uid="{00000000-0005-0000-0000-000082160000}"/>
    <cellStyle name="Normal 2 8 2 2" xfId="5785" xr:uid="{00000000-0005-0000-0000-000083160000}"/>
    <cellStyle name="Normal 2 8 2 3" xfId="5786" xr:uid="{00000000-0005-0000-0000-000084160000}"/>
    <cellStyle name="Normal 2 8 3" xfId="5787" xr:uid="{00000000-0005-0000-0000-000085160000}"/>
    <cellStyle name="Normal 2 8 4" xfId="5788" xr:uid="{00000000-0005-0000-0000-000086160000}"/>
    <cellStyle name="Normal 2 8 4 2" xfId="5789" xr:uid="{00000000-0005-0000-0000-000087160000}"/>
    <cellStyle name="Normal 2 8 5" xfId="5790" xr:uid="{00000000-0005-0000-0000-000088160000}"/>
    <cellStyle name="Normal 2 8 6" xfId="5791" xr:uid="{00000000-0005-0000-0000-000089160000}"/>
    <cellStyle name="Normal 2 8 7" xfId="5792" xr:uid="{00000000-0005-0000-0000-00008A160000}"/>
    <cellStyle name="Normal 2 8 8" xfId="5793" xr:uid="{00000000-0005-0000-0000-00008B160000}"/>
    <cellStyle name="Normal 2 80" xfId="5794" xr:uid="{00000000-0005-0000-0000-00008C160000}"/>
    <cellStyle name="Normal 2 80 2" xfId="5795" xr:uid="{00000000-0005-0000-0000-00008D160000}"/>
    <cellStyle name="Normal 2 81" xfId="5796" xr:uid="{00000000-0005-0000-0000-00008E160000}"/>
    <cellStyle name="Normal 2 81 2" xfId="5797" xr:uid="{00000000-0005-0000-0000-00008F160000}"/>
    <cellStyle name="Normal 2 82" xfId="5798" xr:uid="{00000000-0005-0000-0000-000090160000}"/>
    <cellStyle name="Normal 2 82 2" xfId="5799" xr:uid="{00000000-0005-0000-0000-000091160000}"/>
    <cellStyle name="Normal 2 83" xfId="5800" xr:uid="{00000000-0005-0000-0000-000092160000}"/>
    <cellStyle name="Normal 2 83 2" xfId="5801" xr:uid="{00000000-0005-0000-0000-000093160000}"/>
    <cellStyle name="Normal 2 84" xfId="5802" xr:uid="{00000000-0005-0000-0000-000094160000}"/>
    <cellStyle name="Normal 2 84 2" xfId="5803" xr:uid="{00000000-0005-0000-0000-000095160000}"/>
    <cellStyle name="Normal 2 85" xfId="5804" xr:uid="{00000000-0005-0000-0000-000096160000}"/>
    <cellStyle name="Normal 2 85 2" xfId="5805" xr:uid="{00000000-0005-0000-0000-000097160000}"/>
    <cellStyle name="Normal 2 86" xfId="5806" xr:uid="{00000000-0005-0000-0000-000098160000}"/>
    <cellStyle name="Normal 2 86 2" xfId="5807" xr:uid="{00000000-0005-0000-0000-000099160000}"/>
    <cellStyle name="Normal 2 87" xfId="5808" xr:uid="{00000000-0005-0000-0000-00009A160000}"/>
    <cellStyle name="Normal 2 87 2" xfId="5809" xr:uid="{00000000-0005-0000-0000-00009B160000}"/>
    <cellStyle name="Normal 2 88" xfId="5810" xr:uid="{00000000-0005-0000-0000-00009C160000}"/>
    <cellStyle name="Normal 2 89" xfId="5811" xr:uid="{00000000-0005-0000-0000-00009D160000}"/>
    <cellStyle name="Normal 2 9" xfId="5812" xr:uid="{00000000-0005-0000-0000-00009E160000}"/>
    <cellStyle name="Normal 2 9 2" xfId="5813" xr:uid="{00000000-0005-0000-0000-00009F160000}"/>
    <cellStyle name="Normal 2 9 3" xfId="5814" xr:uid="{00000000-0005-0000-0000-0000A0160000}"/>
    <cellStyle name="Normal 2 9 4" xfId="5815" xr:uid="{00000000-0005-0000-0000-0000A1160000}"/>
    <cellStyle name="Normal 2 9 4 2" xfId="5816" xr:uid="{00000000-0005-0000-0000-0000A2160000}"/>
    <cellStyle name="Normal 2 9 5" xfId="5817" xr:uid="{00000000-0005-0000-0000-0000A3160000}"/>
    <cellStyle name="Normal 2 9 6" xfId="5818" xr:uid="{00000000-0005-0000-0000-0000A4160000}"/>
    <cellStyle name="Normal 2 90" xfId="5819" xr:uid="{00000000-0005-0000-0000-0000A5160000}"/>
    <cellStyle name="Normal 2 90 2" xfId="5820" xr:uid="{00000000-0005-0000-0000-0000A6160000}"/>
    <cellStyle name="Normal 2 91" xfId="5821" xr:uid="{00000000-0005-0000-0000-0000A7160000}"/>
    <cellStyle name="Normal 2 91 2" xfId="5822" xr:uid="{00000000-0005-0000-0000-0000A8160000}"/>
    <cellStyle name="Normal 2 92" xfId="5823" xr:uid="{00000000-0005-0000-0000-0000A9160000}"/>
    <cellStyle name="Normal 2 92 2" xfId="5824" xr:uid="{00000000-0005-0000-0000-0000AA160000}"/>
    <cellStyle name="Normal 2 93" xfId="5825" xr:uid="{00000000-0005-0000-0000-0000AB160000}"/>
    <cellStyle name="Normal 2 93 2" xfId="5826" xr:uid="{00000000-0005-0000-0000-0000AC160000}"/>
    <cellStyle name="Normal 2 94" xfId="5827" xr:uid="{00000000-0005-0000-0000-0000AD160000}"/>
    <cellStyle name="Normal 2 94 2" xfId="5828" xr:uid="{00000000-0005-0000-0000-0000AE160000}"/>
    <cellStyle name="Normal 2 95" xfId="5829" xr:uid="{00000000-0005-0000-0000-0000AF160000}"/>
    <cellStyle name="Normal 2 95 2" xfId="5830" xr:uid="{00000000-0005-0000-0000-0000B0160000}"/>
    <cellStyle name="Normal 2 95 3" xfId="5831" xr:uid="{00000000-0005-0000-0000-0000B1160000}"/>
    <cellStyle name="Normal 2 96" xfId="5832" xr:uid="{00000000-0005-0000-0000-0000B2160000}"/>
    <cellStyle name="Normal 2 96 2" xfId="5833" xr:uid="{00000000-0005-0000-0000-0000B3160000}"/>
    <cellStyle name="Normal 2 97" xfId="5834" xr:uid="{00000000-0005-0000-0000-0000B4160000}"/>
    <cellStyle name="Normal 2 97 2" xfId="5835" xr:uid="{00000000-0005-0000-0000-0000B5160000}"/>
    <cellStyle name="Normal 2 98" xfId="5836" xr:uid="{00000000-0005-0000-0000-0000B6160000}"/>
    <cellStyle name="Normal 2 98 2" xfId="5837" xr:uid="{00000000-0005-0000-0000-0000B7160000}"/>
    <cellStyle name="Normal 2 99" xfId="5838" xr:uid="{00000000-0005-0000-0000-0000B8160000}"/>
    <cellStyle name="Normal 2 99 2" xfId="5839" xr:uid="{00000000-0005-0000-0000-0000B9160000}"/>
    <cellStyle name="Normal 20" xfId="5840" xr:uid="{00000000-0005-0000-0000-0000BA160000}"/>
    <cellStyle name="Normal 20 2" xfId="5841" xr:uid="{00000000-0005-0000-0000-0000BB160000}"/>
    <cellStyle name="Normal 20 2 2" xfId="5842" xr:uid="{00000000-0005-0000-0000-0000BC160000}"/>
    <cellStyle name="Normal 20 2 3" xfId="5843" xr:uid="{00000000-0005-0000-0000-0000BD160000}"/>
    <cellStyle name="Normal 20 3" xfId="5844" xr:uid="{00000000-0005-0000-0000-0000BE160000}"/>
    <cellStyle name="Normal 20 4" xfId="5845" xr:uid="{00000000-0005-0000-0000-0000BF160000}"/>
    <cellStyle name="Normal 200" xfId="5846" xr:uid="{00000000-0005-0000-0000-0000C0160000}"/>
    <cellStyle name="Normal 201" xfId="5847" xr:uid="{00000000-0005-0000-0000-0000C1160000}"/>
    <cellStyle name="Normal 201 2" xfId="5848" xr:uid="{00000000-0005-0000-0000-0000C2160000}"/>
    <cellStyle name="Normal 202" xfId="5849" xr:uid="{00000000-0005-0000-0000-0000C3160000}"/>
    <cellStyle name="Normal 203" xfId="5850" xr:uid="{00000000-0005-0000-0000-0000C4160000}"/>
    <cellStyle name="Normal 204" xfId="5851" xr:uid="{00000000-0005-0000-0000-0000C5160000}"/>
    <cellStyle name="Normal 205" xfId="5852" xr:uid="{00000000-0005-0000-0000-0000C6160000}"/>
    <cellStyle name="Normal 206" xfId="5853" xr:uid="{00000000-0005-0000-0000-0000C7160000}"/>
    <cellStyle name="Normal 207" xfId="5854" xr:uid="{00000000-0005-0000-0000-0000C8160000}"/>
    <cellStyle name="Normal 208" xfId="5855" xr:uid="{00000000-0005-0000-0000-0000C9160000}"/>
    <cellStyle name="Normal 209" xfId="5856" xr:uid="{00000000-0005-0000-0000-0000CA160000}"/>
    <cellStyle name="Normal 21" xfId="5857" xr:uid="{00000000-0005-0000-0000-0000CB160000}"/>
    <cellStyle name="Normal 21 2" xfId="5858" xr:uid="{00000000-0005-0000-0000-0000CC160000}"/>
    <cellStyle name="Normal 21 2 2" xfId="5859" xr:uid="{00000000-0005-0000-0000-0000CD160000}"/>
    <cellStyle name="Normal 21 2 3" xfId="5860" xr:uid="{00000000-0005-0000-0000-0000CE160000}"/>
    <cellStyle name="Normal 21 3" xfId="5861" xr:uid="{00000000-0005-0000-0000-0000CF160000}"/>
    <cellStyle name="Normal 21 4" xfId="5862" xr:uid="{00000000-0005-0000-0000-0000D0160000}"/>
    <cellStyle name="Normal 210" xfId="5863" xr:uid="{00000000-0005-0000-0000-0000D1160000}"/>
    <cellStyle name="Normal 211" xfId="5864" xr:uid="{00000000-0005-0000-0000-0000D2160000}"/>
    <cellStyle name="Normal 212" xfId="5865" xr:uid="{00000000-0005-0000-0000-0000D3160000}"/>
    <cellStyle name="Normal 213" xfId="5866" xr:uid="{00000000-0005-0000-0000-0000D4160000}"/>
    <cellStyle name="Normal 214" xfId="5867" xr:uid="{00000000-0005-0000-0000-0000D5160000}"/>
    <cellStyle name="Normal 215" xfId="5868" xr:uid="{00000000-0005-0000-0000-0000D6160000}"/>
    <cellStyle name="Normal 216" xfId="5869" xr:uid="{00000000-0005-0000-0000-0000D7160000}"/>
    <cellStyle name="Normal 217" xfId="5870" xr:uid="{00000000-0005-0000-0000-0000D8160000}"/>
    <cellStyle name="Normal 218" xfId="5871" xr:uid="{00000000-0005-0000-0000-0000D9160000}"/>
    <cellStyle name="Normal 219" xfId="5872" xr:uid="{00000000-0005-0000-0000-0000DA160000}"/>
    <cellStyle name="Normal 22" xfId="5873" xr:uid="{00000000-0005-0000-0000-0000DB160000}"/>
    <cellStyle name="Normal 22 2" xfId="5874" xr:uid="{00000000-0005-0000-0000-0000DC160000}"/>
    <cellStyle name="Normal 22 2 2" xfId="5875" xr:uid="{00000000-0005-0000-0000-0000DD160000}"/>
    <cellStyle name="Normal 22 2 3" xfId="5876" xr:uid="{00000000-0005-0000-0000-0000DE160000}"/>
    <cellStyle name="Normal 22 3" xfId="5877" xr:uid="{00000000-0005-0000-0000-0000DF160000}"/>
    <cellStyle name="Normal 22 4" xfId="5878" xr:uid="{00000000-0005-0000-0000-0000E0160000}"/>
    <cellStyle name="Normal 220" xfId="5879" xr:uid="{00000000-0005-0000-0000-0000E1160000}"/>
    <cellStyle name="Normal 221" xfId="5880" xr:uid="{00000000-0005-0000-0000-0000E2160000}"/>
    <cellStyle name="Normal 222" xfId="5881" xr:uid="{00000000-0005-0000-0000-0000E3160000}"/>
    <cellStyle name="Normal 223" xfId="5882" xr:uid="{00000000-0005-0000-0000-0000E4160000}"/>
    <cellStyle name="Normal 224" xfId="5883" xr:uid="{00000000-0005-0000-0000-0000E5160000}"/>
    <cellStyle name="Normal 225" xfId="5884" xr:uid="{00000000-0005-0000-0000-0000E6160000}"/>
    <cellStyle name="Normal 226" xfId="5885" xr:uid="{00000000-0005-0000-0000-0000E7160000}"/>
    <cellStyle name="Normal 227" xfId="5886" xr:uid="{00000000-0005-0000-0000-0000E8160000}"/>
    <cellStyle name="Normal 228" xfId="5887" xr:uid="{00000000-0005-0000-0000-0000E9160000}"/>
    <cellStyle name="Normal 229" xfId="5888" xr:uid="{00000000-0005-0000-0000-0000EA160000}"/>
    <cellStyle name="Normal 23" xfId="5889" xr:uid="{00000000-0005-0000-0000-0000EB160000}"/>
    <cellStyle name="Normal 23 2" xfId="5890" xr:uid="{00000000-0005-0000-0000-0000EC160000}"/>
    <cellStyle name="Normal 23 2 2" xfId="5891" xr:uid="{00000000-0005-0000-0000-0000ED160000}"/>
    <cellStyle name="Normal 23 2 3" xfId="5892" xr:uid="{00000000-0005-0000-0000-0000EE160000}"/>
    <cellStyle name="Normal 23 3" xfId="5893" xr:uid="{00000000-0005-0000-0000-0000EF160000}"/>
    <cellStyle name="Normal 230" xfId="5894" xr:uid="{00000000-0005-0000-0000-0000F0160000}"/>
    <cellStyle name="Normal 231" xfId="5895" xr:uid="{00000000-0005-0000-0000-0000F1160000}"/>
    <cellStyle name="Normal 232" xfId="5896" xr:uid="{00000000-0005-0000-0000-0000F2160000}"/>
    <cellStyle name="Normal 233" xfId="5897" xr:uid="{00000000-0005-0000-0000-0000F3160000}"/>
    <cellStyle name="Normal 234" xfId="5898" xr:uid="{00000000-0005-0000-0000-0000F4160000}"/>
    <cellStyle name="Normal 234 2" xfId="5899" xr:uid="{00000000-0005-0000-0000-0000F5160000}"/>
    <cellStyle name="Normal 235" xfId="5900" xr:uid="{00000000-0005-0000-0000-0000F6160000}"/>
    <cellStyle name="Normal 236" xfId="5901" xr:uid="{00000000-0005-0000-0000-0000F7160000}"/>
    <cellStyle name="Normal 237" xfId="5902" xr:uid="{00000000-0005-0000-0000-0000F8160000}"/>
    <cellStyle name="Normal 238" xfId="5903" xr:uid="{00000000-0005-0000-0000-0000F9160000}"/>
    <cellStyle name="Normal 239" xfId="5904" xr:uid="{00000000-0005-0000-0000-0000FA160000}"/>
    <cellStyle name="Normal 24" xfId="5905" xr:uid="{00000000-0005-0000-0000-0000FB160000}"/>
    <cellStyle name="Normal 24 2" xfId="5906" xr:uid="{00000000-0005-0000-0000-0000FC160000}"/>
    <cellStyle name="Normal 24 2 2" xfId="5907" xr:uid="{00000000-0005-0000-0000-0000FD160000}"/>
    <cellStyle name="Normal 24 2 3" xfId="5908" xr:uid="{00000000-0005-0000-0000-0000FE160000}"/>
    <cellStyle name="Normal 24 3" xfId="5909" xr:uid="{00000000-0005-0000-0000-0000FF160000}"/>
    <cellStyle name="Normal 240" xfId="5910" xr:uid="{00000000-0005-0000-0000-000000170000}"/>
    <cellStyle name="Normal 241" xfId="5911" xr:uid="{00000000-0005-0000-0000-000001170000}"/>
    <cellStyle name="Normal 242" xfId="5912" xr:uid="{00000000-0005-0000-0000-000002170000}"/>
    <cellStyle name="Normal 243" xfId="5913" xr:uid="{00000000-0005-0000-0000-000003170000}"/>
    <cellStyle name="Normal 244" xfId="9415" xr:uid="{00000000-0005-0000-0000-000004170000}"/>
    <cellStyle name="Normal 245" xfId="9421" xr:uid="{00000000-0005-0000-0000-000005170000}"/>
    <cellStyle name="Normal 245 2" xfId="9427" xr:uid="{00000000-0005-0000-0000-000006170000}"/>
    <cellStyle name="Normal 246" xfId="7" xr:uid="{00000000-0005-0000-0000-000007170000}"/>
    <cellStyle name="Normal 246 2" xfId="8" xr:uid="{00000000-0005-0000-0000-000008170000}"/>
    <cellStyle name="Normal 247" xfId="9429" xr:uid="{00000000-0005-0000-0000-000009170000}"/>
    <cellStyle name="Normal 248" xfId="9431" xr:uid="{00000000-0005-0000-0000-00000A170000}"/>
    <cellStyle name="Normal 249" xfId="9434" xr:uid="{00000000-0005-0000-0000-00000B170000}"/>
    <cellStyle name="Normal 25" xfId="5914" xr:uid="{00000000-0005-0000-0000-00000C170000}"/>
    <cellStyle name="Normal 25 2" xfId="5915" xr:uid="{00000000-0005-0000-0000-00000D170000}"/>
    <cellStyle name="Normal 25 2 2" xfId="5916" xr:uid="{00000000-0005-0000-0000-00000E170000}"/>
    <cellStyle name="Normal 25 2 3" xfId="5917" xr:uid="{00000000-0005-0000-0000-00000F170000}"/>
    <cellStyle name="Normal 25 3" xfId="5918" xr:uid="{00000000-0005-0000-0000-000010170000}"/>
    <cellStyle name="Normal 250" xfId="9437" xr:uid="{00000000-0005-0000-0000-000011170000}"/>
    <cellStyle name="Normal 250 4" xfId="48" xr:uid="{00000000-0005-0000-0000-000012170000}"/>
    <cellStyle name="Normal 251" xfId="9426" xr:uid="{00000000-0005-0000-0000-000013170000}"/>
    <cellStyle name="Normal 252" xfId="9469" xr:uid="{00000000-0005-0000-0000-000014170000}"/>
    <cellStyle name="Normal 252 2" xfId="9484" xr:uid="{00000000-0005-0000-0000-000015170000}"/>
    <cellStyle name="Normal 252 4" xfId="9493" xr:uid="{CDF0C039-5F94-4C68-855D-27758FFF3463}"/>
    <cellStyle name="Normal 253" xfId="31" xr:uid="{00000000-0005-0000-0000-000016170000}"/>
    <cellStyle name="Normal 253 2" xfId="46" xr:uid="{00000000-0005-0000-0000-000017170000}"/>
    <cellStyle name="Normal 254" xfId="9449" xr:uid="{00000000-0005-0000-0000-000018170000}"/>
    <cellStyle name="Normal 255" xfId="9470" xr:uid="{00000000-0005-0000-0000-000019170000}"/>
    <cellStyle name="Normal 256" xfId="9471" xr:uid="{00000000-0005-0000-0000-00001A170000}"/>
    <cellStyle name="Normal 257" xfId="9474" xr:uid="{00000000-0005-0000-0000-00001B170000}"/>
    <cellStyle name="Normal 258" xfId="9478" xr:uid="{00000000-0005-0000-0000-00001C170000}"/>
    <cellStyle name="Normal 259" xfId="9483" xr:uid="{00000000-0005-0000-0000-00001D170000}"/>
    <cellStyle name="Normal 26" xfId="5919" xr:uid="{00000000-0005-0000-0000-00001E170000}"/>
    <cellStyle name="Normal 26 2" xfId="5920" xr:uid="{00000000-0005-0000-0000-00001F170000}"/>
    <cellStyle name="Normal 26 2 2" xfId="5921" xr:uid="{00000000-0005-0000-0000-000020170000}"/>
    <cellStyle name="Normal 26 2 3" xfId="5922" xr:uid="{00000000-0005-0000-0000-000021170000}"/>
    <cellStyle name="Normal 26 3" xfId="5923" xr:uid="{00000000-0005-0000-0000-000022170000}"/>
    <cellStyle name="Normal 260" xfId="9486" xr:uid="{00000000-0005-0000-0000-000023170000}"/>
    <cellStyle name="Normal 267" xfId="9489" xr:uid="{00000000-0005-0000-0000-000024170000}"/>
    <cellStyle name="Normal 268" xfId="9490" xr:uid="{00000000-0005-0000-0000-000025170000}"/>
    <cellStyle name="Normal 27" xfId="5924" xr:uid="{00000000-0005-0000-0000-000026170000}"/>
    <cellStyle name="Normal 27 2" xfId="5925" xr:uid="{00000000-0005-0000-0000-000027170000}"/>
    <cellStyle name="Normal 27 2 2" xfId="5926" xr:uid="{00000000-0005-0000-0000-000028170000}"/>
    <cellStyle name="Normal 27 2 3" xfId="5927" xr:uid="{00000000-0005-0000-0000-000029170000}"/>
    <cellStyle name="Normal 27 3" xfId="5928" xr:uid="{00000000-0005-0000-0000-00002A170000}"/>
    <cellStyle name="Normal 28" xfId="5929" xr:uid="{00000000-0005-0000-0000-00002B170000}"/>
    <cellStyle name="Normal 28 2" xfId="5930" xr:uid="{00000000-0005-0000-0000-00002C170000}"/>
    <cellStyle name="Normal 28 2 2" xfId="5931" xr:uid="{00000000-0005-0000-0000-00002D170000}"/>
    <cellStyle name="Normal 28 2 3" xfId="5932" xr:uid="{00000000-0005-0000-0000-00002E170000}"/>
    <cellStyle name="Normal 28 3" xfId="5933" xr:uid="{00000000-0005-0000-0000-00002F170000}"/>
    <cellStyle name="Normal 29" xfId="5934" xr:uid="{00000000-0005-0000-0000-000030170000}"/>
    <cellStyle name="Normal 29 2" xfId="5935" xr:uid="{00000000-0005-0000-0000-000031170000}"/>
    <cellStyle name="Normal 3" xfId="6" xr:uid="{00000000-0005-0000-0000-000032170000}"/>
    <cellStyle name="Normal 3 10" xfId="5936" xr:uid="{00000000-0005-0000-0000-000033170000}"/>
    <cellStyle name="Normal 3 10 2" xfId="5937" xr:uid="{00000000-0005-0000-0000-000034170000}"/>
    <cellStyle name="Normal 3 10 3" xfId="5938" xr:uid="{00000000-0005-0000-0000-000035170000}"/>
    <cellStyle name="Normal 3 10 4" xfId="5939" xr:uid="{00000000-0005-0000-0000-000036170000}"/>
    <cellStyle name="Normal 3 10 4 2" xfId="5940" xr:uid="{00000000-0005-0000-0000-000037170000}"/>
    <cellStyle name="Normal 3 10 5" xfId="5941" xr:uid="{00000000-0005-0000-0000-000038170000}"/>
    <cellStyle name="Normal 3 100" xfId="5942" xr:uid="{00000000-0005-0000-0000-000039170000}"/>
    <cellStyle name="Normal 3 101" xfId="5943" xr:uid="{00000000-0005-0000-0000-00003A170000}"/>
    <cellStyle name="Normal 3 102" xfId="5944" xr:uid="{00000000-0005-0000-0000-00003B170000}"/>
    <cellStyle name="Normal 3 103" xfId="5945" xr:uid="{00000000-0005-0000-0000-00003C170000}"/>
    <cellStyle name="Normal 3 104" xfId="5946" xr:uid="{00000000-0005-0000-0000-00003D170000}"/>
    <cellStyle name="Normal 3 105" xfId="5947" xr:uid="{00000000-0005-0000-0000-00003E170000}"/>
    <cellStyle name="Normal 3 106" xfId="5948" xr:uid="{00000000-0005-0000-0000-00003F170000}"/>
    <cellStyle name="Normal 3 107" xfId="5949" xr:uid="{00000000-0005-0000-0000-000040170000}"/>
    <cellStyle name="Normal 3 107 2" xfId="5950" xr:uid="{00000000-0005-0000-0000-000041170000}"/>
    <cellStyle name="Normal 3 108" xfId="5951" xr:uid="{00000000-0005-0000-0000-000042170000}"/>
    <cellStyle name="Normal 3 109" xfId="5952" xr:uid="{00000000-0005-0000-0000-000043170000}"/>
    <cellStyle name="Normal 3 109 2" xfId="5953" xr:uid="{00000000-0005-0000-0000-000044170000}"/>
    <cellStyle name="Normal 3 11" xfId="5954" xr:uid="{00000000-0005-0000-0000-000045170000}"/>
    <cellStyle name="Normal 3 11 2" xfId="5955" xr:uid="{00000000-0005-0000-0000-000046170000}"/>
    <cellStyle name="Normal 3 11 3" xfId="5956" xr:uid="{00000000-0005-0000-0000-000047170000}"/>
    <cellStyle name="Normal 3 11 4" xfId="5957" xr:uid="{00000000-0005-0000-0000-000048170000}"/>
    <cellStyle name="Normal 3 11 4 2" xfId="5958" xr:uid="{00000000-0005-0000-0000-000049170000}"/>
    <cellStyle name="Normal 3 11 5" xfId="5959" xr:uid="{00000000-0005-0000-0000-00004A170000}"/>
    <cellStyle name="Normal 3 110" xfId="5960" xr:uid="{00000000-0005-0000-0000-00004B170000}"/>
    <cellStyle name="Normal 3 110 2" xfId="5961" xr:uid="{00000000-0005-0000-0000-00004C170000}"/>
    <cellStyle name="Normal 3 110 3" xfId="5962" xr:uid="{00000000-0005-0000-0000-00004D170000}"/>
    <cellStyle name="Normal 3 111" xfId="5963" xr:uid="{00000000-0005-0000-0000-00004E170000}"/>
    <cellStyle name="Normal 3 112" xfId="5964" xr:uid="{00000000-0005-0000-0000-00004F170000}"/>
    <cellStyle name="Normal 3 113" xfId="5965" xr:uid="{00000000-0005-0000-0000-000050170000}"/>
    <cellStyle name="Normal 3 114" xfId="5966" xr:uid="{00000000-0005-0000-0000-000051170000}"/>
    <cellStyle name="Normal 3 115" xfId="9482" xr:uid="{00000000-0005-0000-0000-000052170000}"/>
    <cellStyle name="Normal 3 116" xfId="63" xr:uid="{00000000-0005-0000-0000-000053170000}"/>
    <cellStyle name="Normal 3 12" xfId="5967" xr:uid="{00000000-0005-0000-0000-000054170000}"/>
    <cellStyle name="Normal 3 12 2" xfId="5968" xr:uid="{00000000-0005-0000-0000-000055170000}"/>
    <cellStyle name="Normal 3 12 3" xfId="5969" xr:uid="{00000000-0005-0000-0000-000056170000}"/>
    <cellStyle name="Normal 3 12 4" xfId="5970" xr:uid="{00000000-0005-0000-0000-000057170000}"/>
    <cellStyle name="Normal 3 13" xfId="5971" xr:uid="{00000000-0005-0000-0000-000058170000}"/>
    <cellStyle name="Normal 3 13 2" xfId="5972" xr:uid="{00000000-0005-0000-0000-000059170000}"/>
    <cellStyle name="Normal 3 13 3" xfId="5973" xr:uid="{00000000-0005-0000-0000-00005A170000}"/>
    <cellStyle name="Normal 3 13 4" xfId="5974" xr:uid="{00000000-0005-0000-0000-00005B170000}"/>
    <cellStyle name="Normal 3 14" xfId="5975" xr:uid="{00000000-0005-0000-0000-00005C170000}"/>
    <cellStyle name="Normal 3 14 2" xfId="5976" xr:uid="{00000000-0005-0000-0000-00005D170000}"/>
    <cellStyle name="Normal 3 14 3" xfId="5977" xr:uid="{00000000-0005-0000-0000-00005E170000}"/>
    <cellStyle name="Normal 3 14 4" xfId="5978" xr:uid="{00000000-0005-0000-0000-00005F170000}"/>
    <cellStyle name="Normal 3 15" xfId="5979" xr:uid="{00000000-0005-0000-0000-000060170000}"/>
    <cellStyle name="Normal 3 15 2" xfId="5980" xr:uid="{00000000-0005-0000-0000-000061170000}"/>
    <cellStyle name="Normal 3 15 3" xfId="5981" xr:uid="{00000000-0005-0000-0000-000062170000}"/>
    <cellStyle name="Normal 3 15 4" xfId="5982" xr:uid="{00000000-0005-0000-0000-000063170000}"/>
    <cellStyle name="Normal 3 16" xfId="5983" xr:uid="{00000000-0005-0000-0000-000064170000}"/>
    <cellStyle name="Normal 3 16 2" xfId="5984" xr:uid="{00000000-0005-0000-0000-000065170000}"/>
    <cellStyle name="Normal 3 16 3" xfId="5985" xr:uid="{00000000-0005-0000-0000-000066170000}"/>
    <cellStyle name="Normal 3 16 4" xfId="5986" xr:uid="{00000000-0005-0000-0000-000067170000}"/>
    <cellStyle name="Normal 3 17" xfId="5987" xr:uid="{00000000-0005-0000-0000-000068170000}"/>
    <cellStyle name="Normal 3 17 2" xfId="5988" xr:uid="{00000000-0005-0000-0000-000069170000}"/>
    <cellStyle name="Normal 3 17 3" xfId="5989" xr:uid="{00000000-0005-0000-0000-00006A170000}"/>
    <cellStyle name="Normal 3 17 4" xfId="5990" xr:uid="{00000000-0005-0000-0000-00006B170000}"/>
    <cellStyle name="Normal 3 18" xfId="5991" xr:uid="{00000000-0005-0000-0000-00006C170000}"/>
    <cellStyle name="Normal 3 18 2" xfId="5992" xr:uid="{00000000-0005-0000-0000-00006D170000}"/>
    <cellStyle name="Normal 3 18 3" xfId="5993" xr:uid="{00000000-0005-0000-0000-00006E170000}"/>
    <cellStyle name="Normal 3 18 4" xfId="5994" xr:uid="{00000000-0005-0000-0000-00006F170000}"/>
    <cellStyle name="Normal 3 19" xfId="5995" xr:uid="{00000000-0005-0000-0000-000070170000}"/>
    <cellStyle name="Normal 3 19 2" xfId="5996" xr:uid="{00000000-0005-0000-0000-000071170000}"/>
    <cellStyle name="Normal 3 19 3" xfId="5997" xr:uid="{00000000-0005-0000-0000-000072170000}"/>
    <cellStyle name="Normal 3 19 4" xfId="5998" xr:uid="{00000000-0005-0000-0000-000073170000}"/>
    <cellStyle name="Normal 3 2" xfId="68" xr:uid="{00000000-0005-0000-0000-000074170000}"/>
    <cellStyle name="Normal 3 2 10" xfId="5999" xr:uid="{00000000-0005-0000-0000-000075170000}"/>
    <cellStyle name="Normal 3 2 10 2" xfId="6000" xr:uid="{00000000-0005-0000-0000-000076170000}"/>
    <cellStyle name="Normal 3 2 10 2 2" xfId="6001" xr:uid="{00000000-0005-0000-0000-000077170000}"/>
    <cellStyle name="Normal 3 2 10 3" xfId="6002" xr:uid="{00000000-0005-0000-0000-000078170000}"/>
    <cellStyle name="Normal 3 2 10 4" xfId="6003" xr:uid="{00000000-0005-0000-0000-000079170000}"/>
    <cellStyle name="Normal 3 2 11" xfId="6004" xr:uid="{00000000-0005-0000-0000-00007A170000}"/>
    <cellStyle name="Normal 3 2 11 2" xfId="6005" xr:uid="{00000000-0005-0000-0000-00007B170000}"/>
    <cellStyle name="Normal 3 2 11 2 2" xfId="6006" xr:uid="{00000000-0005-0000-0000-00007C170000}"/>
    <cellStyle name="Normal 3 2 11 3" xfId="6007" xr:uid="{00000000-0005-0000-0000-00007D170000}"/>
    <cellStyle name="Normal 3 2 11 4" xfId="6008" xr:uid="{00000000-0005-0000-0000-00007E170000}"/>
    <cellStyle name="Normal 3 2 11 5" xfId="6009" xr:uid="{00000000-0005-0000-0000-00007F170000}"/>
    <cellStyle name="Normal 3 2 12" xfId="6010" xr:uid="{00000000-0005-0000-0000-000080170000}"/>
    <cellStyle name="Normal 3 2 12 2" xfId="6011" xr:uid="{00000000-0005-0000-0000-000081170000}"/>
    <cellStyle name="Normal 3 2 12 2 2" xfId="6012" xr:uid="{00000000-0005-0000-0000-000082170000}"/>
    <cellStyle name="Normal 3 2 12 3" xfId="6013" xr:uid="{00000000-0005-0000-0000-000083170000}"/>
    <cellStyle name="Normal 3 2 13" xfId="6014" xr:uid="{00000000-0005-0000-0000-000084170000}"/>
    <cellStyle name="Normal 3 2 13 2" xfId="6015" xr:uid="{00000000-0005-0000-0000-000085170000}"/>
    <cellStyle name="Normal 3 2 13 2 2" xfId="6016" xr:uid="{00000000-0005-0000-0000-000086170000}"/>
    <cellStyle name="Normal 3 2 13 3" xfId="6017" xr:uid="{00000000-0005-0000-0000-000087170000}"/>
    <cellStyle name="Normal 3 2 14" xfId="6018" xr:uid="{00000000-0005-0000-0000-000088170000}"/>
    <cellStyle name="Normal 3 2 14 2" xfId="6019" xr:uid="{00000000-0005-0000-0000-000089170000}"/>
    <cellStyle name="Normal 3 2 14 2 2" xfId="6020" xr:uid="{00000000-0005-0000-0000-00008A170000}"/>
    <cellStyle name="Normal 3 2 14 3" xfId="6021" xr:uid="{00000000-0005-0000-0000-00008B170000}"/>
    <cellStyle name="Normal 3 2 15" xfId="6022" xr:uid="{00000000-0005-0000-0000-00008C170000}"/>
    <cellStyle name="Normal 3 2 15 2" xfId="6023" xr:uid="{00000000-0005-0000-0000-00008D170000}"/>
    <cellStyle name="Normal 3 2 15 2 2" xfId="6024" xr:uid="{00000000-0005-0000-0000-00008E170000}"/>
    <cellStyle name="Normal 3 2 15 3" xfId="6025" xr:uid="{00000000-0005-0000-0000-00008F170000}"/>
    <cellStyle name="Normal 3 2 16" xfId="6026" xr:uid="{00000000-0005-0000-0000-000090170000}"/>
    <cellStyle name="Normal 3 2 16 2" xfId="6027" xr:uid="{00000000-0005-0000-0000-000091170000}"/>
    <cellStyle name="Normal 3 2 16 2 2" xfId="6028" xr:uid="{00000000-0005-0000-0000-000092170000}"/>
    <cellStyle name="Normal 3 2 16 3" xfId="6029" xr:uid="{00000000-0005-0000-0000-000093170000}"/>
    <cellStyle name="Normal 3 2 17" xfId="6030" xr:uid="{00000000-0005-0000-0000-000094170000}"/>
    <cellStyle name="Normal 3 2 17 2" xfId="6031" xr:uid="{00000000-0005-0000-0000-000095170000}"/>
    <cellStyle name="Normal 3 2 17 2 2" xfId="6032" xr:uid="{00000000-0005-0000-0000-000096170000}"/>
    <cellStyle name="Normal 3 2 17 3" xfId="6033" xr:uid="{00000000-0005-0000-0000-000097170000}"/>
    <cellStyle name="Normal 3 2 18" xfId="6034" xr:uid="{00000000-0005-0000-0000-000098170000}"/>
    <cellStyle name="Normal 3 2 18 2" xfId="6035" xr:uid="{00000000-0005-0000-0000-000099170000}"/>
    <cellStyle name="Normal 3 2 19" xfId="6036" xr:uid="{00000000-0005-0000-0000-00009A170000}"/>
    <cellStyle name="Normal 3 2 19 2" xfId="6037" xr:uid="{00000000-0005-0000-0000-00009B170000}"/>
    <cellStyle name="Normal 3 2 2" xfId="6038" xr:uid="{00000000-0005-0000-0000-00009C170000}"/>
    <cellStyle name="Normal 3 2 2 10" xfId="6039" xr:uid="{00000000-0005-0000-0000-00009D170000}"/>
    <cellStyle name="Normal 3 2 2 11" xfId="6040" xr:uid="{00000000-0005-0000-0000-00009E170000}"/>
    <cellStyle name="Normal 3 2 2 12" xfId="6041" xr:uid="{00000000-0005-0000-0000-00009F170000}"/>
    <cellStyle name="Normal 3 2 2 13" xfId="6042" xr:uid="{00000000-0005-0000-0000-0000A0170000}"/>
    <cellStyle name="Normal 3 2 2 14" xfId="6043" xr:uid="{00000000-0005-0000-0000-0000A1170000}"/>
    <cellStyle name="Normal 3 2 2 15" xfId="6044" xr:uid="{00000000-0005-0000-0000-0000A2170000}"/>
    <cellStyle name="Normal 3 2 2 16" xfId="6045" xr:uid="{00000000-0005-0000-0000-0000A3170000}"/>
    <cellStyle name="Normal 3 2 2 17" xfId="6046" xr:uid="{00000000-0005-0000-0000-0000A4170000}"/>
    <cellStyle name="Normal 3 2 2 18" xfId="6047" xr:uid="{00000000-0005-0000-0000-0000A5170000}"/>
    <cellStyle name="Normal 3 2 2 2" xfId="6048" xr:uid="{00000000-0005-0000-0000-0000A6170000}"/>
    <cellStyle name="Normal 3 2 2 2 10" xfId="6049" xr:uid="{00000000-0005-0000-0000-0000A7170000}"/>
    <cellStyle name="Normal 3 2 2 2 10 2" xfId="6050" xr:uid="{00000000-0005-0000-0000-0000A8170000}"/>
    <cellStyle name="Normal 3 2 2 2 10 2 2" xfId="6051" xr:uid="{00000000-0005-0000-0000-0000A9170000}"/>
    <cellStyle name="Normal 3 2 2 2 10 3" xfId="6052" xr:uid="{00000000-0005-0000-0000-0000AA170000}"/>
    <cellStyle name="Normal 3 2 2 2 11" xfId="6053" xr:uid="{00000000-0005-0000-0000-0000AB170000}"/>
    <cellStyle name="Normal 3 2 2 2 11 2" xfId="6054" xr:uid="{00000000-0005-0000-0000-0000AC170000}"/>
    <cellStyle name="Normal 3 2 2 2 11 2 2" xfId="6055" xr:uid="{00000000-0005-0000-0000-0000AD170000}"/>
    <cellStyle name="Normal 3 2 2 2 11 3" xfId="6056" xr:uid="{00000000-0005-0000-0000-0000AE170000}"/>
    <cellStyle name="Normal 3 2 2 2 12" xfId="6057" xr:uid="{00000000-0005-0000-0000-0000AF170000}"/>
    <cellStyle name="Normal 3 2 2 2 12 2" xfId="6058" xr:uid="{00000000-0005-0000-0000-0000B0170000}"/>
    <cellStyle name="Normal 3 2 2 2 12 2 2" xfId="6059" xr:uid="{00000000-0005-0000-0000-0000B1170000}"/>
    <cellStyle name="Normal 3 2 2 2 12 3" xfId="6060" xr:uid="{00000000-0005-0000-0000-0000B2170000}"/>
    <cellStyle name="Normal 3 2 2 2 13" xfId="6061" xr:uid="{00000000-0005-0000-0000-0000B3170000}"/>
    <cellStyle name="Normal 3 2 2 2 13 2" xfId="6062" xr:uid="{00000000-0005-0000-0000-0000B4170000}"/>
    <cellStyle name="Normal 3 2 2 2 13 2 2" xfId="6063" xr:uid="{00000000-0005-0000-0000-0000B5170000}"/>
    <cellStyle name="Normal 3 2 2 2 13 3" xfId="6064" xr:uid="{00000000-0005-0000-0000-0000B6170000}"/>
    <cellStyle name="Normal 3 2 2 2 14" xfId="6065" xr:uid="{00000000-0005-0000-0000-0000B7170000}"/>
    <cellStyle name="Normal 3 2 2 2 14 2" xfId="6066" xr:uid="{00000000-0005-0000-0000-0000B8170000}"/>
    <cellStyle name="Normal 3 2 2 2 14 2 2" xfId="6067" xr:uid="{00000000-0005-0000-0000-0000B9170000}"/>
    <cellStyle name="Normal 3 2 2 2 14 3" xfId="6068" xr:uid="{00000000-0005-0000-0000-0000BA170000}"/>
    <cellStyle name="Normal 3 2 2 2 15" xfId="6069" xr:uid="{00000000-0005-0000-0000-0000BB170000}"/>
    <cellStyle name="Normal 3 2 2 2 15 2" xfId="6070" xr:uid="{00000000-0005-0000-0000-0000BC170000}"/>
    <cellStyle name="Normal 3 2 2 2 15 2 2" xfId="6071" xr:uid="{00000000-0005-0000-0000-0000BD170000}"/>
    <cellStyle name="Normal 3 2 2 2 15 3" xfId="6072" xr:uid="{00000000-0005-0000-0000-0000BE170000}"/>
    <cellStyle name="Normal 3 2 2 2 16" xfId="6073" xr:uid="{00000000-0005-0000-0000-0000BF170000}"/>
    <cellStyle name="Normal 3 2 2 2 16 2" xfId="6074" xr:uid="{00000000-0005-0000-0000-0000C0170000}"/>
    <cellStyle name="Normal 3 2 2 2 17" xfId="6075" xr:uid="{00000000-0005-0000-0000-0000C1170000}"/>
    <cellStyle name="Normal 3 2 2 2 17 2" xfId="6076" xr:uid="{00000000-0005-0000-0000-0000C2170000}"/>
    <cellStyle name="Normal 3 2 2 2 2" xfId="6077" xr:uid="{00000000-0005-0000-0000-0000C3170000}"/>
    <cellStyle name="Normal 3 2 2 2 2 2" xfId="6078" xr:uid="{00000000-0005-0000-0000-0000C4170000}"/>
    <cellStyle name="Normal 3 2 2 2 2 2 2" xfId="6079" xr:uid="{00000000-0005-0000-0000-0000C5170000}"/>
    <cellStyle name="Normal 3 2 2 2 2 2 2 2" xfId="6080" xr:uid="{00000000-0005-0000-0000-0000C6170000}"/>
    <cellStyle name="Normal 3 2 2 2 2 2 2 2 2" xfId="6081" xr:uid="{00000000-0005-0000-0000-0000C7170000}"/>
    <cellStyle name="Normal 3 2 2 2 2 2 2 3" xfId="6082" xr:uid="{00000000-0005-0000-0000-0000C8170000}"/>
    <cellStyle name="Normal 3 2 2 2 2 2 3" xfId="6083" xr:uid="{00000000-0005-0000-0000-0000C9170000}"/>
    <cellStyle name="Normal 3 2 2 2 2 2 3 2" xfId="6084" xr:uid="{00000000-0005-0000-0000-0000CA170000}"/>
    <cellStyle name="Normal 3 2 2 2 2 2 3 2 2" xfId="6085" xr:uid="{00000000-0005-0000-0000-0000CB170000}"/>
    <cellStyle name="Normal 3 2 2 2 2 2 3 3" xfId="6086" xr:uid="{00000000-0005-0000-0000-0000CC170000}"/>
    <cellStyle name="Normal 3 2 2 2 2 2 4" xfId="6087" xr:uid="{00000000-0005-0000-0000-0000CD170000}"/>
    <cellStyle name="Normal 3 2 2 2 2 2 4 2" xfId="6088" xr:uid="{00000000-0005-0000-0000-0000CE170000}"/>
    <cellStyle name="Normal 3 2 2 2 2 2 4 2 2" xfId="6089" xr:uid="{00000000-0005-0000-0000-0000CF170000}"/>
    <cellStyle name="Normal 3 2 2 2 2 2 4 3" xfId="6090" xr:uid="{00000000-0005-0000-0000-0000D0170000}"/>
    <cellStyle name="Normal 3 2 2 2 2 2 5" xfId="6091" xr:uid="{00000000-0005-0000-0000-0000D1170000}"/>
    <cellStyle name="Normal 3 2 2 2 2 2 5 2" xfId="6092" xr:uid="{00000000-0005-0000-0000-0000D2170000}"/>
    <cellStyle name="Normal 3 2 2 2 2 2 5 2 2" xfId="6093" xr:uid="{00000000-0005-0000-0000-0000D3170000}"/>
    <cellStyle name="Normal 3 2 2 2 2 2 5 3" xfId="6094" xr:uid="{00000000-0005-0000-0000-0000D4170000}"/>
    <cellStyle name="Normal 3 2 2 2 2 3" xfId="6095" xr:uid="{00000000-0005-0000-0000-0000D5170000}"/>
    <cellStyle name="Normal 3 2 2 2 2 4" xfId="6096" xr:uid="{00000000-0005-0000-0000-0000D6170000}"/>
    <cellStyle name="Normal 3 2 2 2 2 5" xfId="6097" xr:uid="{00000000-0005-0000-0000-0000D7170000}"/>
    <cellStyle name="Normal 3 2 2 2 2 6" xfId="6098" xr:uid="{00000000-0005-0000-0000-0000D8170000}"/>
    <cellStyle name="Normal 3 2 2 2 2 6 2" xfId="6099" xr:uid="{00000000-0005-0000-0000-0000D9170000}"/>
    <cellStyle name="Normal 3 2 2 2 2 7" xfId="6100" xr:uid="{00000000-0005-0000-0000-0000DA170000}"/>
    <cellStyle name="Normal 3 2 2 2 3" xfId="6101" xr:uid="{00000000-0005-0000-0000-0000DB170000}"/>
    <cellStyle name="Normal 3 2 2 2 3 2" xfId="6102" xr:uid="{00000000-0005-0000-0000-0000DC170000}"/>
    <cellStyle name="Normal 3 2 2 2 3 2 2" xfId="6103" xr:uid="{00000000-0005-0000-0000-0000DD170000}"/>
    <cellStyle name="Normal 3 2 2 2 3 3" xfId="6104" xr:uid="{00000000-0005-0000-0000-0000DE170000}"/>
    <cellStyle name="Normal 3 2 2 2 4" xfId="6105" xr:uid="{00000000-0005-0000-0000-0000DF170000}"/>
    <cellStyle name="Normal 3 2 2 2 4 2" xfId="6106" xr:uid="{00000000-0005-0000-0000-0000E0170000}"/>
    <cellStyle name="Normal 3 2 2 2 4 2 2" xfId="6107" xr:uid="{00000000-0005-0000-0000-0000E1170000}"/>
    <cellStyle name="Normal 3 2 2 2 4 3" xfId="6108" xr:uid="{00000000-0005-0000-0000-0000E2170000}"/>
    <cellStyle name="Normal 3 2 2 2 5" xfId="6109" xr:uid="{00000000-0005-0000-0000-0000E3170000}"/>
    <cellStyle name="Normal 3 2 2 2 5 2" xfId="6110" xr:uid="{00000000-0005-0000-0000-0000E4170000}"/>
    <cellStyle name="Normal 3 2 2 2 5 2 2" xfId="6111" xr:uid="{00000000-0005-0000-0000-0000E5170000}"/>
    <cellStyle name="Normal 3 2 2 2 5 3" xfId="6112" xr:uid="{00000000-0005-0000-0000-0000E6170000}"/>
    <cellStyle name="Normal 3 2 2 2 6" xfId="6113" xr:uid="{00000000-0005-0000-0000-0000E7170000}"/>
    <cellStyle name="Normal 3 2 2 2 6 2" xfId="6114" xr:uid="{00000000-0005-0000-0000-0000E8170000}"/>
    <cellStyle name="Normal 3 2 2 2 6 2 2" xfId="6115" xr:uid="{00000000-0005-0000-0000-0000E9170000}"/>
    <cellStyle name="Normal 3 2 2 2 6 3" xfId="6116" xr:uid="{00000000-0005-0000-0000-0000EA170000}"/>
    <cellStyle name="Normal 3 2 2 2 7" xfId="6117" xr:uid="{00000000-0005-0000-0000-0000EB170000}"/>
    <cellStyle name="Normal 3 2 2 2 7 2" xfId="6118" xr:uid="{00000000-0005-0000-0000-0000EC170000}"/>
    <cellStyle name="Normal 3 2 2 2 7 2 2" xfId="6119" xr:uid="{00000000-0005-0000-0000-0000ED170000}"/>
    <cellStyle name="Normal 3 2 2 2 7 3" xfId="6120" xr:uid="{00000000-0005-0000-0000-0000EE170000}"/>
    <cellStyle name="Normal 3 2 2 2 8" xfId="6121" xr:uid="{00000000-0005-0000-0000-0000EF170000}"/>
    <cellStyle name="Normal 3 2 2 2 8 2" xfId="6122" xr:uid="{00000000-0005-0000-0000-0000F0170000}"/>
    <cellStyle name="Normal 3 2 2 2 8 2 2" xfId="6123" xr:uid="{00000000-0005-0000-0000-0000F1170000}"/>
    <cellStyle name="Normal 3 2 2 2 8 3" xfId="6124" xr:uid="{00000000-0005-0000-0000-0000F2170000}"/>
    <cellStyle name="Normal 3 2 2 2 9" xfId="6125" xr:uid="{00000000-0005-0000-0000-0000F3170000}"/>
    <cellStyle name="Normal 3 2 2 2 9 2" xfId="6126" xr:uid="{00000000-0005-0000-0000-0000F4170000}"/>
    <cellStyle name="Normal 3 2 2 2 9 2 2" xfId="6127" xr:uid="{00000000-0005-0000-0000-0000F5170000}"/>
    <cellStyle name="Normal 3 2 2 2 9 3" xfId="6128" xr:uid="{00000000-0005-0000-0000-0000F6170000}"/>
    <cellStyle name="Normal 3 2 2 3" xfId="6129" xr:uid="{00000000-0005-0000-0000-0000F7170000}"/>
    <cellStyle name="Normal 3 2 2 3 2" xfId="6130" xr:uid="{00000000-0005-0000-0000-0000F8170000}"/>
    <cellStyle name="Normal 3 2 2 3 3" xfId="6131" xr:uid="{00000000-0005-0000-0000-0000F9170000}"/>
    <cellStyle name="Normal 3 2 2 3 3 2" xfId="6132" xr:uid="{00000000-0005-0000-0000-0000FA170000}"/>
    <cellStyle name="Normal 3 2 2 3 4" xfId="6133" xr:uid="{00000000-0005-0000-0000-0000FB170000}"/>
    <cellStyle name="Normal 3 2 2 4" xfId="6134" xr:uid="{00000000-0005-0000-0000-0000FC170000}"/>
    <cellStyle name="Normal 3 2 2 4 2" xfId="6135" xr:uid="{00000000-0005-0000-0000-0000FD170000}"/>
    <cellStyle name="Normal 3 2 2 5" xfId="6136" xr:uid="{00000000-0005-0000-0000-0000FE170000}"/>
    <cellStyle name="Normal 3 2 2 6" xfId="6137" xr:uid="{00000000-0005-0000-0000-0000FF170000}"/>
    <cellStyle name="Normal 3 2 2 7" xfId="6138" xr:uid="{00000000-0005-0000-0000-000000180000}"/>
    <cellStyle name="Normal 3 2 2 8" xfId="6139" xr:uid="{00000000-0005-0000-0000-000001180000}"/>
    <cellStyle name="Normal 3 2 2 9" xfId="6140" xr:uid="{00000000-0005-0000-0000-000002180000}"/>
    <cellStyle name="Normal 3 2 20" xfId="6141" xr:uid="{00000000-0005-0000-0000-000003180000}"/>
    <cellStyle name="Normal 3 2 21" xfId="6142" xr:uid="{00000000-0005-0000-0000-000004180000}"/>
    <cellStyle name="Normal 3 2 22" xfId="6143" xr:uid="{00000000-0005-0000-0000-000005180000}"/>
    <cellStyle name="Normal 3 2 3" xfId="6144" xr:uid="{00000000-0005-0000-0000-000006180000}"/>
    <cellStyle name="Normal 3 2 3 2" xfId="6145" xr:uid="{00000000-0005-0000-0000-000007180000}"/>
    <cellStyle name="Normal 3 2 3 2 2" xfId="6146" xr:uid="{00000000-0005-0000-0000-000008180000}"/>
    <cellStyle name="Normal 3 2 3 3" xfId="6147" xr:uid="{00000000-0005-0000-0000-000009180000}"/>
    <cellStyle name="Normal 3 2 4" xfId="6148" xr:uid="{00000000-0005-0000-0000-00000A180000}"/>
    <cellStyle name="Normal 3 2 4 2" xfId="6149" xr:uid="{00000000-0005-0000-0000-00000B180000}"/>
    <cellStyle name="Normal 3 2 4 2 2" xfId="6150" xr:uid="{00000000-0005-0000-0000-00000C180000}"/>
    <cellStyle name="Normal 3 2 4 3" xfId="6151" xr:uid="{00000000-0005-0000-0000-00000D180000}"/>
    <cellStyle name="Normal 3 2 5" xfId="6152" xr:uid="{00000000-0005-0000-0000-00000E180000}"/>
    <cellStyle name="Normal 3 2 5 2" xfId="6153" xr:uid="{00000000-0005-0000-0000-00000F180000}"/>
    <cellStyle name="Normal 3 2 5 2 2" xfId="6154" xr:uid="{00000000-0005-0000-0000-000010180000}"/>
    <cellStyle name="Normal 3 2 5 3" xfId="6155" xr:uid="{00000000-0005-0000-0000-000011180000}"/>
    <cellStyle name="Normal 3 2 6" xfId="6156" xr:uid="{00000000-0005-0000-0000-000012180000}"/>
    <cellStyle name="Normal 3 2 6 2" xfId="6157" xr:uid="{00000000-0005-0000-0000-000013180000}"/>
    <cellStyle name="Normal 3 2 6 2 2" xfId="6158" xr:uid="{00000000-0005-0000-0000-000014180000}"/>
    <cellStyle name="Normal 3 2 6 3" xfId="6159" xr:uid="{00000000-0005-0000-0000-000015180000}"/>
    <cellStyle name="Normal 3 2 7" xfId="6160" xr:uid="{00000000-0005-0000-0000-000016180000}"/>
    <cellStyle name="Normal 3 2 7 2" xfId="6161" xr:uid="{00000000-0005-0000-0000-000017180000}"/>
    <cellStyle name="Normal 3 2 7 2 2" xfId="6162" xr:uid="{00000000-0005-0000-0000-000018180000}"/>
    <cellStyle name="Normal 3 2 7 3" xfId="6163" xr:uid="{00000000-0005-0000-0000-000019180000}"/>
    <cellStyle name="Normal 3 2 8" xfId="6164" xr:uid="{00000000-0005-0000-0000-00001A180000}"/>
    <cellStyle name="Normal 3 2 8 2" xfId="6165" xr:uid="{00000000-0005-0000-0000-00001B180000}"/>
    <cellStyle name="Normal 3 2 8 2 2" xfId="6166" xr:uid="{00000000-0005-0000-0000-00001C180000}"/>
    <cellStyle name="Normal 3 2 8 3" xfId="6167" xr:uid="{00000000-0005-0000-0000-00001D180000}"/>
    <cellStyle name="Normal 3 2 9" xfId="6168" xr:uid="{00000000-0005-0000-0000-00001E180000}"/>
    <cellStyle name="Normal 3 2 9 2" xfId="6169" xr:uid="{00000000-0005-0000-0000-00001F180000}"/>
    <cellStyle name="Normal 3 2 9 2 2" xfId="6170" xr:uid="{00000000-0005-0000-0000-000020180000}"/>
    <cellStyle name="Normal 3 2 9 3" xfId="6171" xr:uid="{00000000-0005-0000-0000-000021180000}"/>
    <cellStyle name="Normal 3 20" xfId="6172" xr:uid="{00000000-0005-0000-0000-000022180000}"/>
    <cellStyle name="Normal 3 20 2" xfId="6173" xr:uid="{00000000-0005-0000-0000-000023180000}"/>
    <cellStyle name="Normal 3 20 3" xfId="6174" xr:uid="{00000000-0005-0000-0000-000024180000}"/>
    <cellStyle name="Normal 3 20 4" xfId="6175" xr:uid="{00000000-0005-0000-0000-000025180000}"/>
    <cellStyle name="Normal 3 21" xfId="6176" xr:uid="{00000000-0005-0000-0000-000026180000}"/>
    <cellStyle name="Normal 3 21 2" xfId="6177" xr:uid="{00000000-0005-0000-0000-000027180000}"/>
    <cellStyle name="Normal 3 21 3" xfId="6178" xr:uid="{00000000-0005-0000-0000-000028180000}"/>
    <cellStyle name="Normal 3 22" xfId="6179" xr:uid="{00000000-0005-0000-0000-000029180000}"/>
    <cellStyle name="Normal 3 22 2" xfId="6180" xr:uid="{00000000-0005-0000-0000-00002A180000}"/>
    <cellStyle name="Normal 3 23" xfId="6181" xr:uid="{00000000-0005-0000-0000-00002B180000}"/>
    <cellStyle name="Normal 3 24" xfId="6182" xr:uid="{00000000-0005-0000-0000-00002C180000}"/>
    <cellStyle name="Normal 3 25" xfId="6183" xr:uid="{00000000-0005-0000-0000-00002D180000}"/>
    <cellStyle name="Normal 3 26" xfId="6184" xr:uid="{00000000-0005-0000-0000-00002E180000}"/>
    <cellStyle name="Normal 3 27" xfId="6185" xr:uid="{00000000-0005-0000-0000-00002F180000}"/>
    <cellStyle name="Normal 3 28" xfId="6186" xr:uid="{00000000-0005-0000-0000-000030180000}"/>
    <cellStyle name="Normal 3 29" xfId="6187" xr:uid="{00000000-0005-0000-0000-000031180000}"/>
    <cellStyle name="Normal 3 3" xfId="6188" xr:uid="{00000000-0005-0000-0000-000032180000}"/>
    <cellStyle name="Normal 3 3 2" xfId="6189" xr:uid="{00000000-0005-0000-0000-000033180000}"/>
    <cellStyle name="Normal 3 3 2 2" xfId="6190" xr:uid="{00000000-0005-0000-0000-000034180000}"/>
    <cellStyle name="Normal 3 3 2 2 2" xfId="6191" xr:uid="{00000000-0005-0000-0000-000035180000}"/>
    <cellStyle name="Normal 3 3 2 2 2 2" xfId="6192" xr:uid="{00000000-0005-0000-0000-000036180000}"/>
    <cellStyle name="Normal 3 3 2 2 3" xfId="6193" xr:uid="{00000000-0005-0000-0000-000037180000}"/>
    <cellStyle name="Normal 3 3 2 2 4" xfId="6194" xr:uid="{00000000-0005-0000-0000-000038180000}"/>
    <cellStyle name="Normal 3 3 2 2 5" xfId="6195" xr:uid="{00000000-0005-0000-0000-000039180000}"/>
    <cellStyle name="Normal 3 3 2 2 6" xfId="6196" xr:uid="{00000000-0005-0000-0000-00003A180000}"/>
    <cellStyle name="Normal 3 3 2 2 6 2" xfId="6197" xr:uid="{00000000-0005-0000-0000-00003B180000}"/>
    <cellStyle name="Normal 3 3 2 2 7" xfId="6198" xr:uid="{00000000-0005-0000-0000-00003C180000}"/>
    <cellStyle name="Normal 3 3 2 3" xfId="6199" xr:uid="{00000000-0005-0000-0000-00003D180000}"/>
    <cellStyle name="Normal 3 3 2 3 2" xfId="6200" xr:uid="{00000000-0005-0000-0000-00003E180000}"/>
    <cellStyle name="Normal 3 3 2 3 2 2" xfId="6201" xr:uid="{00000000-0005-0000-0000-00003F180000}"/>
    <cellStyle name="Normal 3 3 2 3 3" xfId="6202" xr:uid="{00000000-0005-0000-0000-000040180000}"/>
    <cellStyle name="Normal 3 3 2 4" xfId="6203" xr:uid="{00000000-0005-0000-0000-000041180000}"/>
    <cellStyle name="Normal 3 3 2 4 2" xfId="6204" xr:uid="{00000000-0005-0000-0000-000042180000}"/>
    <cellStyle name="Normal 3 3 2 4 2 2" xfId="6205" xr:uid="{00000000-0005-0000-0000-000043180000}"/>
    <cellStyle name="Normal 3 3 2 4 3" xfId="6206" xr:uid="{00000000-0005-0000-0000-000044180000}"/>
    <cellStyle name="Normal 3 3 2 5" xfId="6207" xr:uid="{00000000-0005-0000-0000-000045180000}"/>
    <cellStyle name="Normal 3 3 2 5 2" xfId="6208" xr:uid="{00000000-0005-0000-0000-000046180000}"/>
    <cellStyle name="Normal 3 3 2 5 2 2" xfId="6209" xr:uid="{00000000-0005-0000-0000-000047180000}"/>
    <cellStyle name="Normal 3 3 2 5 3" xfId="6210" xr:uid="{00000000-0005-0000-0000-000048180000}"/>
    <cellStyle name="Normal 3 3 2 6" xfId="6211" xr:uid="{00000000-0005-0000-0000-000049180000}"/>
    <cellStyle name="Normal 3 3 2 6 2" xfId="6212" xr:uid="{00000000-0005-0000-0000-00004A180000}"/>
    <cellStyle name="Normal 3 3 2 6 3" xfId="6213" xr:uid="{00000000-0005-0000-0000-00004B180000}"/>
    <cellStyle name="Normal 3 3 3" xfId="6214" xr:uid="{00000000-0005-0000-0000-00004C180000}"/>
    <cellStyle name="Normal 3 3 3 2" xfId="6215" xr:uid="{00000000-0005-0000-0000-00004D180000}"/>
    <cellStyle name="Normal 3 3 3 3" xfId="6216" xr:uid="{00000000-0005-0000-0000-00004E180000}"/>
    <cellStyle name="Normal 3 3 3 3 2" xfId="6217" xr:uid="{00000000-0005-0000-0000-00004F180000}"/>
    <cellStyle name="Normal 3 3 3 4" xfId="6218" xr:uid="{00000000-0005-0000-0000-000050180000}"/>
    <cellStyle name="Normal 3 3 4" xfId="6219" xr:uid="{00000000-0005-0000-0000-000051180000}"/>
    <cellStyle name="Normal 3 3 4 2" xfId="6220" xr:uid="{00000000-0005-0000-0000-000052180000}"/>
    <cellStyle name="Normal 3 3 5" xfId="6221" xr:uid="{00000000-0005-0000-0000-000053180000}"/>
    <cellStyle name="Normal 3 3 6" xfId="6222" xr:uid="{00000000-0005-0000-0000-000054180000}"/>
    <cellStyle name="Normal 3 3 7" xfId="6223" xr:uid="{00000000-0005-0000-0000-000055180000}"/>
    <cellStyle name="Normal 3 3 8" xfId="6224" xr:uid="{00000000-0005-0000-0000-000056180000}"/>
    <cellStyle name="Normal 3 3 9" xfId="6225" xr:uid="{00000000-0005-0000-0000-000057180000}"/>
    <cellStyle name="Normal 3 30" xfId="6226" xr:uid="{00000000-0005-0000-0000-000058180000}"/>
    <cellStyle name="Normal 3 31" xfId="6227" xr:uid="{00000000-0005-0000-0000-000059180000}"/>
    <cellStyle name="Normal 3 32" xfId="6228" xr:uid="{00000000-0005-0000-0000-00005A180000}"/>
    <cellStyle name="Normal 3 33" xfId="6229" xr:uid="{00000000-0005-0000-0000-00005B180000}"/>
    <cellStyle name="Normal 3 34" xfId="6230" xr:uid="{00000000-0005-0000-0000-00005C180000}"/>
    <cellStyle name="Normal 3 35" xfId="6231" xr:uid="{00000000-0005-0000-0000-00005D180000}"/>
    <cellStyle name="Normal 3 36" xfId="6232" xr:uid="{00000000-0005-0000-0000-00005E180000}"/>
    <cellStyle name="Normal 3 37" xfId="6233" xr:uid="{00000000-0005-0000-0000-00005F180000}"/>
    <cellStyle name="Normal 3 38" xfId="6234" xr:uid="{00000000-0005-0000-0000-000060180000}"/>
    <cellStyle name="Normal 3 39" xfId="6235" xr:uid="{00000000-0005-0000-0000-000061180000}"/>
    <cellStyle name="Normal 3 4" xfId="6236" xr:uid="{00000000-0005-0000-0000-000062180000}"/>
    <cellStyle name="Normal 3 4 10" xfId="6237" xr:uid="{00000000-0005-0000-0000-000063180000}"/>
    <cellStyle name="Normal 3 4 11" xfId="6238" xr:uid="{00000000-0005-0000-0000-000064180000}"/>
    <cellStyle name="Normal 3 4 2" xfId="6239" xr:uid="{00000000-0005-0000-0000-000065180000}"/>
    <cellStyle name="Normal 3 4 2 2" xfId="6240" xr:uid="{00000000-0005-0000-0000-000066180000}"/>
    <cellStyle name="Normal 3 4 3" xfId="6241" xr:uid="{00000000-0005-0000-0000-000067180000}"/>
    <cellStyle name="Normal 3 4 3 2" xfId="6242" xr:uid="{00000000-0005-0000-0000-000068180000}"/>
    <cellStyle name="Normal 3 4 4" xfId="6243" xr:uid="{00000000-0005-0000-0000-000069180000}"/>
    <cellStyle name="Normal 3 4 5" xfId="6244" xr:uid="{00000000-0005-0000-0000-00006A180000}"/>
    <cellStyle name="Normal 3 4 6" xfId="6245" xr:uid="{00000000-0005-0000-0000-00006B180000}"/>
    <cellStyle name="Normal 3 4 7" xfId="6246" xr:uid="{00000000-0005-0000-0000-00006C180000}"/>
    <cellStyle name="Normal 3 4 8" xfId="6247" xr:uid="{00000000-0005-0000-0000-00006D180000}"/>
    <cellStyle name="Normal 3 4 9" xfId="6248" xr:uid="{00000000-0005-0000-0000-00006E180000}"/>
    <cellStyle name="Normal 3 40" xfId="6249" xr:uid="{00000000-0005-0000-0000-00006F180000}"/>
    <cellStyle name="Normal 3 41" xfId="6250" xr:uid="{00000000-0005-0000-0000-000070180000}"/>
    <cellStyle name="Normal 3 42" xfId="6251" xr:uid="{00000000-0005-0000-0000-000071180000}"/>
    <cellStyle name="Normal 3 43" xfId="6252" xr:uid="{00000000-0005-0000-0000-000072180000}"/>
    <cellStyle name="Normal 3 43 2" xfId="6253" xr:uid="{00000000-0005-0000-0000-000073180000}"/>
    <cellStyle name="Normal 3 44" xfId="6254" xr:uid="{00000000-0005-0000-0000-000074180000}"/>
    <cellStyle name="Normal 3 44 2" xfId="6255" xr:uid="{00000000-0005-0000-0000-000075180000}"/>
    <cellStyle name="Normal 3 45" xfId="6256" xr:uid="{00000000-0005-0000-0000-000076180000}"/>
    <cellStyle name="Normal 3 46" xfId="6257" xr:uid="{00000000-0005-0000-0000-000077180000}"/>
    <cellStyle name="Normal 3 47" xfId="6258" xr:uid="{00000000-0005-0000-0000-000078180000}"/>
    <cellStyle name="Normal 3 48" xfId="6259" xr:uid="{00000000-0005-0000-0000-000079180000}"/>
    <cellStyle name="Normal 3 49" xfId="6260" xr:uid="{00000000-0005-0000-0000-00007A180000}"/>
    <cellStyle name="Normal 3 5" xfId="6261" xr:uid="{00000000-0005-0000-0000-00007B180000}"/>
    <cellStyle name="Normal 3 5 10" xfId="6262" xr:uid="{00000000-0005-0000-0000-00007C180000}"/>
    <cellStyle name="Normal 3 5 11" xfId="6263" xr:uid="{00000000-0005-0000-0000-00007D180000}"/>
    <cellStyle name="Normal 3 5 12" xfId="6264" xr:uid="{00000000-0005-0000-0000-00007E180000}"/>
    <cellStyle name="Normal 3 5 13" xfId="6265" xr:uid="{00000000-0005-0000-0000-00007F180000}"/>
    <cellStyle name="Normal 3 5 14" xfId="6266" xr:uid="{00000000-0005-0000-0000-000080180000}"/>
    <cellStyle name="Normal 3 5 15" xfId="6267" xr:uid="{00000000-0005-0000-0000-000081180000}"/>
    <cellStyle name="Normal 3 5 16" xfId="6268" xr:uid="{00000000-0005-0000-0000-000082180000}"/>
    <cellStyle name="Normal 3 5 16 2" xfId="6269" xr:uid="{00000000-0005-0000-0000-000083180000}"/>
    <cellStyle name="Normal 3 5 17" xfId="6270" xr:uid="{00000000-0005-0000-0000-000084180000}"/>
    <cellStyle name="Normal 3 5 18" xfId="6271" xr:uid="{00000000-0005-0000-0000-000085180000}"/>
    <cellStyle name="Normal 3 5 2" xfId="6272" xr:uid="{00000000-0005-0000-0000-000086180000}"/>
    <cellStyle name="Normal 3 5 2 2" xfId="6273" xr:uid="{00000000-0005-0000-0000-000087180000}"/>
    <cellStyle name="Normal 3 5 2 2 2" xfId="6274" xr:uid="{00000000-0005-0000-0000-000088180000}"/>
    <cellStyle name="Normal 3 5 2 2 2 2" xfId="6275" xr:uid="{00000000-0005-0000-0000-000089180000}"/>
    <cellStyle name="Normal 3 5 2 2 3" xfId="6276" xr:uid="{00000000-0005-0000-0000-00008A180000}"/>
    <cellStyle name="Normal 3 5 2 2 4" xfId="6277" xr:uid="{00000000-0005-0000-0000-00008B180000}"/>
    <cellStyle name="Normal 3 5 2 2 5" xfId="6278" xr:uid="{00000000-0005-0000-0000-00008C180000}"/>
    <cellStyle name="Normal 3 5 2 3" xfId="6279" xr:uid="{00000000-0005-0000-0000-00008D180000}"/>
    <cellStyle name="Normal 3 5 2 4" xfId="6280" xr:uid="{00000000-0005-0000-0000-00008E180000}"/>
    <cellStyle name="Normal 3 5 2 5" xfId="6281" xr:uid="{00000000-0005-0000-0000-00008F180000}"/>
    <cellStyle name="Normal 3 5 3" xfId="6282" xr:uid="{00000000-0005-0000-0000-000090180000}"/>
    <cellStyle name="Normal 3 5 3 2" xfId="6283" xr:uid="{00000000-0005-0000-0000-000091180000}"/>
    <cellStyle name="Normal 3 5 3 3" xfId="6284" xr:uid="{00000000-0005-0000-0000-000092180000}"/>
    <cellStyle name="Normal 3 5 3 4" xfId="6285" xr:uid="{00000000-0005-0000-0000-000093180000}"/>
    <cellStyle name="Normal 3 5 4" xfId="6286" xr:uid="{00000000-0005-0000-0000-000094180000}"/>
    <cellStyle name="Normal 3 5 4 2" xfId="6287" xr:uid="{00000000-0005-0000-0000-000095180000}"/>
    <cellStyle name="Normal 3 5 5" xfId="6288" xr:uid="{00000000-0005-0000-0000-000096180000}"/>
    <cellStyle name="Normal 3 5 6" xfId="6289" xr:uid="{00000000-0005-0000-0000-000097180000}"/>
    <cellStyle name="Normal 3 5 7" xfId="6290" xr:uid="{00000000-0005-0000-0000-000098180000}"/>
    <cellStyle name="Normal 3 5 8" xfId="6291" xr:uid="{00000000-0005-0000-0000-000099180000}"/>
    <cellStyle name="Normal 3 5 9" xfId="6292" xr:uid="{00000000-0005-0000-0000-00009A180000}"/>
    <cellStyle name="Normal 3 50" xfId="6293" xr:uid="{00000000-0005-0000-0000-00009B180000}"/>
    <cellStyle name="Normal 3 51" xfId="6294" xr:uid="{00000000-0005-0000-0000-00009C180000}"/>
    <cellStyle name="Normal 3 52" xfId="6295" xr:uid="{00000000-0005-0000-0000-00009D180000}"/>
    <cellStyle name="Normal 3 53" xfId="6296" xr:uid="{00000000-0005-0000-0000-00009E180000}"/>
    <cellStyle name="Normal 3 54" xfId="6297" xr:uid="{00000000-0005-0000-0000-00009F180000}"/>
    <cellStyle name="Normal 3 55" xfId="6298" xr:uid="{00000000-0005-0000-0000-0000A0180000}"/>
    <cellStyle name="Normal 3 56" xfId="6299" xr:uid="{00000000-0005-0000-0000-0000A1180000}"/>
    <cellStyle name="Normal 3 57" xfId="6300" xr:uid="{00000000-0005-0000-0000-0000A2180000}"/>
    <cellStyle name="Normal 3 58" xfId="6301" xr:uid="{00000000-0005-0000-0000-0000A3180000}"/>
    <cellStyle name="Normal 3 59" xfId="6302" xr:uid="{00000000-0005-0000-0000-0000A4180000}"/>
    <cellStyle name="Normal 3 6" xfId="6303" xr:uid="{00000000-0005-0000-0000-0000A5180000}"/>
    <cellStyle name="Normal 3 6 2" xfId="6304" xr:uid="{00000000-0005-0000-0000-0000A6180000}"/>
    <cellStyle name="Normal 3 6 3" xfId="6305" xr:uid="{00000000-0005-0000-0000-0000A7180000}"/>
    <cellStyle name="Normal 3 6 4" xfId="6306" xr:uid="{00000000-0005-0000-0000-0000A8180000}"/>
    <cellStyle name="Normal 3 6 4 2" xfId="6307" xr:uid="{00000000-0005-0000-0000-0000A9180000}"/>
    <cellStyle name="Normal 3 6 5" xfId="6308" xr:uid="{00000000-0005-0000-0000-0000AA180000}"/>
    <cellStyle name="Normal 3 60" xfId="6309" xr:uid="{00000000-0005-0000-0000-0000AB180000}"/>
    <cellStyle name="Normal 3 61" xfId="6310" xr:uid="{00000000-0005-0000-0000-0000AC180000}"/>
    <cellStyle name="Normal 3 62" xfId="6311" xr:uid="{00000000-0005-0000-0000-0000AD180000}"/>
    <cellStyle name="Normal 3 63" xfId="6312" xr:uid="{00000000-0005-0000-0000-0000AE180000}"/>
    <cellStyle name="Normal 3 64" xfId="6313" xr:uid="{00000000-0005-0000-0000-0000AF180000}"/>
    <cellStyle name="Normal 3 65" xfId="6314" xr:uid="{00000000-0005-0000-0000-0000B0180000}"/>
    <cellStyle name="Normal 3 66" xfId="6315" xr:uid="{00000000-0005-0000-0000-0000B1180000}"/>
    <cellStyle name="Normal 3 67" xfId="6316" xr:uid="{00000000-0005-0000-0000-0000B2180000}"/>
    <cellStyle name="Normal 3 68" xfId="6317" xr:uid="{00000000-0005-0000-0000-0000B3180000}"/>
    <cellStyle name="Normal 3 69" xfId="6318" xr:uid="{00000000-0005-0000-0000-0000B4180000}"/>
    <cellStyle name="Normal 3 7" xfId="6319" xr:uid="{00000000-0005-0000-0000-0000B5180000}"/>
    <cellStyle name="Normal 3 70" xfId="6320" xr:uid="{00000000-0005-0000-0000-0000B6180000}"/>
    <cellStyle name="Normal 3 71" xfId="6321" xr:uid="{00000000-0005-0000-0000-0000B7180000}"/>
    <cellStyle name="Normal 3 72" xfId="6322" xr:uid="{00000000-0005-0000-0000-0000B8180000}"/>
    <cellStyle name="Normal 3 73" xfId="6323" xr:uid="{00000000-0005-0000-0000-0000B9180000}"/>
    <cellStyle name="Normal 3 74" xfId="6324" xr:uid="{00000000-0005-0000-0000-0000BA180000}"/>
    <cellStyle name="Normal 3 75" xfId="6325" xr:uid="{00000000-0005-0000-0000-0000BB180000}"/>
    <cellStyle name="Normal 3 76" xfId="6326" xr:uid="{00000000-0005-0000-0000-0000BC180000}"/>
    <cellStyle name="Normal 3 77" xfId="6327" xr:uid="{00000000-0005-0000-0000-0000BD180000}"/>
    <cellStyle name="Normal 3 78" xfId="6328" xr:uid="{00000000-0005-0000-0000-0000BE180000}"/>
    <cellStyle name="Normal 3 79" xfId="6329" xr:uid="{00000000-0005-0000-0000-0000BF180000}"/>
    <cellStyle name="Normal 3 8" xfId="6330" xr:uid="{00000000-0005-0000-0000-0000C0180000}"/>
    <cellStyle name="Normal 3 8 2" xfId="6331" xr:uid="{00000000-0005-0000-0000-0000C1180000}"/>
    <cellStyle name="Normal 3 8 3" xfId="6332" xr:uid="{00000000-0005-0000-0000-0000C2180000}"/>
    <cellStyle name="Normal 3 8 4" xfId="6333" xr:uid="{00000000-0005-0000-0000-0000C3180000}"/>
    <cellStyle name="Normal 3 8 4 2" xfId="6334" xr:uid="{00000000-0005-0000-0000-0000C4180000}"/>
    <cellStyle name="Normal 3 8 5" xfId="6335" xr:uid="{00000000-0005-0000-0000-0000C5180000}"/>
    <cellStyle name="Normal 3 80" xfId="6336" xr:uid="{00000000-0005-0000-0000-0000C6180000}"/>
    <cellStyle name="Normal 3 81" xfId="6337" xr:uid="{00000000-0005-0000-0000-0000C7180000}"/>
    <cellStyle name="Normal 3 82" xfId="6338" xr:uid="{00000000-0005-0000-0000-0000C8180000}"/>
    <cellStyle name="Normal 3 83" xfId="6339" xr:uid="{00000000-0005-0000-0000-0000C9180000}"/>
    <cellStyle name="Normal 3 84" xfId="6340" xr:uid="{00000000-0005-0000-0000-0000CA180000}"/>
    <cellStyle name="Normal 3 85" xfId="6341" xr:uid="{00000000-0005-0000-0000-0000CB180000}"/>
    <cellStyle name="Normal 3 86" xfId="6342" xr:uid="{00000000-0005-0000-0000-0000CC180000}"/>
    <cellStyle name="Normal 3 87" xfId="6343" xr:uid="{00000000-0005-0000-0000-0000CD180000}"/>
    <cellStyle name="Normal 3 88" xfId="6344" xr:uid="{00000000-0005-0000-0000-0000CE180000}"/>
    <cellStyle name="Normal 3 89" xfId="6345" xr:uid="{00000000-0005-0000-0000-0000CF180000}"/>
    <cellStyle name="Normal 3 9" xfId="6346" xr:uid="{00000000-0005-0000-0000-0000D0180000}"/>
    <cellStyle name="Normal 3 9 2" xfId="6347" xr:uid="{00000000-0005-0000-0000-0000D1180000}"/>
    <cellStyle name="Normal 3 9 3" xfId="6348" xr:uid="{00000000-0005-0000-0000-0000D2180000}"/>
    <cellStyle name="Normal 3 9 4" xfId="6349" xr:uid="{00000000-0005-0000-0000-0000D3180000}"/>
    <cellStyle name="Normal 3 9 4 2" xfId="6350" xr:uid="{00000000-0005-0000-0000-0000D4180000}"/>
    <cellStyle name="Normal 3 9 5" xfId="6351" xr:uid="{00000000-0005-0000-0000-0000D5180000}"/>
    <cellStyle name="Normal 3 90" xfId="6352" xr:uid="{00000000-0005-0000-0000-0000D6180000}"/>
    <cellStyle name="Normal 3 91" xfId="6353" xr:uid="{00000000-0005-0000-0000-0000D7180000}"/>
    <cellStyle name="Normal 3 92" xfId="6354" xr:uid="{00000000-0005-0000-0000-0000D8180000}"/>
    <cellStyle name="Normal 3 93" xfId="6355" xr:uid="{00000000-0005-0000-0000-0000D9180000}"/>
    <cellStyle name="Normal 3 94" xfId="6356" xr:uid="{00000000-0005-0000-0000-0000DA180000}"/>
    <cellStyle name="Normal 3 95" xfId="6357" xr:uid="{00000000-0005-0000-0000-0000DB180000}"/>
    <cellStyle name="Normal 3 96" xfId="6358" xr:uid="{00000000-0005-0000-0000-0000DC180000}"/>
    <cellStyle name="Normal 3 97" xfId="6359" xr:uid="{00000000-0005-0000-0000-0000DD180000}"/>
    <cellStyle name="Normal 3 98" xfId="6360" xr:uid="{00000000-0005-0000-0000-0000DE180000}"/>
    <cellStyle name="Normal 3 99" xfId="6361" xr:uid="{00000000-0005-0000-0000-0000DF180000}"/>
    <cellStyle name="Normal 30" xfId="6362" xr:uid="{00000000-0005-0000-0000-0000E0180000}"/>
    <cellStyle name="Normal 31" xfId="6363" xr:uid="{00000000-0005-0000-0000-0000E1180000}"/>
    <cellStyle name="Normal 31 2" xfId="6364" xr:uid="{00000000-0005-0000-0000-0000E2180000}"/>
    <cellStyle name="Normal 31 3" xfId="6365" xr:uid="{00000000-0005-0000-0000-0000E3180000}"/>
    <cellStyle name="Normal 32" xfId="6366" xr:uid="{00000000-0005-0000-0000-0000E4180000}"/>
    <cellStyle name="Normal 32 2" xfId="6367" xr:uid="{00000000-0005-0000-0000-0000E5180000}"/>
    <cellStyle name="Normal 33" xfId="6368" xr:uid="{00000000-0005-0000-0000-0000E6180000}"/>
    <cellStyle name="Normal 34" xfId="6369" xr:uid="{00000000-0005-0000-0000-0000E7180000}"/>
    <cellStyle name="Normal 35" xfId="6370" xr:uid="{00000000-0005-0000-0000-0000E8180000}"/>
    <cellStyle name="Normal 36" xfId="6371" xr:uid="{00000000-0005-0000-0000-0000E9180000}"/>
    <cellStyle name="Normal 37" xfId="6372" xr:uid="{00000000-0005-0000-0000-0000EA180000}"/>
    <cellStyle name="Normal 38" xfId="6373" xr:uid="{00000000-0005-0000-0000-0000EB180000}"/>
    <cellStyle name="Normal 39" xfId="6374" xr:uid="{00000000-0005-0000-0000-0000EC180000}"/>
    <cellStyle name="Normal 4" xfId="9" xr:uid="{00000000-0005-0000-0000-0000ED180000}"/>
    <cellStyle name="Normal 4 10" xfId="6375" xr:uid="{00000000-0005-0000-0000-0000EE180000}"/>
    <cellStyle name="Normal 4 10 2" xfId="6376" xr:uid="{00000000-0005-0000-0000-0000EF180000}"/>
    <cellStyle name="Normal 4 10 3" xfId="6377" xr:uid="{00000000-0005-0000-0000-0000F0180000}"/>
    <cellStyle name="Normal 4 100" xfId="6378" xr:uid="{00000000-0005-0000-0000-0000F1180000}"/>
    <cellStyle name="Normal 4 101" xfId="6379" xr:uid="{00000000-0005-0000-0000-0000F2180000}"/>
    <cellStyle name="Normal 4 102" xfId="6380" xr:uid="{00000000-0005-0000-0000-0000F3180000}"/>
    <cellStyle name="Normal 4 103" xfId="6381" xr:uid="{00000000-0005-0000-0000-0000F4180000}"/>
    <cellStyle name="Normal 4 104" xfId="6382" xr:uid="{00000000-0005-0000-0000-0000F5180000}"/>
    <cellStyle name="Normal 4 105" xfId="6383" xr:uid="{00000000-0005-0000-0000-0000F6180000}"/>
    <cellStyle name="Normal 4 106" xfId="6384" xr:uid="{00000000-0005-0000-0000-0000F7180000}"/>
    <cellStyle name="Normal 4 107" xfId="6385" xr:uid="{00000000-0005-0000-0000-0000F8180000}"/>
    <cellStyle name="Normal 4 108" xfId="6386" xr:uid="{00000000-0005-0000-0000-0000F9180000}"/>
    <cellStyle name="Normal 4 109" xfId="6387" xr:uid="{00000000-0005-0000-0000-0000FA180000}"/>
    <cellStyle name="Normal 4 11" xfId="6388" xr:uid="{00000000-0005-0000-0000-0000FB180000}"/>
    <cellStyle name="Normal 4 11 2" xfId="6389" xr:uid="{00000000-0005-0000-0000-0000FC180000}"/>
    <cellStyle name="Normal 4 11 3" xfId="6390" xr:uid="{00000000-0005-0000-0000-0000FD180000}"/>
    <cellStyle name="Normal 4 110" xfId="6391" xr:uid="{00000000-0005-0000-0000-0000FE180000}"/>
    <cellStyle name="Normal 4 111" xfId="6392" xr:uid="{00000000-0005-0000-0000-0000FF180000}"/>
    <cellStyle name="Normal 4 112" xfId="6393" xr:uid="{00000000-0005-0000-0000-000000190000}"/>
    <cellStyle name="Normal 4 113" xfId="6394" xr:uid="{00000000-0005-0000-0000-000001190000}"/>
    <cellStyle name="Normal 4 114" xfId="6395" xr:uid="{00000000-0005-0000-0000-000002190000}"/>
    <cellStyle name="Normal 4 115" xfId="6396" xr:uid="{00000000-0005-0000-0000-000003190000}"/>
    <cellStyle name="Normal 4 116" xfId="6397" xr:uid="{00000000-0005-0000-0000-000004190000}"/>
    <cellStyle name="Normal 4 117" xfId="6398" xr:uid="{00000000-0005-0000-0000-000005190000}"/>
    <cellStyle name="Normal 4 118" xfId="6399" xr:uid="{00000000-0005-0000-0000-000006190000}"/>
    <cellStyle name="Normal 4 119" xfId="6400" xr:uid="{00000000-0005-0000-0000-000007190000}"/>
    <cellStyle name="Normal 4 12" xfId="6401" xr:uid="{00000000-0005-0000-0000-000008190000}"/>
    <cellStyle name="Normal 4 12 2" xfId="6402" xr:uid="{00000000-0005-0000-0000-000009190000}"/>
    <cellStyle name="Normal 4 120" xfId="6403" xr:uid="{00000000-0005-0000-0000-00000A190000}"/>
    <cellStyle name="Normal 4 121" xfId="6404" xr:uid="{00000000-0005-0000-0000-00000B190000}"/>
    <cellStyle name="Normal 4 122" xfId="6405" xr:uid="{00000000-0005-0000-0000-00000C190000}"/>
    <cellStyle name="Normal 4 123" xfId="6406" xr:uid="{00000000-0005-0000-0000-00000D190000}"/>
    <cellStyle name="Normal 4 124" xfId="6407" xr:uid="{00000000-0005-0000-0000-00000E190000}"/>
    <cellStyle name="Normal 4 125" xfId="6408" xr:uid="{00000000-0005-0000-0000-00000F190000}"/>
    <cellStyle name="Normal 4 126" xfId="6409" xr:uid="{00000000-0005-0000-0000-000010190000}"/>
    <cellStyle name="Normal 4 127" xfId="6410" xr:uid="{00000000-0005-0000-0000-000011190000}"/>
    <cellStyle name="Normal 4 128" xfId="6411" xr:uid="{00000000-0005-0000-0000-000012190000}"/>
    <cellStyle name="Normal 4 129" xfId="6412" xr:uid="{00000000-0005-0000-0000-000013190000}"/>
    <cellStyle name="Normal 4 13" xfId="6413" xr:uid="{00000000-0005-0000-0000-000014190000}"/>
    <cellStyle name="Normal 4 13 2" xfId="6414" xr:uid="{00000000-0005-0000-0000-000015190000}"/>
    <cellStyle name="Normal 4 130" xfId="6415" xr:uid="{00000000-0005-0000-0000-000016190000}"/>
    <cellStyle name="Normal 4 131" xfId="6416" xr:uid="{00000000-0005-0000-0000-000017190000}"/>
    <cellStyle name="Normal 4 132" xfId="6417" xr:uid="{00000000-0005-0000-0000-000018190000}"/>
    <cellStyle name="Normal 4 133" xfId="6418" xr:uid="{00000000-0005-0000-0000-000019190000}"/>
    <cellStyle name="Normal 4 134" xfId="6419" xr:uid="{00000000-0005-0000-0000-00001A190000}"/>
    <cellStyle name="Normal 4 135" xfId="6420" xr:uid="{00000000-0005-0000-0000-00001B190000}"/>
    <cellStyle name="Normal 4 136" xfId="6421" xr:uid="{00000000-0005-0000-0000-00001C190000}"/>
    <cellStyle name="Normal 4 137" xfId="6422" xr:uid="{00000000-0005-0000-0000-00001D190000}"/>
    <cellStyle name="Normal 4 138" xfId="6423" xr:uid="{00000000-0005-0000-0000-00001E190000}"/>
    <cellStyle name="Normal 4 139" xfId="6424" xr:uid="{00000000-0005-0000-0000-00001F190000}"/>
    <cellStyle name="Normal 4 14" xfId="6425" xr:uid="{00000000-0005-0000-0000-000020190000}"/>
    <cellStyle name="Normal 4 14 2" xfId="6426" xr:uid="{00000000-0005-0000-0000-000021190000}"/>
    <cellStyle name="Normal 4 140" xfId="6427" xr:uid="{00000000-0005-0000-0000-000022190000}"/>
    <cellStyle name="Normal 4 141" xfId="6428" xr:uid="{00000000-0005-0000-0000-000023190000}"/>
    <cellStyle name="Normal 4 142" xfId="6429" xr:uid="{00000000-0005-0000-0000-000024190000}"/>
    <cellStyle name="Normal 4 143" xfId="6430" xr:uid="{00000000-0005-0000-0000-000025190000}"/>
    <cellStyle name="Normal 4 144" xfId="6431" xr:uid="{00000000-0005-0000-0000-000026190000}"/>
    <cellStyle name="Normal 4 145" xfId="6432" xr:uid="{00000000-0005-0000-0000-000027190000}"/>
    <cellStyle name="Normal 4 146" xfId="6433" xr:uid="{00000000-0005-0000-0000-000028190000}"/>
    <cellStyle name="Normal 4 147" xfId="6434" xr:uid="{00000000-0005-0000-0000-000029190000}"/>
    <cellStyle name="Normal 4 148" xfId="6435" xr:uid="{00000000-0005-0000-0000-00002A190000}"/>
    <cellStyle name="Normal 4 149" xfId="6436" xr:uid="{00000000-0005-0000-0000-00002B190000}"/>
    <cellStyle name="Normal 4 15" xfId="6437" xr:uid="{00000000-0005-0000-0000-00002C190000}"/>
    <cellStyle name="Normal 4 15 2" xfId="6438" xr:uid="{00000000-0005-0000-0000-00002D190000}"/>
    <cellStyle name="Normal 4 150" xfId="6439" xr:uid="{00000000-0005-0000-0000-00002E190000}"/>
    <cellStyle name="Normal 4 151" xfId="6440" xr:uid="{00000000-0005-0000-0000-00002F190000}"/>
    <cellStyle name="Normal 4 152" xfId="6441" xr:uid="{00000000-0005-0000-0000-000030190000}"/>
    <cellStyle name="Normal 4 153" xfId="6442" xr:uid="{00000000-0005-0000-0000-000031190000}"/>
    <cellStyle name="Normal 4 154" xfId="6443" xr:uid="{00000000-0005-0000-0000-000032190000}"/>
    <cellStyle name="Normal 4 155" xfId="6444" xr:uid="{00000000-0005-0000-0000-000033190000}"/>
    <cellStyle name="Normal 4 156" xfId="6445" xr:uid="{00000000-0005-0000-0000-000034190000}"/>
    <cellStyle name="Normal 4 157" xfId="6446" xr:uid="{00000000-0005-0000-0000-000035190000}"/>
    <cellStyle name="Normal 4 158" xfId="6447" xr:uid="{00000000-0005-0000-0000-000036190000}"/>
    <cellStyle name="Normal 4 159" xfId="6448" xr:uid="{00000000-0005-0000-0000-000037190000}"/>
    <cellStyle name="Normal 4 16" xfId="6449" xr:uid="{00000000-0005-0000-0000-000038190000}"/>
    <cellStyle name="Normal 4 16 2" xfId="6450" xr:uid="{00000000-0005-0000-0000-000039190000}"/>
    <cellStyle name="Normal 4 160" xfId="65" xr:uid="{00000000-0005-0000-0000-00003A190000}"/>
    <cellStyle name="Normal 4 17" xfId="6451" xr:uid="{00000000-0005-0000-0000-00003B190000}"/>
    <cellStyle name="Normal 4 17 2" xfId="6452" xr:uid="{00000000-0005-0000-0000-00003C190000}"/>
    <cellStyle name="Normal 4 18" xfId="6453" xr:uid="{00000000-0005-0000-0000-00003D190000}"/>
    <cellStyle name="Normal 4 18 2" xfId="6454" xr:uid="{00000000-0005-0000-0000-00003E190000}"/>
    <cellStyle name="Normal 4 19" xfId="6455" xr:uid="{00000000-0005-0000-0000-00003F190000}"/>
    <cellStyle name="Normal 4 19 2" xfId="6456" xr:uid="{00000000-0005-0000-0000-000040190000}"/>
    <cellStyle name="Normal 4 2" xfId="6457" xr:uid="{00000000-0005-0000-0000-000041190000}"/>
    <cellStyle name="Normal 4 2 10" xfId="6458" xr:uid="{00000000-0005-0000-0000-000042190000}"/>
    <cellStyle name="Normal 4 2 11" xfId="6459" xr:uid="{00000000-0005-0000-0000-000043190000}"/>
    <cellStyle name="Normal 4 2 12" xfId="6460" xr:uid="{00000000-0005-0000-0000-000044190000}"/>
    <cellStyle name="Normal 4 2 13" xfId="6461" xr:uid="{00000000-0005-0000-0000-000045190000}"/>
    <cellStyle name="Normal 4 2 14" xfId="6462" xr:uid="{00000000-0005-0000-0000-000046190000}"/>
    <cellStyle name="Normal 4 2 15" xfId="6463" xr:uid="{00000000-0005-0000-0000-000047190000}"/>
    <cellStyle name="Normal 4 2 16" xfId="6464" xr:uid="{00000000-0005-0000-0000-000048190000}"/>
    <cellStyle name="Normal 4 2 17" xfId="6465" xr:uid="{00000000-0005-0000-0000-000049190000}"/>
    <cellStyle name="Normal 4 2 18" xfId="6466" xr:uid="{00000000-0005-0000-0000-00004A190000}"/>
    <cellStyle name="Normal 4 2 2" xfId="6467" xr:uid="{00000000-0005-0000-0000-00004B190000}"/>
    <cellStyle name="Normal 4 2 2 10" xfId="6468" xr:uid="{00000000-0005-0000-0000-00004C190000}"/>
    <cellStyle name="Normal 4 2 2 11" xfId="6469" xr:uid="{00000000-0005-0000-0000-00004D190000}"/>
    <cellStyle name="Normal 4 2 2 2" xfId="6470" xr:uid="{00000000-0005-0000-0000-00004E190000}"/>
    <cellStyle name="Normal 4 2 2 2 2" xfId="6471" xr:uid="{00000000-0005-0000-0000-00004F190000}"/>
    <cellStyle name="Normal 4 2 2 3" xfId="6472" xr:uid="{00000000-0005-0000-0000-000050190000}"/>
    <cellStyle name="Normal 4 2 2 4" xfId="6473" xr:uid="{00000000-0005-0000-0000-000051190000}"/>
    <cellStyle name="Normal 4 2 2 5" xfId="6474" xr:uid="{00000000-0005-0000-0000-000052190000}"/>
    <cellStyle name="Normal 4 2 2 6" xfId="6475" xr:uid="{00000000-0005-0000-0000-000053190000}"/>
    <cellStyle name="Normal 4 2 2 7" xfId="6476" xr:uid="{00000000-0005-0000-0000-000054190000}"/>
    <cellStyle name="Normal 4 2 2 8" xfId="6477" xr:uid="{00000000-0005-0000-0000-000055190000}"/>
    <cellStyle name="Normal 4 2 2 9" xfId="6478" xr:uid="{00000000-0005-0000-0000-000056190000}"/>
    <cellStyle name="Normal 4 2 3" xfId="6479" xr:uid="{00000000-0005-0000-0000-000057190000}"/>
    <cellStyle name="Normal 4 2 4" xfId="6480" xr:uid="{00000000-0005-0000-0000-000058190000}"/>
    <cellStyle name="Normal 4 2 5" xfId="6481" xr:uid="{00000000-0005-0000-0000-000059190000}"/>
    <cellStyle name="Normal 4 2 5 2" xfId="6482" xr:uid="{00000000-0005-0000-0000-00005A190000}"/>
    <cellStyle name="Normal 4 2 6" xfId="6483" xr:uid="{00000000-0005-0000-0000-00005B190000}"/>
    <cellStyle name="Normal 4 2 7" xfId="6484" xr:uid="{00000000-0005-0000-0000-00005C190000}"/>
    <cellStyle name="Normal 4 2 8" xfId="6485" xr:uid="{00000000-0005-0000-0000-00005D190000}"/>
    <cellStyle name="Normal 4 2 9" xfId="6486" xr:uid="{00000000-0005-0000-0000-00005E190000}"/>
    <cellStyle name="Normal 4 20" xfId="6487" xr:uid="{00000000-0005-0000-0000-00005F190000}"/>
    <cellStyle name="Normal 4 20 2" xfId="6488" xr:uid="{00000000-0005-0000-0000-000060190000}"/>
    <cellStyle name="Normal 4 21" xfId="6489" xr:uid="{00000000-0005-0000-0000-000061190000}"/>
    <cellStyle name="Normal 4 21 2" xfId="6490" xr:uid="{00000000-0005-0000-0000-000062190000}"/>
    <cellStyle name="Normal 4 22" xfId="6491" xr:uid="{00000000-0005-0000-0000-000063190000}"/>
    <cellStyle name="Normal 4 22 2" xfId="6492" xr:uid="{00000000-0005-0000-0000-000064190000}"/>
    <cellStyle name="Normal 4 23" xfId="6493" xr:uid="{00000000-0005-0000-0000-000065190000}"/>
    <cellStyle name="Normal 4 23 2" xfId="6494" xr:uid="{00000000-0005-0000-0000-000066190000}"/>
    <cellStyle name="Normal 4 24" xfId="6495" xr:uid="{00000000-0005-0000-0000-000067190000}"/>
    <cellStyle name="Normal 4 24 2" xfId="6496" xr:uid="{00000000-0005-0000-0000-000068190000}"/>
    <cellStyle name="Normal 4 25" xfId="6497" xr:uid="{00000000-0005-0000-0000-000069190000}"/>
    <cellStyle name="Normal 4 25 2" xfId="6498" xr:uid="{00000000-0005-0000-0000-00006A190000}"/>
    <cellStyle name="Normal 4 26" xfId="6499" xr:uid="{00000000-0005-0000-0000-00006B190000}"/>
    <cellStyle name="Normal 4 26 2" xfId="6500" xr:uid="{00000000-0005-0000-0000-00006C190000}"/>
    <cellStyle name="Normal 4 27" xfId="6501" xr:uid="{00000000-0005-0000-0000-00006D190000}"/>
    <cellStyle name="Normal 4 27 2" xfId="6502" xr:uid="{00000000-0005-0000-0000-00006E190000}"/>
    <cellStyle name="Normal 4 28" xfId="6503" xr:uid="{00000000-0005-0000-0000-00006F190000}"/>
    <cellStyle name="Normal 4 28 2" xfId="6504" xr:uid="{00000000-0005-0000-0000-000070190000}"/>
    <cellStyle name="Normal 4 29" xfId="6505" xr:uid="{00000000-0005-0000-0000-000071190000}"/>
    <cellStyle name="Normal 4 29 2" xfId="6506" xr:uid="{00000000-0005-0000-0000-000072190000}"/>
    <cellStyle name="Normal 4 3" xfId="6507" xr:uid="{00000000-0005-0000-0000-000073190000}"/>
    <cellStyle name="Normal 4 3 10" xfId="6508" xr:uid="{00000000-0005-0000-0000-000074190000}"/>
    <cellStyle name="Normal 4 3 11" xfId="6509" xr:uid="{00000000-0005-0000-0000-000075190000}"/>
    <cellStyle name="Normal 4 3 2" xfId="6510" xr:uid="{00000000-0005-0000-0000-000076190000}"/>
    <cellStyle name="Normal 4 3 2 2" xfId="6511" xr:uid="{00000000-0005-0000-0000-000077190000}"/>
    <cellStyle name="Normal 4 3 3" xfId="6512" xr:uid="{00000000-0005-0000-0000-000078190000}"/>
    <cellStyle name="Normal 4 3 3 2" xfId="6513" xr:uid="{00000000-0005-0000-0000-000079190000}"/>
    <cellStyle name="Normal 4 3 4" xfId="6514" xr:uid="{00000000-0005-0000-0000-00007A190000}"/>
    <cellStyle name="Normal 4 3 5" xfId="6515" xr:uid="{00000000-0005-0000-0000-00007B190000}"/>
    <cellStyle name="Normal 4 3 6" xfId="6516" xr:uid="{00000000-0005-0000-0000-00007C190000}"/>
    <cellStyle name="Normal 4 3 7" xfId="6517" xr:uid="{00000000-0005-0000-0000-00007D190000}"/>
    <cellStyle name="Normal 4 3 8" xfId="6518" xr:uid="{00000000-0005-0000-0000-00007E190000}"/>
    <cellStyle name="Normal 4 3 9" xfId="6519" xr:uid="{00000000-0005-0000-0000-00007F190000}"/>
    <cellStyle name="Normal 4 30" xfId="6520" xr:uid="{00000000-0005-0000-0000-000080190000}"/>
    <cellStyle name="Normal 4 30 2" xfId="6521" xr:uid="{00000000-0005-0000-0000-000081190000}"/>
    <cellStyle name="Normal 4 31" xfId="6522" xr:uid="{00000000-0005-0000-0000-000082190000}"/>
    <cellStyle name="Normal 4 31 2" xfId="6523" xr:uid="{00000000-0005-0000-0000-000083190000}"/>
    <cellStyle name="Normal 4 32" xfId="6524" xr:uid="{00000000-0005-0000-0000-000084190000}"/>
    <cellStyle name="Normal 4 32 2" xfId="6525" xr:uid="{00000000-0005-0000-0000-000085190000}"/>
    <cellStyle name="Normal 4 33" xfId="6526" xr:uid="{00000000-0005-0000-0000-000086190000}"/>
    <cellStyle name="Normal 4 33 2" xfId="6527" xr:uid="{00000000-0005-0000-0000-000087190000}"/>
    <cellStyle name="Normal 4 34" xfId="6528" xr:uid="{00000000-0005-0000-0000-000088190000}"/>
    <cellStyle name="Normal 4 34 2" xfId="6529" xr:uid="{00000000-0005-0000-0000-000089190000}"/>
    <cellStyle name="Normal 4 35" xfId="6530" xr:uid="{00000000-0005-0000-0000-00008A190000}"/>
    <cellStyle name="Normal 4 35 2" xfId="6531" xr:uid="{00000000-0005-0000-0000-00008B190000}"/>
    <cellStyle name="Normal 4 36" xfId="6532" xr:uid="{00000000-0005-0000-0000-00008C190000}"/>
    <cellStyle name="Normal 4 36 2" xfId="6533" xr:uid="{00000000-0005-0000-0000-00008D190000}"/>
    <cellStyle name="Normal 4 37" xfId="6534" xr:uid="{00000000-0005-0000-0000-00008E190000}"/>
    <cellStyle name="Normal 4 37 2" xfId="6535" xr:uid="{00000000-0005-0000-0000-00008F190000}"/>
    <cellStyle name="Normal 4 38" xfId="6536" xr:uid="{00000000-0005-0000-0000-000090190000}"/>
    <cellStyle name="Normal 4 38 2" xfId="6537" xr:uid="{00000000-0005-0000-0000-000091190000}"/>
    <cellStyle name="Normal 4 39" xfId="6538" xr:uid="{00000000-0005-0000-0000-000092190000}"/>
    <cellStyle name="Normal 4 39 2" xfId="6539" xr:uid="{00000000-0005-0000-0000-000093190000}"/>
    <cellStyle name="Normal 4 4" xfId="6540" xr:uid="{00000000-0005-0000-0000-000094190000}"/>
    <cellStyle name="Normal 4 4 2" xfId="6541" xr:uid="{00000000-0005-0000-0000-000095190000}"/>
    <cellStyle name="Normal 4 4 2 2" xfId="6542" xr:uid="{00000000-0005-0000-0000-000096190000}"/>
    <cellStyle name="Normal 4 4 2 3" xfId="6543" xr:uid="{00000000-0005-0000-0000-000097190000}"/>
    <cellStyle name="Normal 4 4 2 4" xfId="6544" xr:uid="{00000000-0005-0000-0000-000098190000}"/>
    <cellStyle name="Normal 4 4 2 5" xfId="6545" xr:uid="{00000000-0005-0000-0000-000099190000}"/>
    <cellStyle name="Normal 4 4 3" xfId="6546" xr:uid="{00000000-0005-0000-0000-00009A190000}"/>
    <cellStyle name="Normal 4 4 4" xfId="6547" xr:uid="{00000000-0005-0000-0000-00009B190000}"/>
    <cellStyle name="Normal 4 4 4 2" xfId="6548" xr:uid="{00000000-0005-0000-0000-00009C190000}"/>
    <cellStyle name="Normal 4 4 5" xfId="6549" xr:uid="{00000000-0005-0000-0000-00009D190000}"/>
    <cellStyle name="Normal 4 4 6" xfId="6550" xr:uid="{00000000-0005-0000-0000-00009E190000}"/>
    <cellStyle name="Normal 4 4 6 2" xfId="6551" xr:uid="{00000000-0005-0000-0000-00009F190000}"/>
    <cellStyle name="Normal 4 40" xfId="6552" xr:uid="{00000000-0005-0000-0000-0000A0190000}"/>
    <cellStyle name="Normal 4 40 2" xfId="6553" xr:uid="{00000000-0005-0000-0000-0000A1190000}"/>
    <cellStyle name="Normal 4 41" xfId="6554" xr:uid="{00000000-0005-0000-0000-0000A2190000}"/>
    <cellStyle name="Normal 4 41 2" xfId="6555" xr:uid="{00000000-0005-0000-0000-0000A3190000}"/>
    <cellStyle name="Normal 4 42" xfId="6556" xr:uid="{00000000-0005-0000-0000-0000A4190000}"/>
    <cellStyle name="Normal 4 42 2" xfId="6557" xr:uid="{00000000-0005-0000-0000-0000A5190000}"/>
    <cellStyle name="Normal 4 43" xfId="6558" xr:uid="{00000000-0005-0000-0000-0000A6190000}"/>
    <cellStyle name="Normal 4 43 2" xfId="6559" xr:uid="{00000000-0005-0000-0000-0000A7190000}"/>
    <cellStyle name="Normal 4 44" xfId="6560" xr:uid="{00000000-0005-0000-0000-0000A8190000}"/>
    <cellStyle name="Normal 4 44 2" xfId="6561" xr:uid="{00000000-0005-0000-0000-0000A9190000}"/>
    <cellStyle name="Normal 4 45" xfId="6562" xr:uid="{00000000-0005-0000-0000-0000AA190000}"/>
    <cellStyle name="Normal 4 45 2" xfId="6563" xr:uid="{00000000-0005-0000-0000-0000AB190000}"/>
    <cellStyle name="Normal 4 46" xfId="6564" xr:uid="{00000000-0005-0000-0000-0000AC190000}"/>
    <cellStyle name="Normal 4 46 2" xfId="6565" xr:uid="{00000000-0005-0000-0000-0000AD190000}"/>
    <cellStyle name="Normal 4 47" xfId="6566" xr:uid="{00000000-0005-0000-0000-0000AE190000}"/>
    <cellStyle name="Normal 4 47 2" xfId="6567" xr:uid="{00000000-0005-0000-0000-0000AF190000}"/>
    <cellStyle name="Normal 4 48" xfId="6568" xr:uid="{00000000-0005-0000-0000-0000B0190000}"/>
    <cellStyle name="Normal 4 48 2" xfId="6569" xr:uid="{00000000-0005-0000-0000-0000B1190000}"/>
    <cellStyle name="Normal 4 49" xfId="6570" xr:uid="{00000000-0005-0000-0000-0000B2190000}"/>
    <cellStyle name="Normal 4 49 2" xfId="6571" xr:uid="{00000000-0005-0000-0000-0000B3190000}"/>
    <cellStyle name="Normal 4 5" xfId="6572" xr:uid="{00000000-0005-0000-0000-0000B4190000}"/>
    <cellStyle name="Normal 4 5 2" xfId="6573" xr:uid="{00000000-0005-0000-0000-0000B5190000}"/>
    <cellStyle name="Normal 4 5 2 2" xfId="6574" xr:uid="{00000000-0005-0000-0000-0000B6190000}"/>
    <cellStyle name="Normal 4 5 2 3" xfId="6575" xr:uid="{00000000-0005-0000-0000-0000B7190000}"/>
    <cellStyle name="Normal 4 5 3" xfId="6576" xr:uid="{00000000-0005-0000-0000-0000B8190000}"/>
    <cellStyle name="Normal 4 5 4" xfId="6577" xr:uid="{00000000-0005-0000-0000-0000B9190000}"/>
    <cellStyle name="Normal 4 5 5" xfId="6578" xr:uid="{00000000-0005-0000-0000-0000BA190000}"/>
    <cellStyle name="Normal 4 50" xfId="6579" xr:uid="{00000000-0005-0000-0000-0000BB190000}"/>
    <cellStyle name="Normal 4 50 2" xfId="6580" xr:uid="{00000000-0005-0000-0000-0000BC190000}"/>
    <cellStyle name="Normal 4 51" xfId="6581" xr:uid="{00000000-0005-0000-0000-0000BD190000}"/>
    <cellStyle name="Normal 4 51 2" xfId="6582" xr:uid="{00000000-0005-0000-0000-0000BE190000}"/>
    <cellStyle name="Normal 4 52" xfId="6583" xr:uid="{00000000-0005-0000-0000-0000BF190000}"/>
    <cellStyle name="Normal 4 52 2" xfId="6584" xr:uid="{00000000-0005-0000-0000-0000C0190000}"/>
    <cellStyle name="Normal 4 53" xfId="6585" xr:uid="{00000000-0005-0000-0000-0000C1190000}"/>
    <cellStyle name="Normal 4 53 2" xfId="6586" xr:uid="{00000000-0005-0000-0000-0000C2190000}"/>
    <cellStyle name="Normal 4 54" xfId="6587" xr:uid="{00000000-0005-0000-0000-0000C3190000}"/>
    <cellStyle name="Normal 4 54 2" xfId="6588" xr:uid="{00000000-0005-0000-0000-0000C4190000}"/>
    <cellStyle name="Normal 4 55" xfId="6589" xr:uid="{00000000-0005-0000-0000-0000C5190000}"/>
    <cellStyle name="Normal 4 55 2" xfId="6590" xr:uid="{00000000-0005-0000-0000-0000C6190000}"/>
    <cellStyle name="Normal 4 56" xfId="6591" xr:uid="{00000000-0005-0000-0000-0000C7190000}"/>
    <cellStyle name="Normal 4 56 2" xfId="6592" xr:uid="{00000000-0005-0000-0000-0000C8190000}"/>
    <cellStyle name="Normal 4 57" xfId="6593" xr:uid="{00000000-0005-0000-0000-0000C9190000}"/>
    <cellStyle name="Normal 4 57 2" xfId="6594" xr:uid="{00000000-0005-0000-0000-0000CA190000}"/>
    <cellStyle name="Normal 4 58" xfId="6595" xr:uid="{00000000-0005-0000-0000-0000CB190000}"/>
    <cellStyle name="Normal 4 58 2" xfId="6596" xr:uid="{00000000-0005-0000-0000-0000CC190000}"/>
    <cellStyle name="Normal 4 59" xfId="6597" xr:uid="{00000000-0005-0000-0000-0000CD190000}"/>
    <cellStyle name="Normal 4 59 2" xfId="6598" xr:uid="{00000000-0005-0000-0000-0000CE190000}"/>
    <cellStyle name="Normal 4 6" xfId="6599" xr:uid="{00000000-0005-0000-0000-0000CF190000}"/>
    <cellStyle name="Normal 4 6 2" xfId="6600" xr:uid="{00000000-0005-0000-0000-0000D0190000}"/>
    <cellStyle name="Normal 4 6 2 2" xfId="6601" xr:uid="{00000000-0005-0000-0000-0000D1190000}"/>
    <cellStyle name="Normal 4 6 2 3" xfId="6602" xr:uid="{00000000-0005-0000-0000-0000D2190000}"/>
    <cellStyle name="Normal 4 6 3" xfId="6603" xr:uid="{00000000-0005-0000-0000-0000D3190000}"/>
    <cellStyle name="Normal 4 6 4" xfId="6604" xr:uid="{00000000-0005-0000-0000-0000D4190000}"/>
    <cellStyle name="Normal 4 6 5" xfId="6605" xr:uid="{00000000-0005-0000-0000-0000D5190000}"/>
    <cellStyle name="Normal 4 60" xfId="6606" xr:uid="{00000000-0005-0000-0000-0000D6190000}"/>
    <cellStyle name="Normal 4 60 2" xfId="6607" xr:uid="{00000000-0005-0000-0000-0000D7190000}"/>
    <cellStyle name="Normal 4 61" xfId="6608" xr:uid="{00000000-0005-0000-0000-0000D8190000}"/>
    <cellStyle name="Normal 4 61 2" xfId="6609" xr:uid="{00000000-0005-0000-0000-0000D9190000}"/>
    <cellStyle name="Normal 4 62" xfId="6610" xr:uid="{00000000-0005-0000-0000-0000DA190000}"/>
    <cellStyle name="Normal 4 63" xfId="6611" xr:uid="{00000000-0005-0000-0000-0000DB190000}"/>
    <cellStyle name="Normal 4 64" xfId="6612" xr:uid="{00000000-0005-0000-0000-0000DC190000}"/>
    <cellStyle name="Normal 4 65" xfId="6613" xr:uid="{00000000-0005-0000-0000-0000DD190000}"/>
    <cellStyle name="Normal 4 66" xfId="6614" xr:uid="{00000000-0005-0000-0000-0000DE190000}"/>
    <cellStyle name="Normal 4 67" xfId="6615" xr:uid="{00000000-0005-0000-0000-0000DF190000}"/>
    <cellStyle name="Normal 4 68" xfId="6616" xr:uid="{00000000-0005-0000-0000-0000E0190000}"/>
    <cellStyle name="Normal 4 69" xfId="6617" xr:uid="{00000000-0005-0000-0000-0000E1190000}"/>
    <cellStyle name="Normal 4 7" xfId="6618" xr:uid="{00000000-0005-0000-0000-0000E2190000}"/>
    <cellStyle name="Normal 4 7 2" xfId="6619" xr:uid="{00000000-0005-0000-0000-0000E3190000}"/>
    <cellStyle name="Normal 4 7 2 2" xfId="6620" xr:uid="{00000000-0005-0000-0000-0000E4190000}"/>
    <cellStyle name="Normal 4 7 2 3" xfId="6621" xr:uid="{00000000-0005-0000-0000-0000E5190000}"/>
    <cellStyle name="Normal 4 7 3" xfId="6622" xr:uid="{00000000-0005-0000-0000-0000E6190000}"/>
    <cellStyle name="Normal 4 7 4" xfId="6623" xr:uid="{00000000-0005-0000-0000-0000E7190000}"/>
    <cellStyle name="Normal 4 7 5" xfId="6624" xr:uid="{00000000-0005-0000-0000-0000E8190000}"/>
    <cellStyle name="Normal 4 70" xfId="6625" xr:uid="{00000000-0005-0000-0000-0000E9190000}"/>
    <cellStyle name="Normal 4 71" xfId="6626" xr:uid="{00000000-0005-0000-0000-0000EA190000}"/>
    <cellStyle name="Normal 4 72" xfId="6627" xr:uid="{00000000-0005-0000-0000-0000EB190000}"/>
    <cellStyle name="Normal 4 73" xfId="6628" xr:uid="{00000000-0005-0000-0000-0000EC190000}"/>
    <cellStyle name="Normal 4 74" xfId="6629" xr:uid="{00000000-0005-0000-0000-0000ED190000}"/>
    <cellStyle name="Normal 4 75" xfId="6630" xr:uid="{00000000-0005-0000-0000-0000EE190000}"/>
    <cellStyle name="Normal 4 76" xfId="6631" xr:uid="{00000000-0005-0000-0000-0000EF190000}"/>
    <cellStyle name="Normal 4 77" xfId="6632" xr:uid="{00000000-0005-0000-0000-0000F0190000}"/>
    <cellStyle name="Normal 4 78" xfId="6633" xr:uid="{00000000-0005-0000-0000-0000F1190000}"/>
    <cellStyle name="Normal 4 79" xfId="6634" xr:uid="{00000000-0005-0000-0000-0000F2190000}"/>
    <cellStyle name="Normal 4 8" xfId="6635" xr:uid="{00000000-0005-0000-0000-0000F3190000}"/>
    <cellStyle name="Normal 4 8 2" xfId="6636" xr:uid="{00000000-0005-0000-0000-0000F4190000}"/>
    <cellStyle name="Normal 4 8 2 2" xfId="6637" xr:uid="{00000000-0005-0000-0000-0000F5190000}"/>
    <cellStyle name="Normal 4 8 2 3" xfId="6638" xr:uid="{00000000-0005-0000-0000-0000F6190000}"/>
    <cellStyle name="Normal 4 8 3" xfId="6639" xr:uid="{00000000-0005-0000-0000-0000F7190000}"/>
    <cellStyle name="Normal 4 8 4" xfId="6640" xr:uid="{00000000-0005-0000-0000-0000F8190000}"/>
    <cellStyle name="Normal 4 8 5" xfId="6641" xr:uid="{00000000-0005-0000-0000-0000F9190000}"/>
    <cellStyle name="Normal 4 80" xfId="6642" xr:uid="{00000000-0005-0000-0000-0000FA190000}"/>
    <cellStyle name="Normal 4 81" xfId="6643" xr:uid="{00000000-0005-0000-0000-0000FB190000}"/>
    <cellStyle name="Normal 4 82" xfId="6644" xr:uid="{00000000-0005-0000-0000-0000FC190000}"/>
    <cellStyle name="Normal 4 83" xfId="6645" xr:uid="{00000000-0005-0000-0000-0000FD190000}"/>
    <cellStyle name="Normal 4 84" xfId="6646" xr:uid="{00000000-0005-0000-0000-0000FE190000}"/>
    <cellStyle name="Normal 4 85" xfId="6647" xr:uid="{00000000-0005-0000-0000-0000FF190000}"/>
    <cellStyle name="Normal 4 86" xfId="6648" xr:uid="{00000000-0005-0000-0000-0000001A0000}"/>
    <cellStyle name="Normal 4 87" xfId="6649" xr:uid="{00000000-0005-0000-0000-0000011A0000}"/>
    <cellStyle name="Normal 4 88" xfId="6650" xr:uid="{00000000-0005-0000-0000-0000021A0000}"/>
    <cellStyle name="Normal 4 89" xfId="6651" xr:uid="{00000000-0005-0000-0000-0000031A0000}"/>
    <cellStyle name="Normal 4 9" xfId="6652" xr:uid="{00000000-0005-0000-0000-0000041A0000}"/>
    <cellStyle name="Normal 4 9 2" xfId="6653" xr:uid="{00000000-0005-0000-0000-0000051A0000}"/>
    <cellStyle name="Normal 4 9 3" xfId="6654" xr:uid="{00000000-0005-0000-0000-0000061A0000}"/>
    <cellStyle name="Normal 4 90" xfId="6655" xr:uid="{00000000-0005-0000-0000-0000071A0000}"/>
    <cellStyle name="Normal 4 91" xfId="6656" xr:uid="{00000000-0005-0000-0000-0000081A0000}"/>
    <cellStyle name="Normal 4 92" xfId="6657" xr:uid="{00000000-0005-0000-0000-0000091A0000}"/>
    <cellStyle name="Normal 4 93" xfId="6658" xr:uid="{00000000-0005-0000-0000-00000A1A0000}"/>
    <cellStyle name="Normal 4 94" xfId="6659" xr:uid="{00000000-0005-0000-0000-00000B1A0000}"/>
    <cellStyle name="Normal 4 95" xfId="6660" xr:uid="{00000000-0005-0000-0000-00000C1A0000}"/>
    <cellStyle name="Normal 4 96" xfId="6661" xr:uid="{00000000-0005-0000-0000-00000D1A0000}"/>
    <cellStyle name="Normal 4 97" xfId="6662" xr:uid="{00000000-0005-0000-0000-00000E1A0000}"/>
    <cellStyle name="Normal 4 98" xfId="6663" xr:uid="{00000000-0005-0000-0000-00000F1A0000}"/>
    <cellStyle name="Normal 4 99" xfId="6664" xr:uid="{00000000-0005-0000-0000-0000101A0000}"/>
    <cellStyle name="Normal 40" xfId="6665" xr:uid="{00000000-0005-0000-0000-0000111A0000}"/>
    <cellStyle name="Normal 41" xfId="18" xr:uid="{00000000-0005-0000-0000-0000121A0000}"/>
    <cellStyle name="Normal 42" xfId="6666" xr:uid="{00000000-0005-0000-0000-0000131A0000}"/>
    <cellStyle name="Normal 42 2" xfId="6667" xr:uid="{00000000-0005-0000-0000-0000141A0000}"/>
    <cellStyle name="Normal 42 3" xfId="6668" xr:uid="{00000000-0005-0000-0000-0000151A0000}"/>
    <cellStyle name="Normal 43" xfId="6669" xr:uid="{00000000-0005-0000-0000-0000161A0000}"/>
    <cellStyle name="Normal 43 2" xfId="6670" xr:uid="{00000000-0005-0000-0000-0000171A0000}"/>
    <cellStyle name="Normal 43 2 2" xfId="6671" xr:uid="{00000000-0005-0000-0000-0000181A0000}"/>
    <cellStyle name="Normal 44" xfId="6672" xr:uid="{00000000-0005-0000-0000-0000191A0000}"/>
    <cellStyle name="Normal 45" xfId="6673" xr:uid="{00000000-0005-0000-0000-00001A1A0000}"/>
    <cellStyle name="Normal 46" xfId="6674" xr:uid="{00000000-0005-0000-0000-00001B1A0000}"/>
    <cellStyle name="Normal 47" xfId="6675" xr:uid="{00000000-0005-0000-0000-00001C1A0000}"/>
    <cellStyle name="Normal 48" xfId="6676" xr:uid="{00000000-0005-0000-0000-00001D1A0000}"/>
    <cellStyle name="Normal 49" xfId="6677" xr:uid="{00000000-0005-0000-0000-00001E1A0000}"/>
    <cellStyle name="Normal 5" xfId="10" xr:uid="{00000000-0005-0000-0000-00001F1A0000}"/>
    <cellStyle name="Normal 5 10" xfId="6679" xr:uid="{00000000-0005-0000-0000-0000201A0000}"/>
    <cellStyle name="Normal 5 10 2" xfId="6680" xr:uid="{00000000-0005-0000-0000-0000211A0000}"/>
    <cellStyle name="Normal 5 10 2 2" xfId="6681" xr:uid="{00000000-0005-0000-0000-0000221A0000}"/>
    <cellStyle name="Normal 5 10 3" xfId="42" xr:uid="{00000000-0005-0000-0000-0000231A0000}"/>
    <cellStyle name="Normal 5 100" xfId="6682" xr:uid="{00000000-0005-0000-0000-0000241A0000}"/>
    <cellStyle name="Normal 5 100 2" xfId="6683" xr:uid="{00000000-0005-0000-0000-0000251A0000}"/>
    <cellStyle name="Normal 5 101" xfId="6684" xr:uid="{00000000-0005-0000-0000-0000261A0000}"/>
    <cellStyle name="Normal 5 102" xfId="6685" xr:uid="{00000000-0005-0000-0000-0000271A0000}"/>
    <cellStyle name="Normal 5 103" xfId="6686" xr:uid="{00000000-0005-0000-0000-0000281A0000}"/>
    <cellStyle name="Normal 5 104" xfId="6687" xr:uid="{00000000-0005-0000-0000-0000291A0000}"/>
    <cellStyle name="Normal 5 105" xfId="6688" xr:uid="{00000000-0005-0000-0000-00002A1A0000}"/>
    <cellStyle name="Normal 5 106" xfId="6689" xr:uid="{00000000-0005-0000-0000-00002B1A0000}"/>
    <cellStyle name="Normal 5 107" xfId="6690" xr:uid="{00000000-0005-0000-0000-00002C1A0000}"/>
    <cellStyle name="Normal 5 107 2" xfId="6691" xr:uid="{00000000-0005-0000-0000-00002D1A0000}"/>
    <cellStyle name="Normal 5 108" xfId="6692" xr:uid="{00000000-0005-0000-0000-00002E1A0000}"/>
    <cellStyle name="Normal 5 108 2" xfId="6693" xr:uid="{00000000-0005-0000-0000-00002F1A0000}"/>
    <cellStyle name="Normal 5 109" xfId="6694" xr:uid="{00000000-0005-0000-0000-0000301A0000}"/>
    <cellStyle name="Normal 5 109 2" xfId="6695" xr:uid="{00000000-0005-0000-0000-0000311A0000}"/>
    <cellStyle name="Normal 5 11" xfId="6696" xr:uid="{00000000-0005-0000-0000-0000321A0000}"/>
    <cellStyle name="Normal 5 11 2" xfId="6697" xr:uid="{00000000-0005-0000-0000-0000331A0000}"/>
    <cellStyle name="Normal 5 11 2 2" xfId="6698" xr:uid="{00000000-0005-0000-0000-0000341A0000}"/>
    <cellStyle name="Normal 5 11 3" xfId="6699" xr:uid="{00000000-0005-0000-0000-0000351A0000}"/>
    <cellStyle name="Normal 5 110" xfId="6700" xr:uid="{00000000-0005-0000-0000-0000361A0000}"/>
    <cellStyle name="Normal 5 110 2" xfId="6701" xr:uid="{00000000-0005-0000-0000-0000371A0000}"/>
    <cellStyle name="Normal 5 111" xfId="6702" xr:uid="{00000000-0005-0000-0000-0000381A0000}"/>
    <cellStyle name="Normal 5 111 2" xfId="6703" xr:uid="{00000000-0005-0000-0000-0000391A0000}"/>
    <cellStyle name="Normal 5 112" xfId="6704" xr:uid="{00000000-0005-0000-0000-00003A1A0000}"/>
    <cellStyle name="Normal 5 112 2" xfId="6705" xr:uid="{00000000-0005-0000-0000-00003B1A0000}"/>
    <cellStyle name="Normal 5 113" xfId="6706" xr:uid="{00000000-0005-0000-0000-00003C1A0000}"/>
    <cellStyle name="Normal 5 113 2" xfId="6707" xr:uid="{00000000-0005-0000-0000-00003D1A0000}"/>
    <cellStyle name="Normal 5 114" xfId="6708" xr:uid="{00000000-0005-0000-0000-00003E1A0000}"/>
    <cellStyle name="Normal 5 114 2" xfId="6709" xr:uid="{00000000-0005-0000-0000-00003F1A0000}"/>
    <cellStyle name="Normal 5 115" xfId="6710" xr:uid="{00000000-0005-0000-0000-0000401A0000}"/>
    <cellStyle name="Normal 5 115 2" xfId="6711" xr:uid="{00000000-0005-0000-0000-0000411A0000}"/>
    <cellStyle name="Normal 5 116" xfId="6712" xr:uid="{00000000-0005-0000-0000-0000421A0000}"/>
    <cellStyle name="Normal 5 116 2" xfId="6713" xr:uid="{00000000-0005-0000-0000-0000431A0000}"/>
    <cellStyle name="Normal 5 117" xfId="6714" xr:uid="{00000000-0005-0000-0000-0000441A0000}"/>
    <cellStyle name="Normal 5 117 2" xfId="6715" xr:uid="{00000000-0005-0000-0000-0000451A0000}"/>
    <cellStyle name="Normal 5 118" xfId="6716" xr:uid="{00000000-0005-0000-0000-0000461A0000}"/>
    <cellStyle name="Normal 5 118 2" xfId="6717" xr:uid="{00000000-0005-0000-0000-0000471A0000}"/>
    <cellStyle name="Normal 5 119" xfId="6718" xr:uid="{00000000-0005-0000-0000-0000481A0000}"/>
    <cellStyle name="Normal 5 12" xfId="6719" xr:uid="{00000000-0005-0000-0000-0000491A0000}"/>
    <cellStyle name="Normal 5 12 2" xfId="6720" xr:uid="{00000000-0005-0000-0000-00004A1A0000}"/>
    <cellStyle name="Normal 5 12 2 2" xfId="6721" xr:uid="{00000000-0005-0000-0000-00004B1A0000}"/>
    <cellStyle name="Normal 5 12 3" xfId="6722" xr:uid="{00000000-0005-0000-0000-00004C1A0000}"/>
    <cellStyle name="Normal 5 120" xfId="6723" xr:uid="{00000000-0005-0000-0000-00004D1A0000}"/>
    <cellStyle name="Normal 5 121" xfId="6724" xr:uid="{00000000-0005-0000-0000-00004E1A0000}"/>
    <cellStyle name="Normal 5 122" xfId="6725" xr:uid="{00000000-0005-0000-0000-00004F1A0000}"/>
    <cellStyle name="Normal 5 123" xfId="6726" xr:uid="{00000000-0005-0000-0000-0000501A0000}"/>
    <cellStyle name="Normal 5 123 2" xfId="6727" xr:uid="{00000000-0005-0000-0000-0000511A0000}"/>
    <cellStyle name="Normal 5 124" xfId="6728" xr:uid="{00000000-0005-0000-0000-0000521A0000}"/>
    <cellStyle name="Normal 5 124 2" xfId="6729" xr:uid="{00000000-0005-0000-0000-0000531A0000}"/>
    <cellStyle name="Normal 5 125" xfId="6730" xr:uid="{00000000-0005-0000-0000-0000541A0000}"/>
    <cellStyle name="Normal 5 125 2" xfId="6731" xr:uid="{00000000-0005-0000-0000-0000551A0000}"/>
    <cellStyle name="Normal 5 126" xfId="6732" xr:uid="{00000000-0005-0000-0000-0000561A0000}"/>
    <cellStyle name="Normal 5 126 2" xfId="6733" xr:uid="{00000000-0005-0000-0000-0000571A0000}"/>
    <cellStyle name="Normal 5 127" xfId="6734" xr:uid="{00000000-0005-0000-0000-0000581A0000}"/>
    <cellStyle name="Normal 5 127 2" xfId="6735" xr:uid="{00000000-0005-0000-0000-0000591A0000}"/>
    <cellStyle name="Normal 5 128" xfId="6736" xr:uid="{00000000-0005-0000-0000-00005A1A0000}"/>
    <cellStyle name="Normal 5 128 2" xfId="6737" xr:uid="{00000000-0005-0000-0000-00005B1A0000}"/>
    <cellStyle name="Normal 5 129" xfId="6738" xr:uid="{00000000-0005-0000-0000-00005C1A0000}"/>
    <cellStyle name="Normal 5 129 2" xfId="6739" xr:uid="{00000000-0005-0000-0000-00005D1A0000}"/>
    <cellStyle name="Normal 5 13" xfId="6740" xr:uid="{00000000-0005-0000-0000-00005E1A0000}"/>
    <cellStyle name="Normal 5 13 2" xfId="6741" xr:uid="{00000000-0005-0000-0000-00005F1A0000}"/>
    <cellStyle name="Normal 5 13 2 2" xfId="6742" xr:uid="{00000000-0005-0000-0000-0000601A0000}"/>
    <cellStyle name="Normal 5 13 3" xfId="6743" xr:uid="{00000000-0005-0000-0000-0000611A0000}"/>
    <cellStyle name="Normal 5 130" xfId="6744" xr:uid="{00000000-0005-0000-0000-0000621A0000}"/>
    <cellStyle name="Normal 5 130 2" xfId="6745" xr:uid="{00000000-0005-0000-0000-0000631A0000}"/>
    <cellStyle name="Normal 5 131" xfId="6746" xr:uid="{00000000-0005-0000-0000-0000641A0000}"/>
    <cellStyle name="Normal 5 131 2" xfId="6747" xr:uid="{00000000-0005-0000-0000-0000651A0000}"/>
    <cellStyle name="Normal 5 132" xfId="6748" xr:uid="{00000000-0005-0000-0000-0000661A0000}"/>
    <cellStyle name="Normal 5 132 2" xfId="6749" xr:uid="{00000000-0005-0000-0000-0000671A0000}"/>
    <cellStyle name="Normal 5 133" xfId="6750" xr:uid="{00000000-0005-0000-0000-0000681A0000}"/>
    <cellStyle name="Normal 5 133 2" xfId="6751" xr:uid="{00000000-0005-0000-0000-0000691A0000}"/>
    <cellStyle name="Normal 5 134" xfId="6752" xr:uid="{00000000-0005-0000-0000-00006A1A0000}"/>
    <cellStyle name="Normal 5 134 2" xfId="6753" xr:uid="{00000000-0005-0000-0000-00006B1A0000}"/>
    <cellStyle name="Normal 5 135" xfId="6754" xr:uid="{00000000-0005-0000-0000-00006C1A0000}"/>
    <cellStyle name="Normal 5 135 2" xfId="6755" xr:uid="{00000000-0005-0000-0000-00006D1A0000}"/>
    <cellStyle name="Normal 5 136" xfId="6756" xr:uid="{00000000-0005-0000-0000-00006E1A0000}"/>
    <cellStyle name="Normal 5 136 2" xfId="6757" xr:uid="{00000000-0005-0000-0000-00006F1A0000}"/>
    <cellStyle name="Normal 5 137" xfId="6758" xr:uid="{00000000-0005-0000-0000-0000701A0000}"/>
    <cellStyle name="Normal 5 137 2" xfId="6759" xr:uid="{00000000-0005-0000-0000-0000711A0000}"/>
    <cellStyle name="Normal 5 138" xfId="6760" xr:uid="{00000000-0005-0000-0000-0000721A0000}"/>
    <cellStyle name="Normal 5 138 2" xfId="6761" xr:uid="{00000000-0005-0000-0000-0000731A0000}"/>
    <cellStyle name="Normal 5 139" xfId="6762" xr:uid="{00000000-0005-0000-0000-0000741A0000}"/>
    <cellStyle name="Normal 5 139 2" xfId="6763" xr:uid="{00000000-0005-0000-0000-0000751A0000}"/>
    <cellStyle name="Normal 5 14" xfId="6764" xr:uid="{00000000-0005-0000-0000-0000761A0000}"/>
    <cellStyle name="Normal 5 14 2" xfId="6765" xr:uid="{00000000-0005-0000-0000-0000771A0000}"/>
    <cellStyle name="Normal 5 14 2 2" xfId="6766" xr:uid="{00000000-0005-0000-0000-0000781A0000}"/>
    <cellStyle name="Normal 5 14 3" xfId="6767" xr:uid="{00000000-0005-0000-0000-0000791A0000}"/>
    <cellStyle name="Normal 5 140" xfId="6768" xr:uid="{00000000-0005-0000-0000-00007A1A0000}"/>
    <cellStyle name="Normal 5 140 2" xfId="6769" xr:uid="{00000000-0005-0000-0000-00007B1A0000}"/>
    <cellStyle name="Normal 5 141" xfId="6770" xr:uid="{00000000-0005-0000-0000-00007C1A0000}"/>
    <cellStyle name="Normal 5 141 2" xfId="6771" xr:uid="{00000000-0005-0000-0000-00007D1A0000}"/>
    <cellStyle name="Normal 5 142" xfId="6772" xr:uid="{00000000-0005-0000-0000-00007E1A0000}"/>
    <cellStyle name="Normal 5 142 2" xfId="6773" xr:uid="{00000000-0005-0000-0000-00007F1A0000}"/>
    <cellStyle name="Normal 5 143" xfId="6774" xr:uid="{00000000-0005-0000-0000-0000801A0000}"/>
    <cellStyle name="Normal 5 143 2" xfId="6775" xr:uid="{00000000-0005-0000-0000-0000811A0000}"/>
    <cellStyle name="Normal 5 144" xfId="6776" xr:uid="{00000000-0005-0000-0000-0000821A0000}"/>
    <cellStyle name="Normal 5 144 2" xfId="6777" xr:uid="{00000000-0005-0000-0000-0000831A0000}"/>
    <cellStyle name="Normal 5 145" xfId="6778" xr:uid="{00000000-0005-0000-0000-0000841A0000}"/>
    <cellStyle name="Normal 5 146" xfId="6779" xr:uid="{00000000-0005-0000-0000-0000851A0000}"/>
    <cellStyle name="Normal 5 147" xfId="6780" xr:uid="{00000000-0005-0000-0000-0000861A0000}"/>
    <cellStyle name="Normal 5 147 2" xfId="6781" xr:uid="{00000000-0005-0000-0000-0000871A0000}"/>
    <cellStyle name="Normal 5 148" xfId="6782" xr:uid="{00000000-0005-0000-0000-0000881A0000}"/>
    <cellStyle name="Normal 5 148 2" xfId="6783" xr:uid="{00000000-0005-0000-0000-0000891A0000}"/>
    <cellStyle name="Normal 5 149" xfId="6784" xr:uid="{00000000-0005-0000-0000-00008A1A0000}"/>
    <cellStyle name="Normal 5 149 2" xfId="6785" xr:uid="{00000000-0005-0000-0000-00008B1A0000}"/>
    <cellStyle name="Normal 5 15" xfId="6786" xr:uid="{00000000-0005-0000-0000-00008C1A0000}"/>
    <cellStyle name="Normal 5 15 2" xfId="6787" xr:uid="{00000000-0005-0000-0000-00008D1A0000}"/>
    <cellStyle name="Normal 5 15 2 2" xfId="6788" xr:uid="{00000000-0005-0000-0000-00008E1A0000}"/>
    <cellStyle name="Normal 5 15 3" xfId="6789" xr:uid="{00000000-0005-0000-0000-00008F1A0000}"/>
    <cellStyle name="Normal 5 150" xfId="6790" xr:uid="{00000000-0005-0000-0000-0000901A0000}"/>
    <cellStyle name="Normal 5 150 2" xfId="6791" xr:uid="{00000000-0005-0000-0000-0000911A0000}"/>
    <cellStyle name="Normal 5 151" xfId="6792" xr:uid="{00000000-0005-0000-0000-0000921A0000}"/>
    <cellStyle name="Normal 5 151 2" xfId="6793" xr:uid="{00000000-0005-0000-0000-0000931A0000}"/>
    <cellStyle name="Normal 5 152" xfId="6794" xr:uid="{00000000-0005-0000-0000-0000941A0000}"/>
    <cellStyle name="Normal 5 152 2" xfId="6795" xr:uid="{00000000-0005-0000-0000-0000951A0000}"/>
    <cellStyle name="Normal 5 153" xfId="6796" xr:uid="{00000000-0005-0000-0000-0000961A0000}"/>
    <cellStyle name="Normal 5 154" xfId="6797" xr:uid="{00000000-0005-0000-0000-0000971A0000}"/>
    <cellStyle name="Normal 5 155" xfId="6798" xr:uid="{00000000-0005-0000-0000-0000981A0000}"/>
    <cellStyle name="Normal 5 156" xfId="6799" xr:uid="{00000000-0005-0000-0000-0000991A0000}"/>
    <cellStyle name="Normal 5 157" xfId="6800" xr:uid="{00000000-0005-0000-0000-00009A1A0000}"/>
    <cellStyle name="Normal 5 158" xfId="6801" xr:uid="{00000000-0005-0000-0000-00009B1A0000}"/>
    <cellStyle name="Normal 5 159" xfId="6802" xr:uid="{00000000-0005-0000-0000-00009C1A0000}"/>
    <cellStyle name="Normal 5 16" xfId="6803" xr:uid="{00000000-0005-0000-0000-00009D1A0000}"/>
    <cellStyle name="Normal 5 16 2" xfId="6804" xr:uid="{00000000-0005-0000-0000-00009E1A0000}"/>
    <cellStyle name="Normal 5 16 2 2" xfId="6805" xr:uid="{00000000-0005-0000-0000-00009F1A0000}"/>
    <cellStyle name="Normal 5 16 3" xfId="6806" xr:uid="{00000000-0005-0000-0000-0000A01A0000}"/>
    <cellStyle name="Normal 5 160" xfId="6678" xr:uid="{00000000-0005-0000-0000-0000A11A0000}"/>
    <cellStyle name="Normal 5 17" xfId="6807" xr:uid="{00000000-0005-0000-0000-0000A21A0000}"/>
    <cellStyle name="Normal 5 17 2" xfId="6808" xr:uid="{00000000-0005-0000-0000-0000A31A0000}"/>
    <cellStyle name="Normal 5 17 2 2" xfId="6809" xr:uid="{00000000-0005-0000-0000-0000A41A0000}"/>
    <cellStyle name="Normal 5 17 3" xfId="6810" xr:uid="{00000000-0005-0000-0000-0000A51A0000}"/>
    <cellStyle name="Normal 5 18" xfId="6811" xr:uid="{00000000-0005-0000-0000-0000A61A0000}"/>
    <cellStyle name="Normal 5 18 2" xfId="6812" xr:uid="{00000000-0005-0000-0000-0000A71A0000}"/>
    <cellStyle name="Normal 5 18 2 2" xfId="6813" xr:uid="{00000000-0005-0000-0000-0000A81A0000}"/>
    <cellStyle name="Normal 5 18 3" xfId="6814" xr:uid="{00000000-0005-0000-0000-0000A91A0000}"/>
    <cellStyle name="Normal 5 19" xfId="6815" xr:uid="{00000000-0005-0000-0000-0000AA1A0000}"/>
    <cellStyle name="Normal 5 19 2" xfId="6816" xr:uid="{00000000-0005-0000-0000-0000AB1A0000}"/>
    <cellStyle name="Normal 5 19 2 2" xfId="6817" xr:uid="{00000000-0005-0000-0000-0000AC1A0000}"/>
    <cellStyle name="Normal 5 19 3" xfId="6818" xr:uid="{00000000-0005-0000-0000-0000AD1A0000}"/>
    <cellStyle name="Normal 5 2" xfId="6819" xr:uid="{00000000-0005-0000-0000-0000AE1A0000}"/>
    <cellStyle name="Normal 5 2 2" xfId="6820" xr:uid="{00000000-0005-0000-0000-0000AF1A0000}"/>
    <cellStyle name="Normal 5 2 2 2" xfId="6821" xr:uid="{00000000-0005-0000-0000-0000B01A0000}"/>
    <cellStyle name="Normal 5 2 2 3" xfId="6822" xr:uid="{00000000-0005-0000-0000-0000B11A0000}"/>
    <cellStyle name="Normal 5 2 3" xfId="6823" xr:uid="{00000000-0005-0000-0000-0000B21A0000}"/>
    <cellStyle name="Normal 5 2 3 2" xfId="6824" xr:uid="{00000000-0005-0000-0000-0000B31A0000}"/>
    <cellStyle name="Normal 5 2 4" xfId="6825" xr:uid="{00000000-0005-0000-0000-0000B41A0000}"/>
    <cellStyle name="Normal 5 2 5" xfId="6826" xr:uid="{00000000-0005-0000-0000-0000B51A0000}"/>
    <cellStyle name="Normal 5 2 6" xfId="6827" xr:uid="{00000000-0005-0000-0000-0000B61A0000}"/>
    <cellStyle name="Normal 5 2 7" xfId="6828" xr:uid="{00000000-0005-0000-0000-0000B71A0000}"/>
    <cellStyle name="Normal 5 20" xfId="6829" xr:uid="{00000000-0005-0000-0000-0000B81A0000}"/>
    <cellStyle name="Normal 5 20 2" xfId="6830" xr:uid="{00000000-0005-0000-0000-0000B91A0000}"/>
    <cellStyle name="Normal 5 20 2 2" xfId="6831" xr:uid="{00000000-0005-0000-0000-0000BA1A0000}"/>
    <cellStyle name="Normal 5 20 3" xfId="6832" xr:uid="{00000000-0005-0000-0000-0000BB1A0000}"/>
    <cellStyle name="Normal 5 21" xfId="6833" xr:uid="{00000000-0005-0000-0000-0000BC1A0000}"/>
    <cellStyle name="Normal 5 21 2" xfId="6834" xr:uid="{00000000-0005-0000-0000-0000BD1A0000}"/>
    <cellStyle name="Normal 5 21 2 2" xfId="6835" xr:uid="{00000000-0005-0000-0000-0000BE1A0000}"/>
    <cellStyle name="Normal 5 21 3" xfId="6836" xr:uid="{00000000-0005-0000-0000-0000BF1A0000}"/>
    <cellStyle name="Normal 5 22" xfId="6837" xr:uid="{00000000-0005-0000-0000-0000C01A0000}"/>
    <cellStyle name="Normal 5 22 2" xfId="6838" xr:uid="{00000000-0005-0000-0000-0000C11A0000}"/>
    <cellStyle name="Normal 5 22 2 2" xfId="6839" xr:uid="{00000000-0005-0000-0000-0000C21A0000}"/>
    <cellStyle name="Normal 5 22 3" xfId="6840" xr:uid="{00000000-0005-0000-0000-0000C31A0000}"/>
    <cellStyle name="Normal 5 23" xfId="6841" xr:uid="{00000000-0005-0000-0000-0000C41A0000}"/>
    <cellStyle name="Normal 5 23 2" xfId="6842" xr:uid="{00000000-0005-0000-0000-0000C51A0000}"/>
    <cellStyle name="Normal 5 23 2 2" xfId="6843" xr:uid="{00000000-0005-0000-0000-0000C61A0000}"/>
    <cellStyle name="Normal 5 23 3" xfId="6844" xr:uid="{00000000-0005-0000-0000-0000C71A0000}"/>
    <cellStyle name="Normal 5 24" xfId="6845" xr:uid="{00000000-0005-0000-0000-0000C81A0000}"/>
    <cellStyle name="Normal 5 24 2" xfId="6846" xr:uid="{00000000-0005-0000-0000-0000C91A0000}"/>
    <cellStyle name="Normal 5 24 2 2" xfId="6847" xr:uid="{00000000-0005-0000-0000-0000CA1A0000}"/>
    <cellStyle name="Normal 5 24 3" xfId="6848" xr:uid="{00000000-0005-0000-0000-0000CB1A0000}"/>
    <cellStyle name="Normal 5 25" xfId="6849" xr:uid="{00000000-0005-0000-0000-0000CC1A0000}"/>
    <cellStyle name="Normal 5 25 2" xfId="6850" xr:uid="{00000000-0005-0000-0000-0000CD1A0000}"/>
    <cellStyle name="Normal 5 25 2 2" xfId="6851" xr:uid="{00000000-0005-0000-0000-0000CE1A0000}"/>
    <cellStyle name="Normal 5 25 3" xfId="6852" xr:uid="{00000000-0005-0000-0000-0000CF1A0000}"/>
    <cellStyle name="Normal 5 26" xfId="6853" xr:uid="{00000000-0005-0000-0000-0000D01A0000}"/>
    <cellStyle name="Normal 5 26 2" xfId="6854" xr:uid="{00000000-0005-0000-0000-0000D11A0000}"/>
    <cellStyle name="Normal 5 26 2 2" xfId="6855" xr:uid="{00000000-0005-0000-0000-0000D21A0000}"/>
    <cellStyle name="Normal 5 26 3" xfId="6856" xr:uid="{00000000-0005-0000-0000-0000D31A0000}"/>
    <cellStyle name="Normal 5 27" xfId="6857" xr:uid="{00000000-0005-0000-0000-0000D41A0000}"/>
    <cellStyle name="Normal 5 27 2" xfId="6858" xr:uid="{00000000-0005-0000-0000-0000D51A0000}"/>
    <cellStyle name="Normal 5 27 2 2" xfId="6859" xr:uid="{00000000-0005-0000-0000-0000D61A0000}"/>
    <cellStyle name="Normal 5 27 3" xfId="6860" xr:uid="{00000000-0005-0000-0000-0000D71A0000}"/>
    <cellStyle name="Normal 5 28" xfId="6861" xr:uid="{00000000-0005-0000-0000-0000D81A0000}"/>
    <cellStyle name="Normal 5 28 2" xfId="6862" xr:uid="{00000000-0005-0000-0000-0000D91A0000}"/>
    <cellStyle name="Normal 5 28 2 2" xfId="6863" xr:uid="{00000000-0005-0000-0000-0000DA1A0000}"/>
    <cellStyle name="Normal 5 28 3" xfId="6864" xr:uid="{00000000-0005-0000-0000-0000DB1A0000}"/>
    <cellStyle name="Normal 5 29" xfId="6865" xr:uid="{00000000-0005-0000-0000-0000DC1A0000}"/>
    <cellStyle name="Normal 5 29 2" xfId="6866" xr:uid="{00000000-0005-0000-0000-0000DD1A0000}"/>
    <cellStyle name="Normal 5 29 2 2" xfId="6867" xr:uid="{00000000-0005-0000-0000-0000DE1A0000}"/>
    <cellStyle name="Normal 5 29 3" xfId="6868" xr:uid="{00000000-0005-0000-0000-0000DF1A0000}"/>
    <cellStyle name="Normal 5 3" xfId="6869" xr:uid="{00000000-0005-0000-0000-0000E01A0000}"/>
    <cellStyle name="Normal 5 3 10" xfId="6870" xr:uid="{00000000-0005-0000-0000-0000E11A0000}"/>
    <cellStyle name="Normal 5 3 11" xfId="6871" xr:uid="{00000000-0005-0000-0000-0000E21A0000}"/>
    <cellStyle name="Normal 5 3 2" xfId="6872" xr:uid="{00000000-0005-0000-0000-0000E31A0000}"/>
    <cellStyle name="Normal 5 3 2 2" xfId="6873" xr:uid="{00000000-0005-0000-0000-0000E41A0000}"/>
    <cellStyle name="Normal 5 3 2 2 2" xfId="6874" xr:uid="{00000000-0005-0000-0000-0000E51A0000}"/>
    <cellStyle name="Normal 5 3 2 2 2 2" xfId="6875" xr:uid="{00000000-0005-0000-0000-0000E61A0000}"/>
    <cellStyle name="Normal 5 3 2 2 3" xfId="6876" xr:uid="{00000000-0005-0000-0000-0000E71A0000}"/>
    <cellStyle name="Normal 5 3 2 3" xfId="6877" xr:uid="{00000000-0005-0000-0000-0000E81A0000}"/>
    <cellStyle name="Normal 5 3 2 3 2" xfId="6878" xr:uid="{00000000-0005-0000-0000-0000E91A0000}"/>
    <cellStyle name="Normal 5 3 2 3 2 2" xfId="6879" xr:uid="{00000000-0005-0000-0000-0000EA1A0000}"/>
    <cellStyle name="Normal 5 3 2 3 3" xfId="6880" xr:uid="{00000000-0005-0000-0000-0000EB1A0000}"/>
    <cellStyle name="Normal 5 3 2 4" xfId="6881" xr:uid="{00000000-0005-0000-0000-0000EC1A0000}"/>
    <cellStyle name="Normal 5 3 2 4 2" xfId="6882" xr:uid="{00000000-0005-0000-0000-0000ED1A0000}"/>
    <cellStyle name="Normal 5 3 2 4 2 2" xfId="6883" xr:uid="{00000000-0005-0000-0000-0000EE1A0000}"/>
    <cellStyle name="Normal 5 3 2 4 3" xfId="6884" xr:uid="{00000000-0005-0000-0000-0000EF1A0000}"/>
    <cellStyle name="Normal 5 3 2 5" xfId="6885" xr:uid="{00000000-0005-0000-0000-0000F01A0000}"/>
    <cellStyle name="Normal 5 3 2 5 2" xfId="6886" xr:uid="{00000000-0005-0000-0000-0000F11A0000}"/>
    <cellStyle name="Normal 5 3 2 5 2 2" xfId="6887" xr:uid="{00000000-0005-0000-0000-0000F21A0000}"/>
    <cellStyle name="Normal 5 3 2 5 3" xfId="6888" xr:uid="{00000000-0005-0000-0000-0000F31A0000}"/>
    <cellStyle name="Normal 5 3 2 6" xfId="6889" xr:uid="{00000000-0005-0000-0000-0000F41A0000}"/>
    <cellStyle name="Normal 5 3 2 6 2" xfId="6890" xr:uid="{00000000-0005-0000-0000-0000F51A0000}"/>
    <cellStyle name="Normal 5 3 2 7" xfId="6891" xr:uid="{00000000-0005-0000-0000-0000F61A0000}"/>
    <cellStyle name="Normal 5 3 3" xfId="6892" xr:uid="{00000000-0005-0000-0000-0000F71A0000}"/>
    <cellStyle name="Normal 5 3 3 2" xfId="6893" xr:uid="{00000000-0005-0000-0000-0000F81A0000}"/>
    <cellStyle name="Normal 5 3 3 2 2" xfId="6894" xr:uid="{00000000-0005-0000-0000-0000F91A0000}"/>
    <cellStyle name="Normal 5 3 3 3" xfId="6895" xr:uid="{00000000-0005-0000-0000-0000FA1A0000}"/>
    <cellStyle name="Normal 5 3 4" xfId="6896" xr:uid="{00000000-0005-0000-0000-0000FB1A0000}"/>
    <cellStyle name="Normal 5 3 4 2" xfId="6897" xr:uid="{00000000-0005-0000-0000-0000FC1A0000}"/>
    <cellStyle name="Normal 5 3 4 2 2" xfId="6898" xr:uid="{00000000-0005-0000-0000-0000FD1A0000}"/>
    <cellStyle name="Normal 5 3 4 3" xfId="6899" xr:uid="{00000000-0005-0000-0000-0000FE1A0000}"/>
    <cellStyle name="Normal 5 3 5" xfId="6900" xr:uid="{00000000-0005-0000-0000-0000FF1A0000}"/>
    <cellStyle name="Normal 5 3 5 2" xfId="6901" xr:uid="{00000000-0005-0000-0000-0000001B0000}"/>
    <cellStyle name="Normal 5 3 5 2 2" xfId="6902" xr:uid="{00000000-0005-0000-0000-0000011B0000}"/>
    <cellStyle name="Normal 5 3 5 3" xfId="6903" xr:uid="{00000000-0005-0000-0000-0000021B0000}"/>
    <cellStyle name="Normal 5 3 6" xfId="6904" xr:uid="{00000000-0005-0000-0000-0000031B0000}"/>
    <cellStyle name="Normal 5 3 6 2" xfId="6905" xr:uid="{00000000-0005-0000-0000-0000041B0000}"/>
    <cellStyle name="Normal 5 3 6 3" xfId="6906" xr:uid="{00000000-0005-0000-0000-0000051B0000}"/>
    <cellStyle name="Normal 5 3 7" xfId="6907" xr:uid="{00000000-0005-0000-0000-0000061B0000}"/>
    <cellStyle name="Normal 5 3 8" xfId="6908" xr:uid="{00000000-0005-0000-0000-0000071B0000}"/>
    <cellStyle name="Normal 5 3 9" xfId="6909" xr:uid="{00000000-0005-0000-0000-0000081B0000}"/>
    <cellStyle name="Normal 5 30" xfId="6910" xr:uid="{00000000-0005-0000-0000-0000091B0000}"/>
    <cellStyle name="Normal 5 30 2" xfId="6911" xr:uid="{00000000-0005-0000-0000-00000A1B0000}"/>
    <cellStyle name="Normal 5 30 2 2" xfId="6912" xr:uid="{00000000-0005-0000-0000-00000B1B0000}"/>
    <cellStyle name="Normal 5 30 3" xfId="6913" xr:uid="{00000000-0005-0000-0000-00000C1B0000}"/>
    <cellStyle name="Normal 5 31" xfId="6914" xr:uid="{00000000-0005-0000-0000-00000D1B0000}"/>
    <cellStyle name="Normal 5 31 2" xfId="6915" xr:uid="{00000000-0005-0000-0000-00000E1B0000}"/>
    <cellStyle name="Normal 5 31 2 2" xfId="6916" xr:uid="{00000000-0005-0000-0000-00000F1B0000}"/>
    <cellStyle name="Normal 5 31 3" xfId="6917" xr:uid="{00000000-0005-0000-0000-0000101B0000}"/>
    <cellStyle name="Normal 5 32" xfId="6918" xr:uid="{00000000-0005-0000-0000-0000111B0000}"/>
    <cellStyle name="Normal 5 32 2" xfId="6919" xr:uid="{00000000-0005-0000-0000-0000121B0000}"/>
    <cellStyle name="Normal 5 32 2 2" xfId="6920" xr:uid="{00000000-0005-0000-0000-0000131B0000}"/>
    <cellStyle name="Normal 5 32 3" xfId="6921" xr:uid="{00000000-0005-0000-0000-0000141B0000}"/>
    <cellStyle name="Normal 5 33" xfId="6922" xr:uid="{00000000-0005-0000-0000-0000151B0000}"/>
    <cellStyle name="Normal 5 33 2" xfId="6923" xr:uid="{00000000-0005-0000-0000-0000161B0000}"/>
    <cellStyle name="Normal 5 33 2 2" xfId="6924" xr:uid="{00000000-0005-0000-0000-0000171B0000}"/>
    <cellStyle name="Normal 5 33 3" xfId="6925" xr:uid="{00000000-0005-0000-0000-0000181B0000}"/>
    <cellStyle name="Normal 5 34" xfId="6926" xr:uid="{00000000-0005-0000-0000-0000191B0000}"/>
    <cellStyle name="Normal 5 34 2" xfId="6927" xr:uid="{00000000-0005-0000-0000-00001A1B0000}"/>
    <cellStyle name="Normal 5 34 2 2" xfId="6928" xr:uid="{00000000-0005-0000-0000-00001B1B0000}"/>
    <cellStyle name="Normal 5 34 3" xfId="6929" xr:uid="{00000000-0005-0000-0000-00001C1B0000}"/>
    <cellStyle name="Normal 5 35" xfId="6930" xr:uid="{00000000-0005-0000-0000-00001D1B0000}"/>
    <cellStyle name="Normal 5 35 2" xfId="6931" xr:uid="{00000000-0005-0000-0000-00001E1B0000}"/>
    <cellStyle name="Normal 5 35 2 2" xfId="6932" xr:uid="{00000000-0005-0000-0000-00001F1B0000}"/>
    <cellStyle name="Normal 5 35 3" xfId="6933" xr:uid="{00000000-0005-0000-0000-0000201B0000}"/>
    <cellStyle name="Normal 5 36" xfId="6934" xr:uid="{00000000-0005-0000-0000-0000211B0000}"/>
    <cellStyle name="Normal 5 36 2" xfId="6935" xr:uid="{00000000-0005-0000-0000-0000221B0000}"/>
    <cellStyle name="Normal 5 36 2 2" xfId="6936" xr:uid="{00000000-0005-0000-0000-0000231B0000}"/>
    <cellStyle name="Normal 5 36 3" xfId="6937" xr:uid="{00000000-0005-0000-0000-0000241B0000}"/>
    <cellStyle name="Normal 5 37" xfId="6938" xr:uid="{00000000-0005-0000-0000-0000251B0000}"/>
    <cellStyle name="Normal 5 37 2" xfId="6939" xr:uid="{00000000-0005-0000-0000-0000261B0000}"/>
    <cellStyle name="Normal 5 37 2 2" xfId="6940" xr:uid="{00000000-0005-0000-0000-0000271B0000}"/>
    <cellStyle name="Normal 5 37 3" xfId="6941" xr:uid="{00000000-0005-0000-0000-0000281B0000}"/>
    <cellStyle name="Normal 5 38" xfId="6942" xr:uid="{00000000-0005-0000-0000-0000291B0000}"/>
    <cellStyle name="Normal 5 38 2" xfId="6943" xr:uid="{00000000-0005-0000-0000-00002A1B0000}"/>
    <cellStyle name="Normal 5 38 2 2" xfId="6944" xr:uid="{00000000-0005-0000-0000-00002B1B0000}"/>
    <cellStyle name="Normal 5 38 3" xfId="6945" xr:uid="{00000000-0005-0000-0000-00002C1B0000}"/>
    <cellStyle name="Normal 5 39" xfId="6946" xr:uid="{00000000-0005-0000-0000-00002D1B0000}"/>
    <cellStyle name="Normal 5 39 2" xfId="6947" xr:uid="{00000000-0005-0000-0000-00002E1B0000}"/>
    <cellStyle name="Normal 5 39 2 2" xfId="6948" xr:uid="{00000000-0005-0000-0000-00002F1B0000}"/>
    <cellStyle name="Normal 5 39 3" xfId="6949" xr:uid="{00000000-0005-0000-0000-0000301B0000}"/>
    <cellStyle name="Normal 5 4" xfId="6950" xr:uid="{00000000-0005-0000-0000-0000311B0000}"/>
    <cellStyle name="Normal 5 4 2" xfId="6951" xr:uid="{00000000-0005-0000-0000-0000321B0000}"/>
    <cellStyle name="Normal 5 4 2 2" xfId="6952" xr:uid="{00000000-0005-0000-0000-0000331B0000}"/>
    <cellStyle name="Normal 5 4 2 3" xfId="6953" xr:uid="{00000000-0005-0000-0000-0000341B0000}"/>
    <cellStyle name="Normal 5 4 3" xfId="6954" xr:uid="{00000000-0005-0000-0000-0000351B0000}"/>
    <cellStyle name="Normal 5 4 3 2" xfId="6955" xr:uid="{00000000-0005-0000-0000-0000361B0000}"/>
    <cellStyle name="Normal 5 40" xfId="6956" xr:uid="{00000000-0005-0000-0000-0000371B0000}"/>
    <cellStyle name="Normal 5 40 2" xfId="6957" xr:uid="{00000000-0005-0000-0000-0000381B0000}"/>
    <cellStyle name="Normal 5 40 2 2" xfId="6958" xr:uid="{00000000-0005-0000-0000-0000391B0000}"/>
    <cellStyle name="Normal 5 40 3" xfId="6959" xr:uid="{00000000-0005-0000-0000-00003A1B0000}"/>
    <cellStyle name="Normal 5 41" xfId="6960" xr:uid="{00000000-0005-0000-0000-00003B1B0000}"/>
    <cellStyle name="Normal 5 41 2" xfId="6961" xr:uid="{00000000-0005-0000-0000-00003C1B0000}"/>
    <cellStyle name="Normal 5 41 2 2" xfId="6962" xr:uid="{00000000-0005-0000-0000-00003D1B0000}"/>
    <cellStyle name="Normal 5 41 3" xfId="6963" xr:uid="{00000000-0005-0000-0000-00003E1B0000}"/>
    <cellStyle name="Normal 5 42" xfId="6964" xr:uid="{00000000-0005-0000-0000-00003F1B0000}"/>
    <cellStyle name="Normal 5 42 2" xfId="6965" xr:uid="{00000000-0005-0000-0000-0000401B0000}"/>
    <cellStyle name="Normal 5 42 2 2" xfId="6966" xr:uid="{00000000-0005-0000-0000-0000411B0000}"/>
    <cellStyle name="Normal 5 42 3" xfId="6967" xr:uid="{00000000-0005-0000-0000-0000421B0000}"/>
    <cellStyle name="Normal 5 43" xfId="6968" xr:uid="{00000000-0005-0000-0000-0000431B0000}"/>
    <cellStyle name="Normal 5 43 2" xfId="6969" xr:uid="{00000000-0005-0000-0000-0000441B0000}"/>
    <cellStyle name="Normal 5 43 2 2" xfId="6970" xr:uid="{00000000-0005-0000-0000-0000451B0000}"/>
    <cellStyle name="Normal 5 43 3" xfId="6971" xr:uid="{00000000-0005-0000-0000-0000461B0000}"/>
    <cellStyle name="Normal 5 44" xfId="6972" xr:uid="{00000000-0005-0000-0000-0000471B0000}"/>
    <cellStyle name="Normal 5 44 2" xfId="6973" xr:uid="{00000000-0005-0000-0000-0000481B0000}"/>
    <cellStyle name="Normal 5 44 2 2" xfId="6974" xr:uid="{00000000-0005-0000-0000-0000491B0000}"/>
    <cellStyle name="Normal 5 44 3" xfId="6975" xr:uid="{00000000-0005-0000-0000-00004A1B0000}"/>
    <cellStyle name="Normal 5 45" xfId="6976" xr:uid="{00000000-0005-0000-0000-00004B1B0000}"/>
    <cellStyle name="Normal 5 45 2" xfId="6977" xr:uid="{00000000-0005-0000-0000-00004C1B0000}"/>
    <cellStyle name="Normal 5 45 2 2" xfId="6978" xr:uid="{00000000-0005-0000-0000-00004D1B0000}"/>
    <cellStyle name="Normal 5 45 3" xfId="6979" xr:uid="{00000000-0005-0000-0000-00004E1B0000}"/>
    <cellStyle name="Normal 5 46" xfId="6980" xr:uid="{00000000-0005-0000-0000-00004F1B0000}"/>
    <cellStyle name="Normal 5 46 2" xfId="6981" xr:uid="{00000000-0005-0000-0000-0000501B0000}"/>
    <cellStyle name="Normal 5 46 2 2" xfId="6982" xr:uid="{00000000-0005-0000-0000-0000511B0000}"/>
    <cellStyle name="Normal 5 46 3" xfId="6983" xr:uid="{00000000-0005-0000-0000-0000521B0000}"/>
    <cellStyle name="Normal 5 47" xfId="6984" xr:uid="{00000000-0005-0000-0000-0000531B0000}"/>
    <cellStyle name="Normal 5 47 2" xfId="6985" xr:uid="{00000000-0005-0000-0000-0000541B0000}"/>
    <cellStyle name="Normal 5 47 2 2" xfId="6986" xr:uid="{00000000-0005-0000-0000-0000551B0000}"/>
    <cellStyle name="Normal 5 47 3" xfId="6987" xr:uid="{00000000-0005-0000-0000-0000561B0000}"/>
    <cellStyle name="Normal 5 48" xfId="6988" xr:uid="{00000000-0005-0000-0000-0000571B0000}"/>
    <cellStyle name="Normal 5 48 2" xfId="6989" xr:uid="{00000000-0005-0000-0000-0000581B0000}"/>
    <cellStyle name="Normal 5 48 2 2" xfId="6990" xr:uid="{00000000-0005-0000-0000-0000591B0000}"/>
    <cellStyle name="Normal 5 48 3" xfId="6991" xr:uid="{00000000-0005-0000-0000-00005A1B0000}"/>
    <cellStyle name="Normal 5 49" xfId="6992" xr:uid="{00000000-0005-0000-0000-00005B1B0000}"/>
    <cellStyle name="Normal 5 49 2" xfId="6993" xr:uid="{00000000-0005-0000-0000-00005C1B0000}"/>
    <cellStyle name="Normal 5 49 2 2" xfId="6994" xr:uid="{00000000-0005-0000-0000-00005D1B0000}"/>
    <cellStyle name="Normal 5 49 3" xfId="6995" xr:uid="{00000000-0005-0000-0000-00005E1B0000}"/>
    <cellStyle name="Normal 5 5" xfId="6996" xr:uid="{00000000-0005-0000-0000-00005F1B0000}"/>
    <cellStyle name="Normal 5 5 2" xfId="6997" xr:uid="{00000000-0005-0000-0000-0000601B0000}"/>
    <cellStyle name="Normal 5 5 2 2" xfId="6998" xr:uid="{00000000-0005-0000-0000-0000611B0000}"/>
    <cellStyle name="Normal 5 5 2 3" xfId="6999" xr:uid="{00000000-0005-0000-0000-0000621B0000}"/>
    <cellStyle name="Normal 5 5 3" xfId="7000" xr:uid="{00000000-0005-0000-0000-0000631B0000}"/>
    <cellStyle name="Normal 5 5 3 2" xfId="7001" xr:uid="{00000000-0005-0000-0000-0000641B0000}"/>
    <cellStyle name="Normal 5 50" xfId="7002" xr:uid="{00000000-0005-0000-0000-0000651B0000}"/>
    <cellStyle name="Normal 5 50 2" xfId="7003" xr:uid="{00000000-0005-0000-0000-0000661B0000}"/>
    <cellStyle name="Normal 5 50 2 2" xfId="7004" xr:uid="{00000000-0005-0000-0000-0000671B0000}"/>
    <cellStyle name="Normal 5 50 3" xfId="7005" xr:uid="{00000000-0005-0000-0000-0000681B0000}"/>
    <cellStyle name="Normal 5 51" xfId="7006" xr:uid="{00000000-0005-0000-0000-0000691B0000}"/>
    <cellStyle name="Normal 5 51 2" xfId="7007" xr:uid="{00000000-0005-0000-0000-00006A1B0000}"/>
    <cellStyle name="Normal 5 51 2 2" xfId="7008" xr:uid="{00000000-0005-0000-0000-00006B1B0000}"/>
    <cellStyle name="Normal 5 51 3" xfId="7009" xr:uid="{00000000-0005-0000-0000-00006C1B0000}"/>
    <cellStyle name="Normal 5 52" xfId="7010" xr:uid="{00000000-0005-0000-0000-00006D1B0000}"/>
    <cellStyle name="Normal 5 52 2" xfId="7011" xr:uid="{00000000-0005-0000-0000-00006E1B0000}"/>
    <cellStyle name="Normal 5 52 2 2" xfId="7012" xr:uid="{00000000-0005-0000-0000-00006F1B0000}"/>
    <cellStyle name="Normal 5 52 3" xfId="7013" xr:uid="{00000000-0005-0000-0000-0000701B0000}"/>
    <cellStyle name="Normal 5 53" xfId="7014" xr:uid="{00000000-0005-0000-0000-0000711B0000}"/>
    <cellStyle name="Normal 5 53 2" xfId="7015" xr:uid="{00000000-0005-0000-0000-0000721B0000}"/>
    <cellStyle name="Normal 5 53 2 2" xfId="7016" xr:uid="{00000000-0005-0000-0000-0000731B0000}"/>
    <cellStyle name="Normal 5 53 3" xfId="7017" xr:uid="{00000000-0005-0000-0000-0000741B0000}"/>
    <cellStyle name="Normal 5 54" xfId="7018" xr:uid="{00000000-0005-0000-0000-0000751B0000}"/>
    <cellStyle name="Normal 5 54 2" xfId="7019" xr:uid="{00000000-0005-0000-0000-0000761B0000}"/>
    <cellStyle name="Normal 5 54 2 2" xfId="7020" xr:uid="{00000000-0005-0000-0000-0000771B0000}"/>
    <cellStyle name="Normal 5 54 3" xfId="7021" xr:uid="{00000000-0005-0000-0000-0000781B0000}"/>
    <cellStyle name="Normal 5 55" xfId="7022" xr:uid="{00000000-0005-0000-0000-0000791B0000}"/>
    <cellStyle name="Normal 5 55 2" xfId="7023" xr:uid="{00000000-0005-0000-0000-00007A1B0000}"/>
    <cellStyle name="Normal 5 55 2 2" xfId="7024" xr:uid="{00000000-0005-0000-0000-00007B1B0000}"/>
    <cellStyle name="Normal 5 55 3" xfId="7025" xr:uid="{00000000-0005-0000-0000-00007C1B0000}"/>
    <cellStyle name="Normal 5 56" xfId="7026" xr:uid="{00000000-0005-0000-0000-00007D1B0000}"/>
    <cellStyle name="Normal 5 56 2" xfId="7027" xr:uid="{00000000-0005-0000-0000-00007E1B0000}"/>
    <cellStyle name="Normal 5 56 2 2" xfId="7028" xr:uid="{00000000-0005-0000-0000-00007F1B0000}"/>
    <cellStyle name="Normal 5 56 3" xfId="7029" xr:uid="{00000000-0005-0000-0000-0000801B0000}"/>
    <cellStyle name="Normal 5 57" xfId="7030" xr:uid="{00000000-0005-0000-0000-0000811B0000}"/>
    <cellStyle name="Normal 5 57 2" xfId="7031" xr:uid="{00000000-0005-0000-0000-0000821B0000}"/>
    <cellStyle name="Normal 5 57 2 2" xfId="7032" xr:uid="{00000000-0005-0000-0000-0000831B0000}"/>
    <cellStyle name="Normal 5 57 3" xfId="7033" xr:uid="{00000000-0005-0000-0000-0000841B0000}"/>
    <cellStyle name="Normal 5 58" xfId="7034" xr:uid="{00000000-0005-0000-0000-0000851B0000}"/>
    <cellStyle name="Normal 5 58 2" xfId="7035" xr:uid="{00000000-0005-0000-0000-0000861B0000}"/>
    <cellStyle name="Normal 5 58 2 2" xfId="7036" xr:uid="{00000000-0005-0000-0000-0000871B0000}"/>
    <cellStyle name="Normal 5 58 3" xfId="7037" xr:uid="{00000000-0005-0000-0000-0000881B0000}"/>
    <cellStyle name="Normal 5 59" xfId="7038" xr:uid="{00000000-0005-0000-0000-0000891B0000}"/>
    <cellStyle name="Normal 5 59 2" xfId="7039" xr:uid="{00000000-0005-0000-0000-00008A1B0000}"/>
    <cellStyle name="Normal 5 59 2 2" xfId="7040" xr:uid="{00000000-0005-0000-0000-00008B1B0000}"/>
    <cellStyle name="Normal 5 59 3" xfId="7041" xr:uid="{00000000-0005-0000-0000-00008C1B0000}"/>
    <cellStyle name="Normal 5 6" xfId="7042" xr:uid="{00000000-0005-0000-0000-00008D1B0000}"/>
    <cellStyle name="Normal 5 6 2" xfId="7043" xr:uid="{00000000-0005-0000-0000-00008E1B0000}"/>
    <cellStyle name="Normal 5 6 2 2" xfId="7044" xr:uid="{00000000-0005-0000-0000-00008F1B0000}"/>
    <cellStyle name="Normal 5 6 2 3" xfId="7045" xr:uid="{00000000-0005-0000-0000-0000901B0000}"/>
    <cellStyle name="Normal 5 6 3" xfId="7046" xr:uid="{00000000-0005-0000-0000-0000911B0000}"/>
    <cellStyle name="Normal 5 6 3 2" xfId="7047" xr:uid="{00000000-0005-0000-0000-0000921B0000}"/>
    <cellStyle name="Normal 5 60" xfId="7048" xr:uid="{00000000-0005-0000-0000-0000931B0000}"/>
    <cellStyle name="Normal 5 60 2" xfId="7049" xr:uid="{00000000-0005-0000-0000-0000941B0000}"/>
    <cellStyle name="Normal 5 60 2 2" xfId="7050" xr:uid="{00000000-0005-0000-0000-0000951B0000}"/>
    <cellStyle name="Normal 5 60 3" xfId="7051" xr:uid="{00000000-0005-0000-0000-0000961B0000}"/>
    <cellStyle name="Normal 5 61" xfId="7052" xr:uid="{00000000-0005-0000-0000-0000971B0000}"/>
    <cellStyle name="Normal 5 61 2" xfId="7053" xr:uid="{00000000-0005-0000-0000-0000981B0000}"/>
    <cellStyle name="Normal 5 61 2 2" xfId="7054" xr:uid="{00000000-0005-0000-0000-0000991B0000}"/>
    <cellStyle name="Normal 5 61 3" xfId="7055" xr:uid="{00000000-0005-0000-0000-00009A1B0000}"/>
    <cellStyle name="Normal 5 62" xfId="7056" xr:uid="{00000000-0005-0000-0000-00009B1B0000}"/>
    <cellStyle name="Normal 5 62 2" xfId="7057" xr:uid="{00000000-0005-0000-0000-00009C1B0000}"/>
    <cellStyle name="Normal 5 63" xfId="7058" xr:uid="{00000000-0005-0000-0000-00009D1B0000}"/>
    <cellStyle name="Normal 5 63 2" xfId="7059" xr:uid="{00000000-0005-0000-0000-00009E1B0000}"/>
    <cellStyle name="Normal 5 64" xfId="7060" xr:uid="{00000000-0005-0000-0000-00009F1B0000}"/>
    <cellStyle name="Normal 5 64 2" xfId="7061" xr:uid="{00000000-0005-0000-0000-0000A01B0000}"/>
    <cellStyle name="Normal 5 65" xfId="7062" xr:uid="{00000000-0005-0000-0000-0000A11B0000}"/>
    <cellStyle name="Normal 5 65 2" xfId="7063" xr:uid="{00000000-0005-0000-0000-0000A21B0000}"/>
    <cellStyle name="Normal 5 66" xfId="7064" xr:uid="{00000000-0005-0000-0000-0000A31B0000}"/>
    <cellStyle name="Normal 5 66 2" xfId="7065" xr:uid="{00000000-0005-0000-0000-0000A41B0000}"/>
    <cellStyle name="Normal 5 67" xfId="7066" xr:uid="{00000000-0005-0000-0000-0000A51B0000}"/>
    <cellStyle name="Normal 5 67 2" xfId="7067" xr:uid="{00000000-0005-0000-0000-0000A61B0000}"/>
    <cellStyle name="Normal 5 68" xfId="7068" xr:uid="{00000000-0005-0000-0000-0000A71B0000}"/>
    <cellStyle name="Normal 5 68 2" xfId="7069" xr:uid="{00000000-0005-0000-0000-0000A81B0000}"/>
    <cellStyle name="Normal 5 69" xfId="7070" xr:uid="{00000000-0005-0000-0000-0000A91B0000}"/>
    <cellStyle name="Normal 5 69 2" xfId="7071" xr:uid="{00000000-0005-0000-0000-0000AA1B0000}"/>
    <cellStyle name="Normal 5 7" xfId="7072" xr:uid="{00000000-0005-0000-0000-0000AB1B0000}"/>
    <cellStyle name="Normal 5 7 2" xfId="7073" xr:uid="{00000000-0005-0000-0000-0000AC1B0000}"/>
    <cellStyle name="Normal 5 7 2 2" xfId="7074" xr:uid="{00000000-0005-0000-0000-0000AD1B0000}"/>
    <cellStyle name="Normal 5 7 2 3" xfId="7075" xr:uid="{00000000-0005-0000-0000-0000AE1B0000}"/>
    <cellStyle name="Normal 5 7 3" xfId="7076" xr:uid="{00000000-0005-0000-0000-0000AF1B0000}"/>
    <cellStyle name="Normal 5 7 3 2" xfId="7077" xr:uid="{00000000-0005-0000-0000-0000B01B0000}"/>
    <cellStyle name="Normal 5 70" xfId="7078" xr:uid="{00000000-0005-0000-0000-0000B11B0000}"/>
    <cellStyle name="Normal 5 70 2" xfId="7079" xr:uid="{00000000-0005-0000-0000-0000B21B0000}"/>
    <cellStyle name="Normal 5 71" xfId="7080" xr:uid="{00000000-0005-0000-0000-0000B31B0000}"/>
    <cellStyle name="Normal 5 71 2" xfId="7081" xr:uid="{00000000-0005-0000-0000-0000B41B0000}"/>
    <cellStyle name="Normal 5 72" xfId="7082" xr:uid="{00000000-0005-0000-0000-0000B51B0000}"/>
    <cellStyle name="Normal 5 72 2" xfId="7083" xr:uid="{00000000-0005-0000-0000-0000B61B0000}"/>
    <cellStyle name="Normal 5 73" xfId="7084" xr:uid="{00000000-0005-0000-0000-0000B71B0000}"/>
    <cellStyle name="Normal 5 73 2" xfId="7085" xr:uid="{00000000-0005-0000-0000-0000B81B0000}"/>
    <cellStyle name="Normal 5 74" xfId="7086" xr:uid="{00000000-0005-0000-0000-0000B91B0000}"/>
    <cellStyle name="Normal 5 74 2" xfId="7087" xr:uid="{00000000-0005-0000-0000-0000BA1B0000}"/>
    <cellStyle name="Normal 5 75" xfId="7088" xr:uid="{00000000-0005-0000-0000-0000BB1B0000}"/>
    <cellStyle name="Normal 5 75 2" xfId="7089" xr:uid="{00000000-0005-0000-0000-0000BC1B0000}"/>
    <cellStyle name="Normal 5 76" xfId="7090" xr:uid="{00000000-0005-0000-0000-0000BD1B0000}"/>
    <cellStyle name="Normal 5 76 2" xfId="7091" xr:uid="{00000000-0005-0000-0000-0000BE1B0000}"/>
    <cellStyle name="Normal 5 77" xfId="7092" xr:uid="{00000000-0005-0000-0000-0000BF1B0000}"/>
    <cellStyle name="Normal 5 77 2" xfId="7093" xr:uid="{00000000-0005-0000-0000-0000C01B0000}"/>
    <cellStyle name="Normal 5 78" xfId="7094" xr:uid="{00000000-0005-0000-0000-0000C11B0000}"/>
    <cellStyle name="Normal 5 78 2" xfId="7095" xr:uid="{00000000-0005-0000-0000-0000C21B0000}"/>
    <cellStyle name="Normal 5 79" xfId="7096" xr:uid="{00000000-0005-0000-0000-0000C31B0000}"/>
    <cellStyle name="Normal 5 79 2" xfId="7097" xr:uid="{00000000-0005-0000-0000-0000C41B0000}"/>
    <cellStyle name="Normal 5 8" xfId="7098" xr:uid="{00000000-0005-0000-0000-0000C51B0000}"/>
    <cellStyle name="Normal 5 8 2" xfId="7099" xr:uid="{00000000-0005-0000-0000-0000C61B0000}"/>
    <cellStyle name="Normal 5 8 2 2" xfId="7100" xr:uid="{00000000-0005-0000-0000-0000C71B0000}"/>
    <cellStyle name="Normal 5 8 3" xfId="7101" xr:uid="{00000000-0005-0000-0000-0000C81B0000}"/>
    <cellStyle name="Normal 5 80" xfId="7102" xr:uid="{00000000-0005-0000-0000-0000C91B0000}"/>
    <cellStyle name="Normal 5 80 2" xfId="7103" xr:uid="{00000000-0005-0000-0000-0000CA1B0000}"/>
    <cellStyle name="Normal 5 81" xfId="7104" xr:uid="{00000000-0005-0000-0000-0000CB1B0000}"/>
    <cellStyle name="Normal 5 81 2" xfId="7105" xr:uid="{00000000-0005-0000-0000-0000CC1B0000}"/>
    <cellStyle name="Normal 5 82" xfId="7106" xr:uid="{00000000-0005-0000-0000-0000CD1B0000}"/>
    <cellStyle name="Normal 5 82 2" xfId="7107" xr:uid="{00000000-0005-0000-0000-0000CE1B0000}"/>
    <cellStyle name="Normal 5 83" xfId="7108" xr:uid="{00000000-0005-0000-0000-0000CF1B0000}"/>
    <cellStyle name="Normal 5 83 2" xfId="7109" xr:uid="{00000000-0005-0000-0000-0000D01B0000}"/>
    <cellStyle name="Normal 5 84" xfId="7110" xr:uid="{00000000-0005-0000-0000-0000D11B0000}"/>
    <cellStyle name="Normal 5 84 2" xfId="7111" xr:uid="{00000000-0005-0000-0000-0000D21B0000}"/>
    <cellStyle name="Normal 5 85" xfId="7112" xr:uid="{00000000-0005-0000-0000-0000D31B0000}"/>
    <cellStyle name="Normal 5 85 2" xfId="7113" xr:uid="{00000000-0005-0000-0000-0000D41B0000}"/>
    <cellStyle name="Normal 5 86" xfId="7114" xr:uid="{00000000-0005-0000-0000-0000D51B0000}"/>
    <cellStyle name="Normal 5 86 2" xfId="7115" xr:uid="{00000000-0005-0000-0000-0000D61B0000}"/>
    <cellStyle name="Normal 5 87" xfId="7116" xr:uid="{00000000-0005-0000-0000-0000D71B0000}"/>
    <cellStyle name="Normal 5 87 2" xfId="7117" xr:uid="{00000000-0005-0000-0000-0000D81B0000}"/>
    <cellStyle name="Normal 5 88" xfId="7118" xr:uid="{00000000-0005-0000-0000-0000D91B0000}"/>
    <cellStyle name="Normal 5 88 2" xfId="7119" xr:uid="{00000000-0005-0000-0000-0000DA1B0000}"/>
    <cellStyle name="Normal 5 89" xfId="7120" xr:uid="{00000000-0005-0000-0000-0000DB1B0000}"/>
    <cellStyle name="Normal 5 89 2" xfId="7121" xr:uid="{00000000-0005-0000-0000-0000DC1B0000}"/>
    <cellStyle name="Normal 5 9" xfId="7122" xr:uid="{00000000-0005-0000-0000-0000DD1B0000}"/>
    <cellStyle name="Normal 5 9 2" xfId="7123" xr:uid="{00000000-0005-0000-0000-0000DE1B0000}"/>
    <cellStyle name="Normal 5 9 2 2" xfId="7124" xr:uid="{00000000-0005-0000-0000-0000DF1B0000}"/>
    <cellStyle name="Normal 5 9 3" xfId="7125" xr:uid="{00000000-0005-0000-0000-0000E01B0000}"/>
    <cellStyle name="Normal 5 90" xfId="7126" xr:uid="{00000000-0005-0000-0000-0000E11B0000}"/>
    <cellStyle name="Normal 5 90 2" xfId="7127" xr:uid="{00000000-0005-0000-0000-0000E21B0000}"/>
    <cellStyle name="Normal 5 91" xfId="7128" xr:uid="{00000000-0005-0000-0000-0000E31B0000}"/>
    <cellStyle name="Normal 5 91 2" xfId="7129" xr:uid="{00000000-0005-0000-0000-0000E41B0000}"/>
    <cellStyle name="Normal 5 92" xfId="7130" xr:uid="{00000000-0005-0000-0000-0000E51B0000}"/>
    <cellStyle name="Normal 5 92 2" xfId="7131" xr:uid="{00000000-0005-0000-0000-0000E61B0000}"/>
    <cellStyle name="Normal 5 93" xfId="7132" xr:uid="{00000000-0005-0000-0000-0000E71B0000}"/>
    <cellStyle name="Normal 5 93 2" xfId="7133" xr:uid="{00000000-0005-0000-0000-0000E81B0000}"/>
    <cellStyle name="Normal 5 94" xfId="7134" xr:uid="{00000000-0005-0000-0000-0000E91B0000}"/>
    <cellStyle name="Normal 5 95" xfId="7135" xr:uid="{00000000-0005-0000-0000-0000EA1B0000}"/>
    <cellStyle name="Normal 5 95 2" xfId="7136" xr:uid="{00000000-0005-0000-0000-0000EB1B0000}"/>
    <cellStyle name="Normal 5 96" xfId="7137" xr:uid="{00000000-0005-0000-0000-0000EC1B0000}"/>
    <cellStyle name="Normal 5 96 2" xfId="7138" xr:uid="{00000000-0005-0000-0000-0000ED1B0000}"/>
    <cellStyle name="Normal 5 97" xfId="7139" xr:uid="{00000000-0005-0000-0000-0000EE1B0000}"/>
    <cellStyle name="Normal 5 97 2" xfId="7140" xr:uid="{00000000-0005-0000-0000-0000EF1B0000}"/>
    <cellStyle name="Normal 5 98" xfId="7141" xr:uid="{00000000-0005-0000-0000-0000F01B0000}"/>
    <cellStyle name="Normal 5 98 2" xfId="7142" xr:uid="{00000000-0005-0000-0000-0000F11B0000}"/>
    <cellStyle name="Normal 5 99" xfId="7143" xr:uid="{00000000-0005-0000-0000-0000F21B0000}"/>
    <cellStyle name="Normal 50" xfId="7144" xr:uid="{00000000-0005-0000-0000-0000F31B0000}"/>
    <cellStyle name="Normal 51" xfId="7145" xr:uid="{00000000-0005-0000-0000-0000F41B0000}"/>
    <cellStyle name="Normal 52" xfId="7146" xr:uid="{00000000-0005-0000-0000-0000F51B0000}"/>
    <cellStyle name="Normal 53" xfId="7147" xr:uid="{00000000-0005-0000-0000-0000F61B0000}"/>
    <cellStyle name="Normal 54" xfId="7148" xr:uid="{00000000-0005-0000-0000-0000F71B0000}"/>
    <cellStyle name="Normal 55" xfId="7149" xr:uid="{00000000-0005-0000-0000-0000F81B0000}"/>
    <cellStyle name="Normal 56" xfId="7150" xr:uid="{00000000-0005-0000-0000-0000F91B0000}"/>
    <cellStyle name="Normal 57" xfId="7151" xr:uid="{00000000-0005-0000-0000-0000FA1B0000}"/>
    <cellStyle name="Normal 58" xfId="7152" xr:uid="{00000000-0005-0000-0000-0000FB1B0000}"/>
    <cellStyle name="Normal 59" xfId="7153" xr:uid="{00000000-0005-0000-0000-0000FC1B0000}"/>
    <cellStyle name="Normal 6" xfId="16" xr:uid="{00000000-0005-0000-0000-0000FD1B0000}"/>
    <cellStyle name="Normal 6 10" xfId="7154" xr:uid="{00000000-0005-0000-0000-0000FE1B0000}"/>
    <cellStyle name="Normal 6 11" xfId="7155" xr:uid="{00000000-0005-0000-0000-0000FF1B0000}"/>
    <cellStyle name="Normal 6 11 2" xfId="7156" xr:uid="{00000000-0005-0000-0000-0000001C0000}"/>
    <cellStyle name="Normal 6 12" xfId="7157" xr:uid="{00000000-0005-0000-0000-0000011C0000}"/>
    <cellStyle name="Normal 6 12 2" xfId="7158" xr:uid="{00000000-0005-0000-0000-0000021C0000}"/>
    <cellStyle name="Normal 6 13" xfId="7159" xr:uid="{00000000-0005-0000-0000-0000031C0000}"/>
    <cellStyle name="Normal 6 14" xfId="54" xr:uid="{00000000-0005-0000-0000-0000041C0000}"/>
    <cellStyle name="Normal 6 14 2" xfId="7160" xr:uid="{00000000-0005-0000-0000-0000051C0000}"/>
    <cellStyle name="Normal 6 14 4" xfId="33" xr:uid="{00000000-0005-0000-0000-0000061C0000}"/>
    <cellStyle name="Normal 6 15" xfId="7161" xr:uid="{00000000-0005-0000-0000-0000071C0000}"/>
    <cellStyle name="Normal 6 2" xfId="7162" xr:uid="{00000000-0005-0000-0000-0000081C0000}"/>
    <cellStyle name="Normal 6 2 10" xfId="7163" xr:uid="{00000000-0005-0000-0000-0000091C0000}"/>
    <cellStyle name="Normal 6 2 11" xfId="7164" xr:uid="{00000000-0005-0000-0000-00000A1C0000}"/>
    <cellStyle name="Normal 6 2 2" xfId="7165" xr:uid="{00000000-0005-0000-0000-00000B1C0000}"/>
    <cellStyle name="Normal 6 2 2 2" xfId="7166" xr:uid="{00000000-0005-0000-0000-00000C1C0000}"/>
    <cellStyle name="Normal 6 2 2 2 2" xfId="7167" xr:uid="{00000000-0005-0000-0000-00000D1C0000}"/>
    <cellStyle name="Normal 6 2 2 2 2 2" xfId="7168" xr:uid="{00000000-0005-0000-0000-00000E1C0000}"/>
    <cellStyle name="Normal 6 2 2 2 3" xfId="7169" xr:uid="{00000000-0005-0000-0000-00000F1C0000}"/>
    <cellStyle name="Normal 6 2 2 3" xfId="7170" xr:uid="{00000000-0005-0000-0000-0000101C0000}"/>
    <cellStyle name="Normal 6 2 2 3 2" xfId="7171" xr:uid="{00000000-0005-0000-0000-0000111C0000}"/>
    <cellStyle name="Normal 6 2 2 4" xfId="7172" xr:uid="{00000000-0005-0000-0000-0000121C0000}"/>
    <cellStyle name="Normal 6 2 2 4 2" xfId="7173" xr:uid="{00000000-0005-0000-0000-0000131C0000}"/>
    <cellStyle name="Normal 6 2 2 5" xfId="7174" xr:uid="{00000000-0005-0000-0000-0000141C0000}"/>
    <cellStyle name="Normal 6 2 2 5 2" xfId="7175" xr:uid="{00000000-0005-0000-0000-0000151C0000}"/>
    <cellStyle name="Normal 6 2 2 6" xfId="7176" xr:uid="{00000000-0005-0000-0000-0000161C0000}"/>
    <cellStyle name="Normal 6 2 2 6 2" xfId="7177" xr:uid="{00000000-0005-0000-0000-0000171C0000}"/>
    <cellStyle name="Normal 6 2 2 7" xfId="7178" xr:uid="{00000000-0005-0000-0000-0000181C0000}"/>
    <cellStyle name="Normal 6 2 2 7 2" xfId="7179" xr:uid="{00000000-0005-0000-0000-0000191C0000}"/>
    <cellStyle name="Normal 6 2 2 8" xfId="7180" xr:uid="{00000000-0005-0000-0000-00001A1C0000}"/>
    <cellStyle name="Normal 6 2 2 8 2" xfId="7181" xr:uid="{00000000-0005-0000-0000-00001B1C0000}"/>
    <cellStyle name="Normal 6 2 2 9" xfId="7182" xr:uid="{00000000-0005-0000-0000-00001C1C0000}"/>
    <cellStyle name="Normal 6 2 2 9 2" xfId="7183" xr:uid="{00000000-0005-0000-0000-00001D1C0000}"/>
    <cellStyle name="Normal 6 2 3" xfId="7184" xr:uid="{00000000-0005-0000-0000-00001E1C0000}"/>
    <cellStyle name="Normal 6 2 4" xfId="7185" xr:uid="{00000000-0005-0000-0000-00001F1C0000}"/>
    <cellStyle name="Normal 6 2 4 2" xfId="7186" xr:uid="{00000000-0005-0000-0000-0000201C0000}"/>
    <cellStyle name="Normal 6 2 5" xfId="47" xr:uid="{00000000-0005-0000-0000-0000211C0000}"/>
    <cellStyle name="Normal 6 2 6" xfId="7187" xr:uid="{00000000-0005-0000-0000-0000221C0000}"/>
    <cellStyle name="Normal 6 2 7" xfId="7188" xr:uid="{00000000-0005-0000-0000-0000231C0000}"/>
    <cellStyle name="Normal 6 2 8" xfId="7189" xr:uid="{00000000-0005-0000-0000-0000241C0000}"/>
    <cellStyle name="Normal 6 2 9" xfId="7190" xr:uid="{00000000-0005-0000-0000-0000251C0000}"/>
    <cellStyle name="Normal 6 3" xfId="7191" xr:uid="{00000000-0005-0000-0000-0000261C0000}"/>
    <cellStyle name="Normal 6 3 2" xfId="7192" xr:uid="{00000000-0005-0000-0000-0000271C0000}"/>
    <cellStyle name="Normal 6 3 2 2" xfId="7193" xr:uid="{00000000-0005-0000-0000-0000281C0000}"/>
    <cellStyle name="Normal 6 3 2 3" xfId="7194" xr:uid="{00000000-0005-0000-0000-0000291C0000}"/>
    <cellStyle name="Normal 6 3 3" xfId="7195" xr:uid="{00000000-0005-0000-0000-00002A1C0000}"/>
    <cellStyle name="Normal 6 3 4" xfId="7196" xr:uid="{00000000-0005-0000-0000-00002B1C0000}"/>
    <cellStyle name="Normal 6 4" xfId="7197" xr:uid="{00000000-0005-0000-0000-00002C1C0000}"/>
    <cellStyle name="Normal 6 4 2" xfId="7198" xr:uid="{00000000-0005-0000-0000-00002D1C0000}"/>
    <cellStyle name="Normal 6 4 3" xfId="7199" xr:uid="{00000000-0005-0000-0000-00002E1C0000}"/>
    <cellStyle name="Normal 6 5" xfId="7200" xr:uid="{00000000-0005-0000-0000-00002F1C0000}"/>
    <cellStyle name="Normal 6 5 2" xfId="7201" xr:uid="{00000000-0005-0000-0000-0000301C0000}"/>
    <cellStyle name="Normal 6 5 3" xfId="7202" xr:uid="{00000000-0005-0000-0000-0000311C0000}"/>
    <cellStyle name="Normal 6 6" xfId="7203" xr:uid="{00000000-0005-0000-0000-0000321C0000}"/>
    <cellStyle name="Normal 6 7" xfId="7204" xr:uid="{00000000-0005-0000-0000-0000331C0000}"/>
    <cellStyle name="Normal 6 8" xfId="7205" xr:uid="{00000000-0005-0000-0000-0000341C0000}"/>
    <cellStyle name="Normal 6 9" xfId="7206" xr:uid="{00000000-0005-0000-0000-0000351C0000}"/>
    <cellStyle name="Normal 60" xfId="7207" xr:uid="{00000000-0005-0000-0000-0000361C0000}"/>
    <cellStyle name="Normal 61" xfId="7208" xr:uid="{00000000-0005-0000-0000-0000371C0000}"/>
    <cellStyle name="Normal 62" xfId="7209" xr:uid="{00000000-0005-0000-0000-0000381C0000}"/>
    <cellStyle name="Normal 63" xfId="7210" xr:uid="{00000000-0005-0000-0000-0000391C0000}"/>
    <cellStyle name="Normal 64" xfId="7211" xr:uid="{00000000-0005-0000-0000-00003A1C0000}"/>
    <cellStyle name="Normal 65" xfId="7212" xr:uid="{00000000-0005-0000-0000-00003B1C0000}"/>
    <cellStyle name="Normal 66" xfId="7213" xr:uid="{00000000-0005-0000-0000-00003C1C0000}"/>
    <cellStyle name="Normal 66 2" xfId="7214" xr:uid="{00000000-0005-0000-0000-00003D1C0000}"/>
    <cellStyle name="Normal 67" xfId="7215" xr:uid="{00000000-0005-0000-0000-00003E1C0000}"/>
    <cellStyle name="Normal 67 2" xfId="7216" xr:uid="{00000000-0005-0000-0000-00003F1C0000}"/>
    <cellStyle name="Normal 68" xfId="7217" xr:uid="{00000000-0005-0000-0000-0000401C0000}"/>
    <cellStyle name="Normal 68 2" xfId="7218" xr:uid="{00000000-0005-0000-0000-0000411C0000}"/>
    <cellStyle name="Normal 69" xfId="7219" xr:uid="{00000000-0005-0000-0000-0000421C0000}"/>
    <cellStyle name="Normal 7" xfId="30" xr:uid="{00000000-0005-0000-0000-0000431C0000}"/>
    <cellStyle name="Normal 7 10" xfId="7221" xr:uid="{00000000-0005-0000-0000-0000441C0000}"/>
    <cellStyle name="Normal 7 11" xfId="7222" xr:uid="{00000000-0005-0000-0000-0000451C0000}"/>
    <cellStyle name="Normal 7 12" xfId="7223" xr:uid="{00000000-0005-0000-0000-0000461C0000}"/>
    <cellStyle name="Normal 7 13" xfId="7224" xr:uid="{00000000-0005-0000-0000-0000471C0000}"/>
    <cellStyle name="Normal 7 14" xfId="7225" xr:uid="{00000000-0005-0000-0000-0000481C0000}"/>
    <cellStyle name="Normal 7 15" xfId="7226" xr:uid="{00000000-0005-0000-0000-0000491C0000}"/>
    <cellStyle name="Normal 7 16" xfId="7227" xr:uid="{00000000-0005-0000-0000-00004A1C0000}"/>
    <cellStyle name="Normal 7 17" xfId="7228" xr:uid="{00000000-0005-0000-0000-00004B1C0000}"/>
    <cellStyle name="Normal 7 18" xfId="7229" xr:uid="{00000000-0005-0000-0000-00004C1C0000}"/>
    <cellStyle name="Normal 7 19" xfId="7230" xr:uid="{00000000-0005-0000-0000-00004D1C0000}"/>
    <cellStyle name="Normal 7 2" xfId="7231" xr:uid="{00000000-0005-0000-0000-00004E1C0000}"/>
    <cellStyle name="Normal 7 2 2" xfId="7232" xr:uid="{00000000-0005-0000-0000-00004F1C0000}"/>
    <cellStyle name="Normal 7 2 2 2" xfId="7233" xr:uid="{00000000-0005-0000-0000-0000501C0000}"/>
    <cellStyle name="Normal 7 2 2 2 2" xfId="7234" xr:uid="{00000000-0005-0000-0000-0000511C0000}"/>
    <cellStyle name="Normal 7 2 2 3" xfId="7235" xr:uid="{00000000-0005-0000-0000-0000521C0000}"/>
    <cellStyle name="Normal 7 2 2 4" xfId="7236" xr:uid="{00000000-0005-0000-0000-0000531C0000}"/>
    <cellStyle name="Normal 7 2 2 5" xfId="7237" xr:uid="{00000000-0005-0000-0000-0000541C0000}"/>
    <cellStyle name="Normal 7 2 3" xfId="7238" xr:uid="{00000000-0005-0000-0000-0000551C0000}"/>
    <cellStyle name="Normal 7 2 4" xfId="7239" xr:uid="{00000000-0005-0000-0000-0000561C0000}"/>
    <cellStyle name="Normal 7 2 5" xfId="7240" xr:uid="{00000000-0005-0000-0000-0000571C0000}"/>
    <cellStyle name="Normal 7 2 6" xfId="7241" xr:uid="{00000000-0005-0000-0000-0000581C0000}"/>
    <cellStyle name="Normal 7 2 7" xfId="7242" xr:uid="{00000000-0005-0000-0000-0000591C0000}"/>
    <cellStyle name="Normal 7 2 8" xfId="7243" xr:uid="{00000000-0005-0000-0000-00005A1C0000}"/>
    <cellStyle name="Normal 7 2 9" xfId="7244" xr:uid="{00000000-0005-0000-0000-00005B1C0000}"/>
    <cellStyle name="Normal 7 20" xfId="7245" xr:uid="{00000000-0005-0000-0000-00005C1C0000}"/>
    <cellStyle name="Normal 7 21" xfId="7246" xr:uid="{00000000-0005-0000-0000-00005D1C0000}"/>
    <cellStyle name="Normal 7 22" xfId="7247" xr:uid="{00000000-0005-0000-0000-00005E1C0000}"/>
    <cellStyle name="Normal 7 23" xfId="7248" xr:uid="{00000000-0005-0000-0000-00005F1C0000}"/>
    <cellStyle name="Normal 7 24" xfId="7249" xr:uid="{00000000-0005-0000-0000-0000601C0000}"/>
    <cellStyle name="Normal 7 25" xfId="7250" xr:uid="{00000000-0005-0000-0000-0000611C0000}"/>
    <cellStyle name="Normal 7 26" xfId="7251" xr:uid="{00000000-0005-0000-0000-0000621C0000}"/>
    <cellStyle name="Normal 7 27" xfId="7252" xr:uid="{00000000-0005-0000-0000-0000631C0000}"/>
    <cellStyle name="Normal 7 28" xfId="7253" xr:uid="{00000000-0005-0000-0000-0000641C0000}"/>
    <cellStyle name="Normal 7 29" xfId="7254" xr:uid="{00000000-0005-0000-0000-0000651C0000}"/>
    <cellStyle name="Normal 7 3" xfId="7255" xr:uid="{00000000-0005-0000-0000-0000661C0000}"/>
    <cellStyle name="Normal 7 3 2" xfId="7256" xr:uid="{00000000-0005-0000-0000-0000671C0000}"/>
    <cellStyle name="Normal 7 3 3" xfId="7257" xr:uid="{00000000-0005-0000-0000-0000681C0000}"/>
    <cellStyle name="Normal 7 3 4" xfId="7258" xr:uid="{00000000-0005-0000-0000-0000691C0000}"/>
    <cellStyle name="Normal 7 30" xfId="7259" xr:uid="{00000000-0005-0000-0000-00006A1C0000}"/>
    <cellStyle name="Normal 7 31" xfId="7260" xr:uid="{00000000-0005-0000-0000-00006B1C0000}"/>
    <cellStyle name="Normal 7 32" xfId="7261" xr:uid="{00000000-0005-0000-0000-00006C1C0000}"/>
    <cellStyle name="Normal 7 33" xfId="7262" xr:uid="{00000000-0005-0000-0000-00006D1C0000}"/>
    <cellStyle name="Normal 7 34" xfId="7263" xr:uid="{00000000-0005-0000-0000-00006E1C0000}"/>
    <cellStyle name="Normal 7 35" xfId="7264" xr:uid="{00000000-0005-0000-0000-00006F1C0000}"/>
    <cellStyle name="Normal 7 36" xfId="7265" xr:uid="{00000000-0005-0000-0000-0000701C0000}"/>
    <cellStyle name="Normal 7 37" xfId="7266" xr:uid="{00000000-0005-0000-0000-0000711C0000}"/>
    <cellStyle name="Normal 7 38" xfId="7267" xr:uid="{00000000-0005-0000-0000-0000721C0000}"/>
    <cellStyle name="Normal 7 39" xfId="7268" xr:uid="{00000000-0005-0000-0000-0000731C0000}"/>
    <cellStyle name="Normal 7 4" xfId="7269" xr:uid="{00000000-0005-0000-0000-0000741C0000}"/>
    <cellStyle name="Normal 7 4 2" xfId="7270" xr:uid="{00000000-0005-0000-0000-0000751C0000}"/>
    <cellStyle name="Normal 7 4 2 2" xfId="7271" xr:uid="{00000000-0005-0000-0000-0000761C0000}"/>
    <cellStyle name="Normal 7 4 3" xfId="7272" xr:uid="{00000000-0005-0000-0000-0000771C0000}"/>
    <cellStyle name="Normal 7 40" xfId="7273" xr:uid="{00000000-0005-0000-0000-0000781C0000}"/>
    <cellStyle name="Normal 7 41" xfId="7274" xr:uid="{00000000-0005-0000-0000-0000791C0000}"/>
    <cellStyle name="Normal 7 42" xfId="7275" xr:uid="{00000000-0005-0000-0000-00007A1C0000}"/>
    <cellStyle name="Normal 7 43" xfId="7276" xr:uid="{00000000-0005-0000-0000-00007B1C0000}"/>
    <cellStyle name="Normal 7 44" xfId="7277" xr:uid="{00000000-0005-0000-0000-00007C1C0000}"/>
    <cellStyle name="Normal 7 45" xfId="7278" xr:uid="{00000000-0005-0000-0000-00007D1C0000}"/>
    <cellStyle name="Normal 7 46" xfId="7279" xr:uid="{00000000-0005-0000-0000-00007E1C0000}"/>
    <cellStyle name="Normal 7 47" xfId="7280" xr:uid="{00000000-0005-0000-0000-00007F1C0000}"/>
    <cellStyle name="Normal 7 48" xfId="7281" xr:uid="{00000000-0005-0000-0000-0000801C0000}"/>
    <cellStyle name="Normal 7 49" xfId="7282" xr:uid="{00000000-0005-0000-0000-0000811C0000}"/>
    <cellStyle name="Normal 7 5" xfId="7283" xr:uid="{00000000-0005-0000-0000-0000821C0000}"/>
    <cellStyle name="Normal 7 5 2" xfId="7284" xr:uid="{00000000-0005-0000-0000-0000831C0000}"/>
    <cellStyle name="Normal 7 5 2 2" xfId="7285" xr:uid="{00000000-0005-0000-0000-0000841C0000}"/>
    <cellStyle name="Normal 7 5 3" xfId="7286" xr:uid="{00000000-0005-0000-0000-0000851C0000}"/>
    <cellStyle name="Normal 7 50" xfId="7287" xr:uid="{00000000-0005-0000-0000-0000861C0000}"/>
    <cellStyle name="Normal 7 51" xfId="7288" xr:uid="{00000000-0005-0000-0000-0000871C0000}"/>
    <cellStyle name="Normal 7 52" xfId="7289" xr:uid="{00000000-0005-0000-0000-0000881C0000}"/>
    <cellStyle name="Normal 7 53" xfId="7290" xr:uid="{00000000-0005-0000-0000-0000891C0000}"/>
    <cellStyle name="Normal 7 54" xfId="7291" xr:uid="{00000000-0005-0000-0000-00008A1C0000}"/>
    <cellStyle name="Normal 7 55" xfId="7292" xr:uid="{00000000-0005-0000-0000-00008B1C0000}"/>
    <cellStyle name="Normal 7 56" xfId="7293" xr:uid="{00000000-0005-0000-0000-00008C1C0000}"/>
    <cellStyle name="Normal 7 57" xfId="7294" xr:uid="{00000000-0005-0000-0000-00008D1C0000}"/>
    <cellStyle name="Normal 7 58" xfId="7295" xr:uid="{00000000-0005-0000-0000-00008E1C0000}"/>
    <cellStyle name="Normal 7 59" xfId="7296" xr:uid="{00000000-0005-0000-0000-00008F1C0000}"/>
    <cellStyle name="Normal 7 6" xfId="7297" xr:uid="{00000000-0005-0000-0000-0000901C0000}"/>
    <cellStyle name="Normal 7 6 2" xfId="7298" xr:uid="{00000000-0005-0000-0000-0000911C0000}"/>
    <cellStyle name="Normal 7 6 2 2" xfId="7299" xr:uid="{00000000-0005-0000-0000-0000921C0000}"/>
    <cellStyle name="Normal 7 6 3" xfId="7300" xr:uid="{00000000-0005-0000-0000-0000931C0000}"/>
    <cellStyle name="Normal 7 60" xfId="7301" xr:uid="{00000000-0005-0000-0000-0000941C0000}"/>
    <cellStyle name="Normal 7 61" xfId="7302" xr:uid="{00000000-0005-0000-0000-0000951C0000}"/>
    <cellStyle name="Normal 7 62" xfId="7303" xr:uid="{00000000-0005-0000-0000-0000961C0000}"/>
    <cellStyle name="Normal 7 63" xfId="7304" xr:uid="{00000000-0005-0000-0000-0000971C0000}"/>
    <cellStyle name="Normal 7 64" xfId="7305" xr:uid="{00000000-0005-0000-0000-0000981C0000}"/>
    <cellStyle name="Normal 7 65" xfId="7306" xr:uid="{00000000-0005-0000-0000-0000991C0000}"/>
    <cellStyle name="Normal 7 66" xfId="7307" xr:uid="{00000000-0005-0000-0000-00009A1C0000}"/>
    <cellStyle name="Normal 7 67" xfId="7308" xr:uid="{00000000-0005-0000-0000-00009B1C0000}"/>
    <cellStyle name="Normal 7 68" xfId="7309" xr:uid="{00000000-0005-0000-0000-00009C1C0000}"/>
    <cellStyle name="Normal 7 69" xfId="7310" xr:uid="{00000000-0005-0000-0000-00009D1C0000}"/>
    <cellStyle name="Normal 7 7" xfId="7311" xr:uid="{00000000-0005-0000-0000-00009E1C0000}"/>
    <cellStyle name="Normal 7 7 2" xfId="7312" xr:uid="{00000000-0005-0000-0000-00009F1C0000}"/>
    <cellStyle name="Normal 7 7 2 2" xfId="7313" xr:uid="{00000000-0005-0000-0000-0000A01C0000}"/>
    <cellStyle name="Normal 7 7 3" xfId="7314" xr:uid="{00000000-0005-0000-0000-0000A11C0000}"/>
    <cellStyle name="Normal 7 70" xfId="7315" xr:uid="{00000000-0005-0000-0000-0000A21C0000}"/>
    <cellStyle name="Normal 7 71" xfId="7316" xr:uid="{00000000-0005-0000-0000-0000A31C0000}"/>
    <cellStyle name="Normal 7 72" xfId="7317" xr:uid="{00000000-0005-0000-0000-0000A41C0000}"/>
    <cellStyle name="Normal 7 73" xfId="7318" xr:uid="{00000000-0005-0000-0000-0000A51C0000}"/>
    <cellStyle name="Normal 7 74" xfId="7319" xr:uid="{00000000-0005-0000-0000-0000A61C0000}"/>
    <cellStyle name="Normal 7 75" xfId="7320" xr:uid="{00000000-0005-0000-0000-0000A71C0000}"/>
    <cellStyle name="Normal 7 76" xfId="7321" xr:uid="{00000000-0005-0000-0000-0000A81C0000}"/>
    <cellStyle name="Normal 7 77" xfId="7322" xr:uid="{00000000-0005-0000-0000-0000A91C0000}"/>
    <cellStyle name="Normal 7 78" xfId="7323" xr:uid="{00000000-0005-0000-0000-0000AA1C0000}"/>
    <cellStyle name="Normal 7 79" xfId="7324" xr:uid="{00000000-0005-0000-0000-0000AB1C0000}"/>
    <cellStyle name="Normal 7 8" xfId="7325" xr:uid="{00000000-0005-0000-0000-0000AC1C0000}"/>
    <cellStyle name="Normal 7 8 2" xfId="7326" xr:uid="{00000000-0005-0000-0000-0000AD1C0000}"/>
    <cellStyle name="Normal 7 8 2 2" xfId="7327" xr:uid="{00000000-0005-0000-0000-0000AE1C0000}"/>
    <cellStyle name="Normal 7 8 3" xfId="7328" xr:uid="{00000000-0005-0000-0000-0000AF1C0000}"/>
    <cellStyle name="Normal 7 80" xfId="7329" xr:uid="{00000000-0005-0000-0000-0000B01C0000}"/>
    <cellStyle name="Normal 7 81" xfId="7330" xr:uid="{00000000-0005-0000-0000-0000B11C0000}"/>
    <cellStyle name="Normal 7 82" xfId="7331" xr:uid="{00000000-0005-0000-0000-0000B21C0000}"/>
    <cellStyle name="Normal 7 83" xfId="7332" xr:uid="{00000000-0005-0000-0000-0000B31C0000}"/>
    <cellStyle name="Normal 7 84" xfId="7333" xr:uid="{00000000-0005-0000-0000-0000B41C0000}"/>
    <cellStyle name="Normal 7 85" xfId="7334" xr:uid="{00000000-0005-0000-0000-0000B51C0000}"/>
    <cellStyle name="Normal 7 86" xfId="7335" xr:uid="{00000000-0005-0000-0000-0000B61C0000}"/>
    <cellStyle name="Normal 7 87" xfId="7336" xr:uid="{00000000-0005-0000-0000-0000B71C0000}"/>
    <cellStyle name="Normal 7 88" xfId="7337" xr:uid="{00000000-0005-0000-0000-0000B81C0000}"/>
    <cellStyle name="Normal 7 89" xfId="7338" xr:uid="{00000000-0005-0000-0000-0000B91C0000}"/>
    <cellStyle name="Normal 7 9" xfId="7339" xr:uid="{00000000-0005-0000-0000-0000BA1C0000}"/>
    <cellStyle name="Normal 7 9 2" xfId="7340" xr:uid="{00000000-0005-0000-0000-0000BB1C0000}"/>
    <cellStyle name="Normal 7 9 3" xfId="7341" xr:uid="{00000000-0005-0000-0000-0000BC1C0000}"/>
    <cellStyle name="Normal 7 9 4" xfId="7342" xr:uid="{00000000-0005-0000-0000-0000BD1C0000}"/>
    <cellStyle name="Normal 7 90" xfId="7343" xr:uid="{00000000-0005-0000-0000-0000BE1C0000}"/>
    <cellStyle name="Normal 7 91" xfId="7344" xr:uid="{00000000-0005-0000-0000-0000BF1C0000}"/>
    <cellStyle name="Normal 7 92" xfId="7345" xr:uid="{00000000-0005-0000-0000-0000C01C0000}"/>
    <cellStyle name="Normal 7 93" xfId="7346" xr:uid="{00000000-0005-0000-0000-0000C11C0000}"/>
    <cellStyle name="Normal 7 94" xfId="50" xr:uid="{00000000-0005-0000-0000-0000C21C0000}"/>
    <cellStyle name="Normal 7 95" xfId="7220" xr:uid="{00000000-0005-0000-0000-0000C31C0000}"/>
    <cellStyle name="Normal 70" xfId="7347" xr:uid="{00000000-0005-0000-0000-0000C41C0000}"/>
    <cellStyle name="Normal 71" xfId="7348" xr:uid="{00000000-0005-0000-0000-0000C51C0000}"/>
    <cellStyle name="Normal 72" xfId="7349" xr:uid="{00000000-0005-0000-0000-0000C61C0000}"/>
    <cellStyle name="Normal 73" xfId="7350" xr:uid="{00000000-0005-0000-0000-0000C71C0000}"/>
    <cellStyle name="Normal 74" xfId="7351" xr:uid="{00000000-0005-0000-0000-0000C81C0000}"/>
    <cellStyle name="Normal 75" xfId="7352" xr:uid="{00000000-0005-0000-0000-0000C91C0000}"/>
    <cellStyle name="Normal 76" xfId="7353" xr:uid="{00000000-0005-0000-0000-0000CA1C0000}"/>
    <cellStyle name="Normal 77" xfId="7354" xr:uid="{00000000-0005-0000-0000-0000CB1C0000}"/>
    <cellStyle name="Normal 78" xfId="7355" xr:uid="{00000000-0005-0000-0000-0000CC1C0000}"/>
    <cellStyle name="Normal 79" xfId="7356" xr:uid="{00000000-0005-0000-0000-0000CD1C0000}"/>
    <cellStyle name="Normal 8" xfId="41" xr:uid="{00000000-0005-0000-0000-0000CE1C0000}"/>
    <cellStyle name="Normal 8 10" xfId="7358" xr:uid="{00000000-0005-0000-0000-0000CF1C0000}"/>
    <cellStyle name="Normal 8 11" xfId="7359" xr:uid="{00000000-0005-0000-0000-0000D01C0000}"/>
    <cellStyle name="Normal 8 12" xfId="7360" xr:uid="{00000000-0005-0000-0000-0000D11C0000}"/>
    <cellStyle name="Normal 8 13" xfId="7361" xr:uid="{00000000-0005-0000-0000-0000D21C0000}"/>
    <cellStyle name="Normal 8 14" xfId="7362" xr:uid="{00000000-0005-0000-0000-0000D31C0000}"/>
    <cellStyle name="Normal 8 15" xfId="7363" xr:uid="{00000000-0005-0000-0000-0000D41C0000}"/>
    <cellStyle name="Normal 8 16" xfId="7364" xr:uid="{00000000-0005-0000-0000-0000D51C0000}"/>
    <cellStyle name="Normal 8 17" xfId="7365" xr:uid="{00000000-0005-0000-0000-0000D61C0000}"/>
    <cellStyle name="Normal 8 18" xfId="7366" xr:uid="{00000000-0005-0000-0000-0000D71C0000}"/>
    <cellStyle name="Normal 8 19" xfId="7367" xr:uid="{00000000-0005-0000-0000-0000D81C0000}"/>
    <cellStyle name="Normal 8 2" xfId="7368" xr:uid="{00000000-0005-0000-0000-0000D91C0000}"/>
    <cellStyle name="Normal 8 2 2" xfId="7369" xr:uid="{00000000-0005-0000-0000-0000DA1C0000}"/>
    <cellStyle name="Normal 8 2 2 2" xfId="7370" xr:uid="{00000000-0005-0000-0000-0000DB1C0000}"/>
    <cellStyle name="Normal 8 2 2 2 2" xfId="7371" xr:uid="{00000000-0005-0000-0000-0000DC1C0000}"/>
    <cellStyle name="Normal 8 2 2 2 2 2" xfId="7372" xr:uid="{00000000-0005-0000-0000-0000DD1C0000}"/>
    <cellStyle name="Normal 8 2 2 2 3" xfId="7373" xr:uid="{00000000-0005-0000-0000-0000DE1C0000}"/>
    <cellStyle name="Normal 8 2 2 3" xfId="7374" xr:uid="{00000000-0005-0000-0000-0000DF1C0000}"/>
    <cellStyle name="Normal 8 2 2 3 2" xfId="7375" xr:uid="{00000000-0005-0000-0000-0000E01C0000}"/>
    <cellStyle name="Normal 8 2 2 3 2 2" xfId="7376" xr:uid="{00000000-0005-0000-0000-0000E11C0000}"/>
    <cellStyle name="Normal 8 2 2 3 3" xfId="7377" xr:uid="{00000000-0005-0000-0000-0000E21C0000}"/>
    <cellStyle name="Normal 8 2 2 4" xfId="7378" xr:uid="{00000000-0005-0000-0000-0000E31C0000}"/>
    <cellStyle name="Normal 8 2 2 4 2" xfId="7379" xr:uid="{00000000-0005-0000-0000-0000E41C0000}"/>
    <cellStyle name="Normal 8 2 2 4 2 2" xfId="7380" xr:uid="{00000000-0005-0000-0000-0000E51C0000}"/>
    <cellStyle name="Normal 8 2 2 4 3" xfId="7381" xr:uid="{00000000-0005-0000-0000-0000E61C0000}"/>
    <cellStyle name="Normal 8 2 2 5" xfId="7382" xr:uid="{00000000-0005-0000-0000-0000E71C0000}"/>
    <cellStyle name="Normal 8 2 2 5 2" xfId="7383" xr:uid="{00000000-0005-0000-0000-0000E81C0000}"/>
    <cellStyle name="Normal 8 2 2 5 2 2" xfId="7384" xr:uid="{00000000-0005-0000-0000-0000E91C0000}"/>
    <cellStyle name="Normal 8 2 2 5 3" xfId="7385" xr:uid="{00000000-0005-0000-0000-0000EA1C0000}"/>
    <cellStyle name="Normal 8 2 2 6" xfId="7386" xr:uid="{00000000-0005-0000-0000-0000EB1C0000}"/>
    <cellStyle name="Normal 8 2 2 6 2" xfId="7387" xr:uid="{00000000-0005-0000-0000-0000EC1C0000}"/>
    <cellStyle name="Normal 8 2 2 7" xfId="7388" xr:uid="{00000000-0005-0000-0000-0000ED1C0000}"/>
    <cellStyle name="Normal 8 2 3" xfId="7389" xr:uid="{00000000-0005-0000-0000-0000EE1C0000}"/>
    <cellStyle name="Normal 8 2 3 2" xfId="7390" xr:uid="{00000000-0005-0000-0000-0000EF1C0000}"/>
    <cellStyle name="Normal 8 2 3 2 2" xfId="7391" xr:uid="{00000000-0005-0000-0000-0000F01C0000}"/>
    <cellStyle name="Normal 8 2 3 3" xfId="7392" xr:uid="{00000000-0005-0000-0000-0000F11C0000}"/>
    <cellStyle name="Normal 8 2 4" xfId="7393" xr:uid="{00000000-0005-0000-0000-0000F21C0000}"/>
    <cellStyle name="Normal 8 2 4 2" xfId="7394" xr:uid="{00000000-0005-0000-0000-0000F31C0000}"/>
    <cellStyle name="Normal 8 2 4 2 2" xfId="7395" xr:uid="{00000000-0005-0000-0000-0000F41C0000}"/>
    <cellStyle name="Normal 8 2 4 3" xfId="7396" xr:uid="{00000000-0005-0000-0000-0000F51C0000}"/>
    <cellStyle name="Normal 8 2 5" xfId="7397" xr:uid="{00000000-0005-0000-0000-0000F61C0000}"/>
    <cellStyle name="Normal 8 2 5 2" xfId="7398" xr:uid="{00000000-0005-0000-0000-0000F71C0000}"/>
    <cellStyle name="Normal 8 2 5 2 2" xfId="7399" xr:uid="{00000000-0005-0000-0000-0000F81C0000}"/>
    <cellStyle name="Normal 8 2 5 3" xfId="7400" xr:uid="{00000000-0005-0000-0000-0000F91C0000}"/>
    <cellStyle name="Normal 8 2 6" xfId="7401" xr:uid="{00000000-0005-0000-0000-0000FA1C0000}"/>
    <cellStyle name="Normal 8 2 6 2" xfId="7402" xr:uid="{00000000-0005-0000-0000-0000FB1C0000}"/>
    <cellStyle name="Normal 8 2 7" xfId="7403" xr:uid="{00000000-0005-0000-0000-0000FC1C0000}"/>
    <cellStyle name="Normal 8 20" xfId="7404" xr:uid="{00000000-0005-0000-0000-0000FD1C0000}"/>
    <cellStyle name="Normal 8 21" xfId="7405" xr:uid="{00000000-0005-0000-0000-0000FE1C0000}"/>
    <cellStyle name="Normal 8 22" xfId="7406" xr:uid="{00000000-0005-0000-0000-0000FF1C0000}"/>
    <cellStyle name="Normal 8 23" xfId="7407" xr:uid="{00000000-0005-0000-0000-0000001D0000}"/>
    <cellStyle name="Normal 8 24" xfId="7408" xr:uid="{00000000-0005-0000-0000-0000011D0000}"/>
    <cellStyle name="Normal 8 25" xfId="7409" xr:uid="{00000000-0005-0000-0000-0000021D0000}"/>
    <cellStyle name="Normal 8 26" xfId="7410" xr:uid="{00000000-0005-0000-0000-0000031D0000}"/>
    <cellStyle name="Normal 8 27" xfId="7411" xr:uid="{00000000-0005-0000-0000-0000041D0000}"/>
    <cellStyle name="Normal 8 28" xfId="7412" xr:uid="{00000000-0005-0000-0000-0000051D0000}"/>
    <cellStyle name="Normal 8 29" xfId="7413" xr:uid="{00000000-0005-0000-0000-0000061D0000}"/>
    <cellStyle name="Normal 8 3" xfId="7414" xr:uid="{00000000-0005-0000-0000-0000071D0000}"/>
    <cellStyle name="Normal 8 3 2" xfId="7415" xr:uid="{00000000-0005-0000-0000-0000081D0000}"/>
    <cellStyle name="Normal 8 3 2 2" xfId="7416" xr:uid="{00000000-0005-0000-0000-0000091D0000}"/>
    <cellStyle name="Normal 8 3 3" xfId="7417" xr:uid="{00000000-0005-0000-0000-00000A1D0000}"/>
    <cellStyle name="Normal 8 30" xfId="7418" xr:uid="{00000000-0005-0000-0000-00000B1D0000}"/>
    <cellStyle name="Normal 8 31" xfId="7419" xr:uid="{00000000-0005-0000-0000-00000C1D0000}"/>
    <cellStyle name="Normal 8 32" xfId="7420" xr:uid="{00000000-0005-0000-0000-00000D1D0000}"/>
    <cellStyle name="Normal 8 33" xfId="7421" xr:uid="{00000000-0005-0000-0000-00000E1D0000}"/>
    <cellStyle name="Normal 8 34" xfId="7422" xr:uid="{00000000-0005-0000-0000-00000F1D0000}"/>
    <cellStyle name="Normal 8 35" xfId="7423" xr:uid="{00000000-0005-0000-0000-0000101D0000}"/>
    <cellStyle name="Normal 8 36" xfId="7424" xr:uid="{00000000-0005-0000-0000-0000111D0000}"/>
    <cellStyle name="Normal 8 37" xfId="7425" xr:uid="{00000000-0005-0000-0000-0000121D0000}"/>
    <cellStyle name="Normal 8 38" xfId="7426" xr:uid="{00000000-0005-0000-0000-0000131D0000}"/>
    <cellStyle name="Normal 8 39" xfId="7427" xr:uid="{00000000-0005-0000-0000-0000141D0000}"/>
    <cellStyle name="Normal 8 39 2" xfId="7428" xr:uid="{00000000-0005-0000-0000-0000151D0000}"/>
    <cellStyle name="Normal 8 4" xfId="7429" xr:uid="{00000000-0005-0000-0000-0000161D0000}"/>
    <cellStyle name="Normal 8 4 2" xfId="7430" xr:uid="{00000000-0005-0000-0000-0000171D0000}"/>
    <cellStyle name="Normal 8 4 2 2" xfId="7431" xr:uid="{00000000-0005-0000-0000-0000181D0000}"/>
    <cellStyle name="Normal 8 4 3" xfId="7432" xr:uid="{00000000-0005-0000-0000-0000191D0000}"/>
    <cellStyle name="Normal 8 40" xfId="7433" xr:uid="{00000000-0005-0000-0000-00001A1D0000}"/>
    <cellStyle name="Normal 8 40 2" xfId="7434" xr:uid="{00000000-0005-0000-0000-00001B1D0000}"/>
    <cellStyle name="Normal 8 41" xfId="7435" xr:uid="{00000000-0005-0000-0000-00001C1D0000}"/>
    <cellStyle name="Normal 8 42" xfId="7436" xr:uid="{00000000-0005-0000-0000-00001D1D0000}"/>
    <cellStyle name="Normal 8 43" xfId="7437" xr:uid="{00000000-0005-0000-0000-00001E1D0000}"/>
    <cellStyle name="Normal 8 44" xfId="7438" xr:uid="{00000000-0005-0000-0000-00001F1D0000}"/>
    <cellStyle name="Normal 8 45" xfId="7439" xr:uid="{00000000-0005-0000-0000-0000201D0000}"/>
    <cellStyle name="Normal 8 46" xfId="7440" xr:uid="{00000000-0005-0000-0000-0000211D0000}"/>
    <cellStyle name="Normal 8 47" xfId="7441" xr:uid="{00000000-0005-0000-0000-0000221D0000}"/>
    <cellStyle name="Normal 8 48" xfId="7442" xr:uid="{00000000-0005-0000-0000-0000231D0000}"/>
    <cellStyle name="Normal 8 49" xfId="7443" xr:uid="{00000000-0005-0000-0000-0000241D0000}"/>
    <cellStyle name="Normal 8 5" xfId="7444" xr:uid="{00000000-0005-0000-0000-0000251D0000}"/>
    <cellStyle name="Normal 8 5 2" xfId="7445" xr:uid="{00000000-0005-0000-0000-0000261D0000}"/>
    <cellStyle name="Normal 8 5 2 2" xfId="7446" xr:uid="{00000000-0005-0000-0000-0000271D0000}"/>
    <cellStyle name="Normal 8 5 3" xfId="7447" xr:uid="{00000000-0005-0000-0000-0000281D0000}"/>
    <cellStyle name="Normal 8 50" xfId="7448" xr:uid="{00000000-0005-0000-0000-0000291D0000}"/>
    <cellStyle name="Normal 8 51" xfId="7449" xr:uid="{00000000-0005-0000-0000-00002A1D0000}"/>
    <cellStyle name="Normal 8 52" xfId="7450" xr:uid="{00000000-0005-0000-0000-00002B1D0000}"/>
    <cellStyle name="Normal 8 53" xfId="7451" xr:uid="{00000000-0005-0000-0000-00002C1D0000}"/>
    <cellStyle name="Normal 8 54" xfId="7452" xr:uid="{00000000-0005-0000-0000-00002D1D0000}"/>
    <cellStyle name="Normal 8 55" xfId="7453" xr:uid="{00000000-0005-0000-0000-00002E1D0000}"/>
    <cellStyle name="Normal 8 56" xfId="7454" xr:uid="{00000000-0005-0000-0000-00002F1D0000}"/>
    <cellStyle name="Normal 8 57" xfId="7455" xr:uid="{00000000-0005-0000-0000-0000301D0000}"/>
    <cellStyle name="Normal 8 58" xfId="7456" xr:uid="{00000000-0005-0000-0000-0000311D0000}"/>
    <cellStyle name="Normal 8 59" xfId="7457" xr:uid="{00000000-0005-0000-0000-0000321D0000}"/>
    <cellStyle name="Normal 8 6" xfId="7458" xr:uid="{00000000-0005-0000-0000-0000331D0000}"/>
    <cellStyle name="Normal 8 6 2" xfId="7459" xr:uid="{00000000-0005-0000-0000-0000341D0000}"/>
    <cellStyle name="Normal 8 6 2 2" xfId="7460" xr:uid="{00000000-0005-0000-0000-0000351D0000}"/>
    <cellStyle name="Normal 8 6 3" xfId="7461" xr:uid="{00000000-0005-0000-0000-0000361D0000}"/>
    <cellStyle name="Normal 8 60" xfId="7462" xr:uid="{00000000-0005-0000-0000-0000371D0000}"/>
    <cellStyle name="Normal 8 61" xfId="7463" xr:uid="{00000000-0005-0000-0000-0000381D0000}"/>
    <cellStyle name="Normal 8 62" xfId="7464" xr:uid="{00000000-0005-0000-0000-0000391D0000}"/>
    <cellStyle name="Normal 8 63" xfId="7465" xr:uid="{00000000-0005-0000-0000-00003A1D0000}"/>
    <cellStyle name="Normal 8 64" xfId="7466" xr:uid="{00000000-0005-0000-0000-00003B1D0000}"/>
    <cellStyle name="Normal 8 65" xfId="7467" xr:uid="{00000000-0005-0000-0000-00003C1D0000}"/>
    <cellStyle name="Normal 8 66" xfId="7468" xr:uid="{00000000-0005-0000-0000-00003D1D0000}"/>
    <cellStyle name="Normal 8 67" xfId="7469" xr:uid="{00000000-0005-0000-0000-00003E1D0000}"/>
    <cellStyle name="Normal 8 68" xfId="7470" xr:uid="{00000000-0005-0000-0000-00003F1D0000}"/>
    <cellStyle name="Normal 8 69" xfId="7471" xr:uid="{00000000-0005-0000-0000-0000401D0000}"/>
    <cellStyle name="Normal 8 7" xfId="7472" xr:uid="{00000000-0005-0000-0000-0000411D0000}"/>
    <cellStyle name="Normal 8 7 2" xfId="7473" xr:uid="{00000000-0005-0000-0000-0000421D0000}"/>
    <cellStyle name="Normal 8 70" xfId="7474" xr:uid="{00000000-0005-0000-0000-0000431D0000}"/>
    <cellStyle name="Normal 8 71" xfId="7475" xr:uid="{00000000-0005-0000-0000-0000441D0000}"/>
    <cellStyle name="Normal 8 72" xfId="7476" xr:uid="{00000000-0005-0000-0000-0000451D0000}"/>
    <cellStyle name="Normal 8 73" xfId="7477" xr:uid="{00000000-0005-0000-0000-0000461D0000}"/>
    <cellStyle name="Normal 8 74" xfId="7478" xr:uid="{00000000-0005-0000-0000-0000471D0000}"/>
    <cellStyle name="Normal 8 75" xfId="7479" xr:uid="{00000000-0005-0000-0000-0000481D0000}"/>
    <cellStyle name="Normal 8 76" xfId="7480" xr:uid="{00000000-0005-0000-0000-0000491D0000}"/>
    <cellStyle name="Normal 8 77" xfId="7481" xr:uid="{00000000-0005-0000-0000-00004A1D0000}"/>
    <cellStyle name="Normal 8 78" xfId="7482" xr:uid="{00000000-0005-0000-0000-00004B1D0000}"/>
    <cellStyle name="Normal 8 79" xfId="7483" xr:uid="{00000000-0005-0000-0000-00004C1D0000}"/>
    <cellStyle name="Normal 8 8" xfId="7484" xr:uid="{00000000-0005-0000-0000-00004D1D0000}"/>
    <cellStyle name="Normal 8 80" xfId="7485" xr:uid="{00000000-0005-0000-0000-00004E1D0000}"/>
    <cellStyle name="Normal 8 81" xfId="7486" xr:uid="{00000000-0005-0000-0000-00004F1D0000}"/>
    <cellStyle name="Normal 8 82" xfId="7487" xr:uid="{00000000-0005-0000-0000-0000501D0000}"/>
    <cellStyle name="Normal 8 83" xfId="7488" xr:uid="{00000000-0005-0000-0000-0000511D0000}"/>
    <cellStyle name="Normal 8 84" xfId="7489" xr:uid="{00000000-0005-0000-0000-0000521D0000}"/>
    <cellStyle name="Normal 8 85" xfId="7490" xr:uid="{00000000-0005-0000-0000-0000531D0000}"/>
    <cellStyle name="Normal 8 86" xfId="7491" xr:uid="{00000000-0005-0000-0000-0000541D0000}"/>
    <cellStyle name="Normal 8 87" xfId="7492" xr:uid="{00000000-0005-0000-0000-0000551D0000}"/>
    <cellStyle name="Normal 8 88" xfId="7493" xr:uid="{00000000-0005-0000-0000-0000561D0000}"/>
    <cellStyle name="Normal 8 89" xfId="7494" xr:uid="{00000000-0005-0000-0000-0000571D0000}"/>
    <cellStyle name="Normal 8 9" xfId="7495" xr:uid="{00000000-0005-0000-0000-0000581D0000}"/>
    <cellStyle name="Normal 8 90" xfId="7496" xr:uid="{00000000-0005-0000-0000-0000591D0000}"/>
    <cellStyle name="Normal 8 91" xfId="7497" xr:uid="{00000000-0005-0000-0000-00005A1D0000}"/>
    <cellStyle name="Normal 8 92" xfId="7498" xr:uid="{00000000-0005-0000-0000-00005B1D0000}"/>
    <cellStyle name="Normal 8 92 2" xfId="7499" xr:uid="{00000000-0005-0000-0000-00005C1D0000}"/>
    <cellStyle name="Normal 8 93" xfId="7500" xr:uid="{00000000-0005-0000-0000-00005D1D0000}"/>
    <cellStyle name="Normal 8 94" xfId="7501" xr:uid="{00000000-0005-0000-0000-00005E1D0000}"/>
    <cellStyle name="Normal 8 95" xfId="7357" xr:uid="{00000000-0005-0000-0000-00005F1D0000}"/>
    <cellStyle name="Normal 8 96 2 2 2 2 2 2 2" xfId="9496" xr:uid="{57BD9FB3-3C64-4CFC-B19B-23DF40D86AF5}"/>
    <cellStyle name="Normal 8 96 2 2 2 2 3" xfId="49" xr:uid="{00000000-0005-0000-0000-0000601D0000}"/>
    <cellStyle name="Normal 80" xfId="7502" xr:uid="{00000000-0005-0000-0000-0000611D0000}"/>
    <cellStyle name="Normal 81" xfId="7503" xr:uid="{00000000-0005-0000-0000-0000621D0000}"/>
    <cellStyle name="Normal 82" xfId="7504" xr:uid="{00000000-0005-0000-0000-0000631D0000}"/>
    <cellStyle name="Normal 83" xfId="7505" xr:uid="{00000000-0005-0000-0000-0000641D0000}"/>
    <cellStyle name="Normal 84" xfId="7506" xr:uid="{00000000-0005-0000-0000-0000651D0000}"/>
    <cellStyle name="Normal 85" xfId="7507" xr:uid="{00000000-0005-0000-0000-0000661D0000}"/>
    <cellStyle name="Normal 86" xfId="7508" xr:uid="{00000000-0005-0000-0000-0000671D0000}"/>
    <cellStyle name="Normal 87" xfId="7509" xr:uid="{00000000-0005-0000-0000-0000681D0000}"/>
    <cellStyle name="Normal 88" xfId="7510" xr:uid="{00000000-0005-0000-0000-0000691D0000}"/>
    <cellStyle name="Normal 89" xfId="7511" xr:uid="{00000000-0005-0000-0000-00006A1D0000}"/>
    <cellStyle name="Normal 89 2" xfId="7512" xr:uid="{00000000-0005-0000-0000-00006B1D0000}"/>
    <cellStyle name="Normal 9" xfId="7513" xr:uid="{00000000-0005-0000-0000-00006C1D0000}"/>
    <cellStyle name="Normal 9 10" xfId="7514" xr:uid="{00000000-0005-0000-0000-00006D1D0000}"/>
    <cellStyle name="Normal 9 11" xfId="7515" xr:uid="{00000000-0005-0000-0000-00006E1D0000}"/>
    <cellStyle name="Normal 9 12" xfId="7516" xr:uid="{00000000-0005-0000-0000-00006F1D0000}"/>
    <cellStyle name="Normal 9 13" xfId="7517" xr:uid="{00000000-0005-0000-0000-0000701D0000}"/>
    <cellStyle name="Normal 9 14" xfId="7518" xr:uid="{00000000-0005-0000-0000-0000711D0000}"/>
    <cellStyle name="Normal 9 15" xfId="7519" xr:uid="{00000000-0005-0000-0000-0000721D0000}"/>
    <cellStyle name="Normal 9 16" xfId="7520" xr:uid="{00000000-0005-0000-0000-0000731D0000}"/>
    <cellStyle name="Normal 9 17" xfId="7521" xr:uid="{00000000-0005-0000-0000-0000741D0000}"/>
    <cellStyle name="Normal 9 18" xfId="7522" xr:uid="{00000000-0005-0000-0000-0000751D0000}"/>
    <cellStyle name="Normal 9 19" xfId="7523" xr:uid="{00000000-0005-0000-0000-0000761D0000}"/>
    <cellStyle name="Normal 9 2" xfId="7524" xr:uid="{00000000-0005-0000-0000-0000771D0000}"/>
    <cellStyle name="Normal 9 2 2" xfId="7525" xr:uid="{00000000-0005-0000-0000-0000781D0000}"/>
    <cellStyle name="Normal 9 2 3" xfId="9500" xr:uid="{A7EE7F00-E491-431D-B56F-826BC14D31A9}"/>
    <cellStyle name="Normal 9 20" xfId="7526" xr:uid="{00000000-0005-0000-0000-0000791D0000}"/>
    <cellStyle name="Normal 9 21" xfId="7527" xr:uid="{00000000-0005-0000-0000-00007A1D0000}"/>
    <cellStyle name="Normal 9 22" xfId="7528" xr:uid="{00000000-0005-0000-0000-00007B1D0000}"/>
    <cellStyle name="Normal 9 23" xfId="7529" xr:uid="{00000000-0005-0000-0000-00007C1D0000}"/>
    <cellStyle name="Normal 9 24" xfId="7530" xr:uid="{00000000-0005-0000-0000-00007D1D0000}"/>
    <cellStyle name="Normal 9 25" xfId="7531" xr:uid="{00000000-0005-0000-0000-00007E1D0000}"/>
    <cellStyle name="Normal 9 26" xfId="7532" xr:uid="{00000000-0005-0000-0000-00007F1D0000}"/>
    <cellStyle name="Normal 9 27" xfId="7533" xr:uid="{00000000-0005-0000-0000-0000801D0000}"/>
    <cellStyle name="Normal 9 28" xfId="7534" xr:uid="{00000000-0005-0000-0000-0000811D0000}"/>
    <cellStyle name="Normal 9 29" xfId="7535" xr:uid="{00000000-0005-0000-0000-0000821D0000}"/>
    <cellStyle name="Normal 9 3" xfId="7536" xr:uid="{00000000-0005-0000-0000-0000831D0000}"/>
    <cellStyle name="Normal 9 30" xfId="7537" xr:uid="{00000000-0005-0000-0000-0000841D0000}"/>
    <cellStyle name="Normal 9 31" xfId="7538" xr:uid="{00000000-0005-0000-0000-0000851D0000}"/>
    <cellStyle name="Normal 9 32" xfId="7539" xr:uid="{00000000-0005-0000-0000-0000861D0000}"/>
    <cellStyle name="Normal 9 33" xfId="7540" xr:uid="{00000000-0005-0000-0000-0000871D0000}"/>
    <cellStyle name="Normal 9 34" xfId="7541" xr:uid="{00000000-0005-0000-0000-0000881D0000}"/>
    <cellStyle name="Normal 9 35" xfId="7542" xr:uid="{00000000-0005-0000-0000-0000891D0000}"/>
    <cellStyle name="Normal 9 36" xfId="7543" xr:uid="{00000000-0005-0000-0000-00008A1D0000}"/>
    <cellStyle name="Normal 9 37" xfId="7544" xr:uid="{00000000-0005-0000-0000-00008B1D0000}"/>
    <cellStyle name="Normal 9 38" xfId="7545" xr:uid="{00000000-0005-0000-0000-00008C1D0000}"/>
    <cellStyle name="Normal 9 39" xfId="7546" xr:uid="{00000000-0005-0000-0000-00008D1D0000}"/>
    <cellStyle name="Normal 9 4" xfId="7547" xr:uid="{00000000-0005-0000-0000-00008E1D0000}"/>
    <cellStyle name="Normal 9 40" xfId="7548" xr:uid="{00000000-0005-0000-0000-00008F1D0000}"/>
    <cellStyle name="Normal 9 41" xfId="7549" xr:uid="{00000000-0005-0000-0000-0000901D0000}"/>
    <cellStyle name="Normal 9 42" xfId="7550" xr:uid="{00000000-0005-0000-0000-0000911D0000}"/>
    <cellStyle name="Normal 9 43" xfId="7551" xr:uid="{00000000-0005-0000-0000-0000921D0000}"/>
    <cellStyle name="Normal 9 44" xfId="7552" xr:uid="{00000000-0005-0000-0000-0000931D0000}"/>
    <cellStyle name="Normal 9 45" xfId="7553" xr:uid="{00000000-0005-0000-0000-0000941D0000}"/>
    <cellStyle name="Normal 9 46" xfId="7554" xr:uid="{00000000-0005-0000-0000-0000951D0000}"/>
    <cellStyle name="Normal 9 47" xfId="7555" xr:uid="{00000000-0005-0000-0000-0000961D0000}"/>
    <cellStyle name="Normal 9 48" xfId="7556" xr:uid="{00000000-0005-0000-0000-0000971D0000}"/>
    <cellStyle name="Normal 9 49" xfId="7557" xr:uid="{00000000-0005-0000-0000-0000981D0000}"/>
    <cellStyle name="Normal 9 5" xfId="7558" xr:uid="{00000000-0005-0000-0000-0000991D0000}"/>
    <cellStyle name="Normal 9 50" xfId="7559" xr:uid="{00000000-0005-0000-0000-00009A1D0000}"/>
    <cellStyle name="Normal 9 51" xfId="7560" xr:uid="{00000000-0005-0000-0000-00009B1D0000}"/>
    <cellStyle name="Normal 9 52" xfId="7561" xr:uid="{00000000-0005-0000-0000-00009C1D0000}"/>
    <cellStyle name="Normal 9 53" xfId="7562" xr:uid="{00000000-0005-0000-0000-00009D1D0000}"/>
    <cellStyle name="Normal 9 54" xfId="7563" xr:uid="{00000000-0005-0000-0000-00009E1D0000}"/>
    <cellStyle name="Normal 9 55" xfId="7564" xr:uid="{00000000-0005-0000-0000-00009F1D0000}"/>
    <cellStyle name="Normal 9 56" xfId="7565" xr:uid="{00000000-0005-0000-0000-0000A01D0000}"/>
    <cellStyle name="Normal 9 57" xfId="7566" xr:uid="{00000000-0005-0000-0000-0000A11D0000}"/>
    <cellStyle name="Normal 9 58" xfId="7567" xr:uid="{00000000-0005-0000-0000-0000A21D0000}"/>
    <cellStyle name="Normal 9 59" xfId="7568" xr:uid="{00000000-0005-0000-0000-0000A31D0000}"/>
    <cellStyle name="Normal 9 6" xfId="7569" xr:uid="{00000000-0005-0000-0000-0000A41D0000}"/>
    <cellStyle name="Normal 9 60" xfId="7570" xr:uid="{00000000-0005-0000-0000-0000A51D0000}"/>
    <cellStyle name="Normal 9 61" xfId="7571" xr:uid="{00000000-0005-0000-0000-0000A61D0000}"/>
    <cellStyle name="Normal 9 62" xfId="7572" xr:uid="{00000000-0005-0000-0000-0000A71D0000}"/>
    <cellStyle name="Normal 9 63" xfId="7573" xr:uid="{00000000-0005-0000-0000-0000A81D0000}"/>
    <cellStyle name="Normal 9 64" xfId="7574" xr:uid="{00000000-0005-0000-0000-0000A91D0000}"/>
    <cellStyle name="Normal 9 65" xfId="7575" xr:uid="{00000000-0005-0000-0000-0000AA1D0000}"/>
    <cellStyle name="Normal 9 66" xfId="7576" xr:uid="{00000000-0005-0000-0000-0000AB1D0000}"/>
    <cellStyle name="Normal 9 67" xfId="7577" xr:uid="{00000000-0005-0000-0000-0000AC1D0000}"/>
    <cellStyle name="Normal 9 68" xfId="7578" xr:uid="{00000000-0005-0000-0000-0000AD1D0000}"/>
    <cellStyle name="Normal 9 69" xfId="7579" xr:uid="{00000000-0005-0000-0000-0000AE1D0000}"/>
    <cellStyle name="Normal 9 7" xfId="7580" xr:uid="{00000000-0005-0000-0000-0000AF1D0000}"/>
    <cellStyle name="Normal 9 70" xfId="7581" xr:uid="{00000000-0005-0000-0000-0000B01D0000}"/>
    <cellStyle name="Normal 9 71" xfId="7582" xr:uid="{00000000-0005-0000-0000-0000B11D0000}"/>
    <cellStyle name="Normal 9 72" xfId="7583" xr:uid="{00000000-0005-0000-0000-0000B21D0000}"/>
    <cellStyle name="Normal 9 73" xfId="7584" xr:uid="{00000000-0005-0000-0000-0000B31D0000}"/>
    <cellStyle name="Normal 9 74" xfId="7585" xr:uid="{00000000-0005-0000-0000-0000B41D0000}"/>
    <cellStyle name="Normal 9 75" xfId="7586" xr:uid="{00000000-0005-0000-0000-0000B51D0000}"/>
    <cellStyle name="Normal 9 76" xfId="7587" xr:uid="{00000000-0005-0000-0000-0000B61D0000}"/>
    <cellStyle name="Normal 9 77" xfId="7588" xr:uid="{00000000-0005-0000-0000-0000B71D0000}"/>
    <cellStyle name="Normal 9 78" xfId="7589" xr:uid="{00000000-0005-0000-0000-0000B81D0000}"/>
    <cellStyle name="Normal 9 79" xfId="7590" xr:uid="{00000000-0005-0000-0000-0000B91D0000}"/>
    <cellStyle name="Normal 9 8" xfId="7591" xr:uid="{00000000-0005-0000-0000-0000BA1D0000}"/>
    <cellStyle name="Normal 9 80" xfId="7592" xr:uid="{00000000-0005-0000-0000-0000BB1D0000}"/>
    <cellStyle name="Normal 9 81" xfId="7593" xr:uid="{00000000-0005-0000-0000-0000BC1D0000}"/>
    <cellStyle name="Normal 9 82" xfId="7594" xr:uid="{00000000-0005-0000-0000-0000BD1D0000}"/>
    <cellStyle name="Normal 9 83" xfId="7595" xr:uid="{00000000-0005-0000-0000-0000BE1D0000}"/>
    <cellStyle name="Normal 9 84" xfId="7596" xr:uid="{00000000-0005-0000-0000-0000BF1D0000}"/>
    <cellStyle name="Normal 9 85" xfId="7597" xr:uid="{00000000-0005-0000-0000-0000C01D0000}"/>
    <cellStyle name="Normal 9 86" xfId="7598" xr:uid="{00000000-0005-0000-0000-0000C11D0000}"/>
    <cellStyle name="Normal 9 87" xfId="7599" xr:uid="{00000000-0005-0000-0000-0000C21D0000}"/>
    <cellStyle name="Normal 9 88" xfId="7600" xr:uid="{00000000-0005-0000-0000-0000C31D0000}"/>
    <cellStyle name="Normal 9 89" xfId="7601" xr:uid="{00000000-0005-0000-0000-0000C41D0000}"/>
    <cellStyle name="Normal 9 9" xfId="7602" xr:uid="{00000000-0005-0000-0000-0000C51D0000}"/>
    <cellStyle name="Normal 9 90" xfId="7603" xr:uid="{00000000-0005-0000-0000-0000C61D0000}"/>
    <cellStyle name="Normal 9 91" xfId="7604" xr:uid="{00000000-0005-0000-0000-0000C71D0000}"/>
    <cellStyle name="Normal 90" xfId="7605" xr:uid="{00000000-0005-0000-0000-0000C81D0000}"/>
    <cellStyle name="Normal 90 2" xfId="7606" xr:uid="{00000000-0005-0000-0000-0000C91D0000}"/>
    <cellStyle name="Normal 90 3" xfId="7607" xr:uid="{00000000-0005-0000-0000-0000CA1D0000}"/>
    <cellStyle name="Normal 91" xfId="7608" xr:uid="{00000000-0005-0000-0000-0000CB1D0000}"/>
    <cellStyle name="Normal 91 2" xfId="7609" xr:uid="{00000000-0005-0000-0000-0000CC1D0000}"/>
    <cellStyle name="Normal 92" xfId="7610" xr:uid="{00000000-0005-0000-0000-0000CD1D0000}"/>
    <cellStyle name="Normal 93" xfId="7611" xr:uid="{00000000-0005-0000-0000-0000CE1D0000}"/>
    <cellStyle name="Normal 94" xfId="7612" xr:uid="{00000000-0005-0000-0000-0000CF1D0000}"/>
    <cellStyle name="Normal 95" xfId="7613" xr:uid="{00000000-0005-0000-0000-0000D01D0000}"/>
    <cellStyle name="Normal 95 2" xfId="7614" xr:uid="{00000000-0005-0000-0000-0000D11D0000}"/>
    <cellStyle name="Normal 96" xfId="7615" xr:uid="{00000000-0005-0000-0000-0000D21D0000}"/>
    <cellStyle name="Normal 97" xfId="7616" xr:uid="{00000000-0005-0000-0000-0000D31D0000}"/>
    <cellStyle name="Normal 98" xfId="7617" xr:uid="{00000000-0005-0000-0000-0000D41D0000}"/>
    <cellStyle name="Normal 99" xfId="7618" xr:uid="{00000000-0005-0000-0000-0000D51D0000}"/>
    <cellStyle name="Normal FICA" xfId="7619" xr:uid="{00000000-0005-0000-0000-0000D61D0000}"/>
    <cellStyle name="Normal FUI" xfId="7620" xr:uid="{00000000-0005-0000-0000-0000D71D0000}"/>
    <cellStyle name="Normal Other Benefits" xfId="7621" xr:uid="{00000000-0005-0000-0000-0000D81D0000}"/>
    <cellStyle name="Note 2" xfId="7622" xr:uid="{00000000-0005-0000-0000-0000D91D0000}"/>
    <cellStyle name="Note 2 2" xfId="7623" xr:uid="{00000000-0005-0000-0000-0000DA1D0000}"/>
    <cellStyle name="Note 2 2 2" xfId="7624" xr:uid="{00000000-0005-0000-0000-0000DB1D0000}"/>
    <cellStyle name="Note 2 2 3" xfId="7625" xr:uid="{00000000-0005-0000-0000-0000DC1D0000}"/>
    <cellStyle name="Note 2 3" xfId="7626" xr:uid="{00000000-0005-0000-0000-0000DD1D0000}"/>
    <cellStyle name="Note 2 3 2" xfId="7627" xr:uid="{00000000-0005-0000-0000-0000DE1D0000}"/>
    <cellStyle name="Note 2 4" xfId="7628" xr:uid="{00000000-0005-0000-0000-0000DF1D0000}"/>
    <cellStyle name="Note 2 4 2" xfId="7629" xr:uid="{00000000-0005-0000-0000-0000E01D0000}"/>
    <cellStyle name="Note 2 5" xfId="7630" xr:uid="{00000000-0005-0000-0000-0000E11D0000}"/>
    <cellStyle name="Note 2 5 2" xfId="7631" xr:uid="{00000000-0005-0000-0000-0000E21D0000}"/>
    <cellStyle name="Note 3" xfId="7632" xr:uid="{00000000-0005-0000-0000-0000E31D0000}"/>
    <cellStyle name="Note 3 2" xfId="7633" xr:uid="{00000000-0005-0000-0000-0000E41D0000}"/>
    <cellStyle name="Note 3 3" xfId="7634" xr:uid="{00000000-0005-0000-0000-0000E51D0000}"/>
    <cellStyle name="Note 4" xfId="7635" xr:uid="{00000000-0005-0000-0000-0000E61D0000}"/>
    <cellStyle name="Note 4 2" xfId="7636" xr:uid="{00000000-0005-0000-0000-0000E71D0000}"/>
    <cellStyle name="Note 5" xfId="7637" xr:uid="{00000000-0005-0000-0000-0000E81D0000}"/>
    <cellStyle name="Output 2" xfId="7638" xr:uid="{00000000-0005-0000-0000-0000E91D0000}"/>
    <cellStyle name="Output 3" xfId="7639" xr:uid="{00000000-0005-0000-0000-0000EA1D0000}"/>
    <cellStyle name="Output 4" xfId="7640" xr:uid="{00000000-0005-0000-0000-0000EB1D0000}"/>
    <cellStyle name="Output 5" xfId="7641" xr:uid="{00000000-0005-0000-0000-0000EC1D0000}"/>
    <cellStyle name="Output 6" xfId="7642" xr:uid="{00000000-0005-0000-0000-0000ED1D0000}"/>
    <cellStyle name="Output 7" xfId="7643" xr:uid="{00000000-0005-0000-0000-0000EE1D0000}"/>
    <cellStyle name="Output Amounts" xfId="7644" xr:uid="{00000000-0005-0000-0000-0000EF1D0000}"/>
    <cellStyle name="Output Column Headings" xfId="7645" xr:uid="{00000000-0005-0000-0000-0000F01D0000}"/>
    <cellStyle name="Output Line Items" xfId="7646" xr:uid="{00000000-0005-0000-0000-0000F11D0000}"/>
    <cellStyle name="Output Report Heading" xfId="7647" xr:uid="{00000000-0005-0000-0000-0000F21D0000}"/>
    <cellStyle name="Output Report Title" xfId="7648" xr:uid="{00000000-0005-0000-0000-0000F31D0000}"/>
    <cellStyle name="Percent" xfId="1" builtinId="5"/>
    <cellStyle name="Percent 10" xfId="7649" xr:uid="{00000000-0005-0000-0000-0000F51D0000}"/>
    <cellStyle name="Percent 10 2" xfId="7650" xr:uid="{00000000-0005-0000-0000-0000F61D0000}"/>
    <cellStyle name="Percent 11" xfId="7651" xr:uid="{00000000-0005-0000-0000-0000F71D0000}"/>
    <cellStyle name="Percent 11 2" xfId="7652" xr:uid="{00000000-0005-0000-0000-0000F81D0000}"/>
    <cellStyle name="Percent 12" xfId="7653" xr:uid="{00000000-0005-0000-0000-0000F91D0000}"/>
    <cellStyle name="Percent 12 2" xfId="7654" xr:uid="{00000000-0005-0000-0000-0000FA1D0000}"/>
    <cellStyle name="Percent 13" xfId="7655" xr:uid="{00000000-0005-0000-0000-0000FB1D0000}"/>
    <cellStyle name="Percent 13 2" xfId="7656" xr:uid="{00000000-0005-0000-0000-0000FC1D0000}"/>
    <cellStyle name="Percent 14" xfId="7657" xr:uid="{00000000-0005-0000-0000-0000FD1D0000}"/>
    <cellStyle name="Percent 14 2" xfId="7658" xr:uid="{00000000-0005-0000-0000-0000FE1D0000}"/>
    <cellStyle name="Percent 15" xfId="7659" xr:uid="{00000000-0005-0000-0000-0000FF1D0000}"/>
    <cellStyle name="Percent 15 2" xfId="7660" xr:uid="{00000000-0005-0000-0000-0000001E0000}"/>
    <cellStyle name="Percent 16" xfId="7661" xr:uid="{00000000-0005-0000-0000-0000011E0000}"/>
    <cellStyle name="Percent 16 2" xfId="7662" xr:uid="{00000000-0005-0000-0000-0000021E0000}"/>
    <cellStyle name="Percent 17" xfId="7663" xr:uid="{00000000-0005-0000-0000-0000031E0000}"/>
    <cellStyle name="Percent 17 2" xfId="7664" xr:uid="{00000000-0005-0000-0000-0000041E0000}"/>
    <cellStyle name="Percent 18" xfId="7665" xr:uid="{00000000-0005-0000-0000-0000051E0000}"/>
    <cellStyle name="Percent 18 2" xfId="7666" xr:uid="{00000000-0005-0000-0000-0000061E0000}"/>
    <cellStyle name="Percent 19" xfId="7667" xr:uid="{00000000-0005-0000-0000-0000071E0000}"/>
    <cellStyle name="Percent 19 2" xfId="7668" xr:uid="{00000000-0005-0000-0000-0000081E0000}"/>
    <cellStyle name="Percent 2" xfId="55" xr:uid="{00000000-0005-0000-0000-0000091E0000}"/>
    <cellStyle name="Percent 2 10" xfId="7669" xr:uid="{00000000-0005-0000-0000-00000A1E0000}"/>
    <cellStyle name="Percent 2 10 2" xfId="7670" xr:uid="{00000000-0005-0000-0000-00000B1E0000}"/>
    <cellStyle name="Percent 2 10 2 2" xfId="7671" xr:uid="{00000000-0005-0000-0000-00000C1E0000}"/>
    <cellStyle name="Percent 2 10 2 3" xfId="7672" xr:uid="{00000000-0005-0000-0000-00000D1E0000}"/>
    <cellStyle name="Percent 2 10 3" xfId="7673" xr:uid="{00000000-0005-0000-0000-00000E1E0000}"/>
    <cellStyle name="Percent 2 100" xfId="7674" xr:uid="{00000000-0005-0000-0000-00000F1E0000}"/>
    <cellStyle name="Percent 2 101" xfId="7675" xr:uid="{00000000-0005-0000-0000-0000101E0000}"/>
    <cellStyle name="Percent 2 102" xfId="7676" xr:uid="{00000000-0005-0000-0000-0000111E0000}"/>
    <cellStyle name="Percent 2 103" xfId="7677" xr:uid="{00000000-0005-0000-0000-0000121E0000}"/>
    <cellStyle name="Percent 2 104" xfId="7678" xr:uid="{00000000-0005-0000-0000-0000131E0000}"/>
    <cellStyle name="Percent 2 105" xfId="7679" xr:uid="{00000000-0005-0000-0000-0000141E0000}"/>
    <cellStyle name="Percent 2 106" xfId="7680" xr:uid="{00000000-0005-0000-0000-0000151E0000}"/>
    <cellStyle name="Percent 2 107" xfId="7681" xr:uid="{00000000-0005-0000-0000-0000161E0000}"/>
    <cellStyle name="Percent 2 108" xfId="7682" xr:uid="{00000000-0005-0000-0000-0000171E0000}"/>
    <cellStyle name="Percent 2 109" xfId="7683" xr:uid="{00000000-0005-0000-0000-0000181E0000}"/>
    <cellStyle name="Percent 2 11" xfId="7684" xr:uid="{00000000-0005-0000-0000-0000191E0000}"/>
    <cellStyle name="Percent 2 11 2" xfId="7685" xr:uid="{00000000-0005-0000-0000-00001A1E0000}"/>
    <cellStyle name="Percent 2 11 2 2" xfId="7686" xr:uid="{00000000-0005-0000-0000-00001B1E0000}"/>
    <cellStyle name="Percent 2 11 2 3" xfId="7687" xr:uid="{00000000-0005-0000-0000-00001C1E0000}"/>
    <cellStyle name="Percent 2 11 3" xfId="7688" xr:uid="{00000000-0005-0000-0000-00001D1E0000}"/>
    <cellStyle name="Percent 2 110" xfId="7689" xr:uid="{00000000-0005-0000-0000-00001E1E0000}"/>
    <cellStyle name="Percent 2 111" xfId="7690" xr:uid="{00000000-0005-0000-0000-00001F1E0000}"/>
    <cellStyle name="Percent 2 112" xfId="7691" xr:uid="{00000000-0005-0000-0000-0000201E0000}"/>
    <cellStyle name="Percent 2 113" xfId="7692" xr:uid="{00000000-0005-0000-0000-0000211E0000}"/>
    <cellStyle name="Percent 2 114" xfId="7693" xr:uid="{00000000-0005-0000-0000-0000221E0000}"/>
    <cellStyle name="Percent 2 115" xfId="7694" xr:uid="{00000000-0005-0000-0000-0000231E0000}"/>
    <cellStyle name="Percent 2 116" xfId="7695" xr:uid="{00000000-0005-0000-0000-0000241E0000}"/>
    <cellStyle name="Percent 2 117" xfId="7696" xr:uid="{00000000-0005-0000-0000-0000251E0000}"/>
    <cellStyle name="Percent 2 118" xfId="7697" xr:uid="{00000000-0005-0000-0000-0000261E0000}"/>
    <cellStyle name="Percent 2 119" xfId="7698" xr:uid="{00000000-0005-0000-0000-0000271E0000}"/>
    <cellStyle name="Percent 2 12" xfId="7699" xr:uid="{00000000-0005-0000-0000-0000281E0000}"/>
    <cellStyle name="Percent 2 12 2" xfId="7700" xr:uid="{00000000-0005-0000-0000-0000291E0000}"/>
    <cellStyle name="Percent 2 12 2 2" xfId="7701" xr:uid="{00000000-0005-0000-0000-00002A1E0000}"/>
    <cellStyle name="Percent 2 12 2 3" xfId="7702" xr:uid="{00000000-0005-0000-0000-00002B1E0000}"/>
    <cellStyle name="Percent 2 12 3" xfId="7703" xr:uid="{00000000-0005-0000-0000-00002C1E0000}"/>
    <cellStyle name="Percent 2 120" xfId="7704" xr:uid="{00000000-0005-0000-0000-00002D1E0000}"/>
    <cellStyle name="Percent 2 121" xfId="7705" xr:uid="{00000000-0005-0000-0000-00002E1E0000}"/>
    <cellStyle name="Percent 2 122" xfId="7706" xr:uid="{00000000-0005-0000-0000-00002F1E0000}"/>
    <cellStyle name="Percent 2 123" xfId="7707" xr:uid="{00000000-0005-0000-0000-0000301E0000}"/>
    <cellStyle name="Percent 2 124" xfId="7708" xr:uid="{00000000-0005-0000-0000-0000311E0000}"/>
    <cellStyle name="Percent 2 125" xfId="7709" xr:uid="{00000000-0005-0000-0000-0000321E0000}"/>
    <cellStyle name="Percent 2 126" xfId="7710" xr:uid="{00000000-0005-0000-0000-0000331E0000}"/>
    <cellStyle name="Percent 2 127" xfId="7711" xr:uid="{00000000-0005-0000-0000-0000341E0000}"/>
    <cellStyle name="Percent 2 128" xfId="7712" xr:uid="{00000000-0005-0000-0000-0000351E0000}"/>
    <cellStyle name="Percent 2 129" xfId="7713" xr:uid="{00000000-0005-0000-0000-0000361E0000}"/>
    <cellStyle name="Percent 2 13" xfId="7714" xr:uid="{00000000-0005-0000-0000-0000371E0000}"/>
    <cellStyle name="Percent 2 13 2" xfId="7715" xr:uid="{00000000-0005-0000-0000-0000381E0000}"/>
    <cellStyle name="Percent 2 13 2 2" xfId="7716" xr:uid="{00000000-0005-0000-0000-0000391E0000}"/>
    <cellStyle name="Percent 2 13 2 3" xfId="7717" xr:uid="{00000000-0005-0000-0000-00003A1E0000}"/>
    <cellStyle name="Percent 2 13 3" xfId="7718" xr:uid="{00000000-0005-0000-0000-00003B1E0000}"/>
    <cellStyle name="Percent 2 130" xfId="7719" xr:uid="{00000000-0005-0000-0000-00003C1E0000}"/>
    <cellStyle name="Percent 2 131" xfId="7720" xr:uid="{00000000-0005-0000-0000-00003D1E0000}"/>
    <cellStyle name="Percent 2 132" xfId="7721" xr:uid="{00000000-0005-0000-0000-00003E1E0000}"/>
    <cellStyle name="Percent 2 133" xfId="7722" xr:uid="{00000000-0005-0000-0000-00003F1E0000}"/>
    <cellStyle name="Percent 2 134" xfId="7723" xr:uid="{00000000-0005-0000-0000-0000401E0000}"/>
    <cellStyle name="Percent 2 135" xfId="7724" xr:uid="{00000000-0005-0000-0000-0000411E0000}"/>
    <cellStyle name="Percent 2 136" xfId="7725" xr:uid="{00000000-0005-0000-0000-0000421E0000}"/>
    <cellStyle name="Percent 2 137" xfId="7726" xr:uid="{00000000-0005-0000-0000-0000431E0000}"/>
    <cellStyle name="Percent 2 138" xfId="7727" xr:uid="{00000000-0005-0000-0000-0000441E0000}"/>
    <cellStyle name="Percent 2 139" xfId="7728" xr:uid="{00000000-0005-0000-0000-0000451E0000}"/>
    <cellStyle name="Percent 2 14" xfId="7729" xr:uid="{00000000-0005-0000-0000-0000461E0000}"/>
    <cellStyle name="Percent 2 14 2" xfId="7730" xr:uid="{00000000-0005-0000-0000-0000471E0000}"/>
    <cellStyle name="Percent 2 14 2 2" xfId="7731" xr:uid="{00000000-0005-0000-0000-0000481E0000}"/>
    <cellStyle name="Percent 2 14 2 3" xfId="7732" xr:uid="{00000000-0005-0000-0000-0000491E0000}"/>
    <cellStyle name="Percent 2 14 3" xfId="7733" xr:uid="{00000000-0005-0000-0000-00004A1E0000}"/>
    <cellStyle name="Percent 2 140" xfId="7734" xr:uid="{00000000-0005-0000-0000-00004B1E0000}"/>
    <cellStyle name="Percent 2 141" xfId="7735" xr:uid="{00000000-0005-0000-0000-00004C1E0000}"/>
    <cellStyle name="Percent 2 142" xfId="7736" xr:uid="{00000000-0005-0000-0000-00004D1E0000}"/>
    <cellStyle name="Percent 2 143" xfId="7737" xr:uid="{00000000-0005-0000-0000-00004E1E0000}"/>
    <cellStyle name="Percent 2 144" xfId="7738" xr:uid="{00000000-0005-0000-0000-00004F1E0000}"/>
    <cellStyle name="Percent 2 145" xfId="7739" xr:uid="{00000000-0005-0000-0000-0000501E0000}"/>
    <cellStyle name="Percent 2 146" xfId="7740" xr:uid="{00000000-0005-0000-0000-0000511E0000}"/>
    <cellStyle name="Percent 2 147" xfId="7741" xr:uid="{00000000-0005-0000-0000-0000521E0000}"/>
    <cellStyle name="Percent 2 148" xfId="7742" xr:uid="{00000000-0005-0000-0000-0000531E0000}"/>
    <cellStyle name="Percent 2 149" xfId="7743" xr:uid="{00000000-0005-0000-0000-0000541E0000}"/>
    <cellStyle name="Percent 2 15" xfId="7744" xr:uid="{00000000-0005-0000-0000-0000551E0000}"/>
    <cellStyle name="Percent 2 15 2" xfId="7745" xr:uid="{00000000-0005-0000-0000-0000561E0000}"/>
    <cellStyle name="Percent 2 15 2 2" xfId="7746" xr:uid="{00000000-0005-0000-0000-0000571E0000}"/>
    <cellStyle name="Percent 2 15 2 3" xfId="7747" xr:uid="{00000000-0005-0000-0000-0000581E0000}"/>
    <cellStyle name="Percent 2 15 3" xfId="7748" xr:uid="{00000000-0005-0000-0000-0000591E0000}"/>
    <cellStyle name="Percent 2 150" xfId="7749" xr:uid="{00000000-0005-0000-0000-00005A1E0000}"/>
    <cellStyle name="Percent 2 151" xfId="7750" xr:uid="{00000000-0005-0000-0000-00005B1E0000}"/>
    <cellStyle name="Percent 2 151 2" xfId="7751" xr:uid="{00000000-0005-0000-0000-00005C1E0000}"/>
    <cellStyle name="Percent 2 152" xfId="7752" xr:uid="{00000000-0005-0000-0000-00005D1E0000}"/>
    <cellStyle name="Percent 2 153" xfId="7753" xr:uid="{00000000-0005-0000-0000-00005E1E0000}"/>
    <cellStyle name="Percent 2 154" xfId="7754" xr:uid="{00000000-0005-0000-0000-00005F1E0000}"/>
    <cellStyle name="Percent 2 155" xfId="9425" xr:uid="{00000000-0005-0000-0000-0000601E0000}"/>
    <cellStyle name="Percent 2 155 2" xfId="39" xr:uid="{00000000-0005-0000-0000-0000611E0000}"/>
    <cellStyle name="Percent 2 155 2 2" xfId="9442" xr:uid="{00000000-0005-0000-0000-0000621E0000}"/>
    <cellStyle name="Percent 2 155 2 2 2 2" xfId="9472" xr:uid="{00000000-0005-0000-0000-0000631E0000}"/>
    <cellStyle name="Percent 2 155 2 3" xfId="9477" xr:uid="{00000000-0005-0000-0000-0000641E0000}"/>
    <cellStyle name="Percent 2 155 2 3 2" xfId="9495" xr:uid="{BA940BB8-5CB9-4C88-BBD6-F11011BF1014}"/>
    <cellStyle name="Percent 2 155 3" xfId="9473" xr:uid="{00000000-0005-0000-0000-0000651E0000}"/>
    <cellStyle name="Percent 2 16" xfId="13" xr:uid="{00000000-0005-0000-0000-0000661E0000}"/>
    <cellStyle name="Percent 2 16 2" xfId="7755" xr:uid="{00000000-0005-0000-0000-0000671E0000}"/>
    <cellStyle name="Percent 2 16 2 2" xfId="7756" xr:uid="{00000000-0005-0000-0000-0000681E0000}"/>
    <cellStyle name="Percent 2 16 2 3" xfId="7757" xr:uid="{00000000-0005-0000-0000-0000691E0000}"/>
    <cellStyle name="Percent 2 16 3" xfId="7758" xr:uid="{00000000-0005-0000-0000-00006A1E0000}"/>
    <cellStyle name="Percent 2 17" xfId="7759" xr:uid="{00000000-0005-0000-0000-00006B1E0000}"/>
    <cellStyle name="Percent 2 17 2" xfId="7760" xr:uid="{00000000-0005-0000-0000-00006C1E0000}"/>
    <cellStyle name="Percent 2 17 2 2" xfId="7761" xr:uid="{00000000-0005-0000-0000-00006D1E0000}"/>
    <cellStyle name="Percent 2 17 2 3" xfId="7762" xr:uid="{00000000-0005-0000-0000-00006E1E0000}"/>
    <cellStyle name="Percent 2 17 3" xfId="7763" xr:uid="{00000000-0005-0000-0000-00006F1E0000}"/>
    <cellStyle name="Percent 2 18" xfId="7764" xr:uid="{00000000-0005-0000-0000-0000701E0000}"/>
    <cellStyle name="Percent 2 18 2" xfId="7765" xr:uid="{00000000-0005-0000-0000-0000711E0000}"/>
    <cellStyle name="Percent 2 18 2 2" xfId="7766" xr:uid="{00000000-0005-0000-0000-0000721E0000}"/>
    <cellStyle name="Percent 2 18 2 3" xfId="7767" xr:uid="{00000000-0005-0000-0000-0000731E0000}"/>
    <cellStyle name="Percent 2 18 3" xfId="7768" xr:uid="{00000000-0005-0000-0000-0000741E0000}"/>
    <cellStyle name="Percent 2 19" xfId="7769" xr:uid="{00000000-0005-0000-0000-0000751E0000}"/>
    <cellStyle name="Percent 2 19 2" xfId="7770" xr:uid="{00000000-0005-0000-0000-0000761E0000}"/>
    <cellStyle name="Percent 2 19 2 2" xfId="7771" xr:uid="{00000000-0005-0000-0000-0000771E0000}"/>
    <cellStyle name="Percent 2 19 2 3" xfId="7772" xr:uid="{00000000-0005-0000-0000-0000781E0000}"/>
    <cellStyle name="Percent 2 19 3" xfId="7773" xr:uid="{00000000-0005-0000-0000-0000791E0000}"/>
    <cellStyle name="Percent 2 2" xfId="7774" xr:uid="{00000000-0005-0000-0000-00007A1E0000}"/>
    <cellStyle name="Percent 2 2 10" xfId="7775" xr:uid="{00000000-0005-0000-0000-00007B1E0000}"/>
    <cellStyle name="Percent 2 2 11" xfId="7776" xr:uid="{00000000-0005-0000-0000-00007C1E0000}"/>
    <cellStyle name="Percent 2 2 12" xfId="7777" xr:uid="{00000000-0005-0000-0000-00007D1E0000}"/>
    <cellStyle name="Percent 2 2 12 2" xfId="7778" xr:uid="{00000000-0005-0000-0000-00007E1E0000}"/>
    <cellStyle name="Percent 2 2 12 2 2" xfId="7779" xr:uid="{00000000-0005-0000-0000-00007F1E0000}"/>
    <cellStyle name="Percent 2 2 12 3" xfId="7780" xr:uid="{00000000-0005-0000-0000-0000801E0000}"/>
    <cellStyle name="Percent 2 2 12 4" xfId="7781" xr:uid="{00000000-0005-0000-0000-0000811E0000}"/>
    <cellStyle name="Percent 2 2 13" xfId="7782" xr:uid="{00000000-0005-0000-0000-0000821E0000}"/>
    <cellStyle name="Percent 2 2 13 2" xfId="7783" xr:uid="{00000000-0005-0000-0000-0000831E0000}"/>
    <cellStyle name="Percent 2 2 13 2 2" xfId="7784" xr:uid="{00000000-0005-0000-0000-0000841E0000}"/>
    <cellStyle name="Percent 2 2 13 3" xfId="7785" xr:uid="{00000000-0005-0000-0000-0000851E0000}"/>
    <cellStyle name="Percent 2 2 14" xfId="7786" xr:uid="{00000000-0005-0000-0000-0000861E0000}"/>
    <cellStyle name="Percent 2 2 14 2" xfId="7787" xr:uid="{00000000-0005-0000-0000-0000871E0000}"/>
    <cellStyle name="Percent 2 2 14 2 2" xfId="7788" xr:uid="{00000000-0005-0000-0000-0000881E0000}"/>
    <cellStyle name="Percent 2 2 14 3" xfId="7789" xr:uid="{00000000-0005-0000-0000-0000891E0000}"/>
    <cellStyle name="Percent 2 2 15" xfId="7790" xr:uid="{00000000-0005-0000-0000-00008A1E0000}"/>
    <cellStyle name="Percent 2 2 15 2" xfId="7791" xr:uid="{00000000-0005-0000-0000-00008B1E0000}"/>
    <cellStyle name="Percent 2 2 15 2 2" xfId="7792" xr:uid="{00000000-0005-0000-0000-00008C1E0000}"/>
    <cellStyle name="Percent 2 2 15 3" xfId="7793" xr:uid="{00000000-0005-0000-0000-00008D1E0000}"/>
    <cellStyle name="Percent 2 2 16" xfId="7794" xr:uid="{00000000-0005-0000-0000-00008E1E0000}"/>
    <cellStyle name="Percent 2 2 16 2" xfId="7795" xr:uid="{00000000-0005-0000-0000-00008F1E0000}"/>
    <cellStyle name="Percent 2 2 16 2 2" xfId="7796" xr:uid="{00000000-0005-0000-0000-0000901E0000}"/>
    <cellStyle name="Percent 2 2 16 3" xfId="7797" xr:uid="{00000000-0005-0000-0000-0000911E0000}"/>
    <cellStyle name="Percent 2 2 17" xfId="7798" xr:uid="{00000000-0005-0000-0000-0000921E0000}"/>
    <cellStyle name="Percent 2 2 17 2" xfId="7799" xr:uid="{00000000-0005-0000-0000-0000931E0000}"/>
    <cellStyle name="Percent 2 2 17 2 2" xfId="7800" xr:uid="{00000000-0005-0000-0000-0000941E0000}"/>
    <cellStyle name="Percent 2 2 17 3" xfId="7801" xr:uid="{00000000-0005-0000-0000-0000951E0000}"/>
    <cellStyle name="Percent 2 2 18" xfId="7802" xr:uid="{00000000-0005-0000-0000-0000961E0000}"/>
    <cellStyle name="Percent 2 2 18 2" xfId="7803" xr:uid="{00000000-0005-0000-0000-0000971E0000}"/>
    <cellStyle name="Percent 2 2 18 2 2" xfId="7804" xr:uid="{00000000-0005-0000-0000-0000981E0000}"/>
    <cellStyle name="Percent 2 2 18 3" xfId="7805" xr:uid="{00000000-0005-0000-0000-0000991E0000}"/>
    <cellStyle name="Percent 2 2 19" xfId="7806" xr:uid="{00000000-0005-0000-0000-00009A1E0000}"/>
    <cellStyle name="Percent 2 2 19 2" xfId="7807" xr:uid="{00000000-0005-0000-0000-00009B1E0000}"/>
    <cellStyle name="Percent 2 2 19 2 2" xfId="7808" xr:uid="{00000000-0005-0000-0000-00009C1E0000}"/>
    <cellStyle name="Percent 2 2 19 3" xfId="7809" xr:uid="{00000000-0005-0000-0000-00009D1E0000}"/>
    <cellStyle name="Percent 2 2 2" xfId="7810" xr:uid="{00000000-0005-0000-0000-00009E1E0000}"/>
    <cellStyle name="Percent 2 2 2 10" xfId="7811" xr:uid="{00000000-0005-0000-0000-00009F1E0000}"/>
    <cellStyle name="Percent 2 2 2 10 2" xfId="7812" xr:uid="{00000000-0005-0000-0000-0000A01E0000}"/>
    <cellStyle name="Percent 2 2 2 10 2 2" xfId="7813" xr:uid="{00000000-0005-0000-0000-0000A11E0000}"/>
    <cellStyle name="Percent 2 2 2 10 3" xfId="7814" xr:uid="{00000000-0005-0000-0000-0000A21E0000}"/>
    <cellStyle name="Percent 2 2 2 11" xfId="7815" xr:uid="{00000000-0005-0000-0000-0000A31E0000}"/>
    <cellStyle name="Percent 2 2 2 12" xfId="7816" xr:uid="{00000000-0005-0000-0000-0000A41E0000}"/>
    <cellStyle name="Percent 2 2 2 13" xfId="7817" xr:uid="{00000000-0005-0000-0000-0000A51E0000}"/>
    <cellStyle name="Percent 2 2 2 14" xfId="7818" xr:uid="{00000000-0005-0000-0000-0000A61E0000}"/>
    <cellStyle name="Percent 2 2 2 15" xfId="7819" xr:uid="{00000000-0005-0000-0000-0000A71E0000}"/>
    <cellStyle name="Percent 2 2 2 16" xfId="7820" xr:uid="{00000000-0005-0000-0000-0000A81E0000}"/>
    <cellStyle name="Percent 2 2 2 17" xfId="7821" xr:uid="{00000000-0005-0000-0000-0000A91E0000}"/>
    <cellStyle name="Percent 2 2 2 18" xfId="7822" xr:uid="{00000000-0005-0000-0000-0000AA1E0000}"/>
    <cellStyle name="Percent 2 2 2 19" xfId="7823" xr:uid="{00000000-0005-0000-0000-0000AB1E0000}"/>
    <cellStyle name="Percent 2 2 2 2" xfId="7824" xr:uid="{00000000-0005-0000-0000-0000AC1E0000}"/>
    <cellStyle name="Percent 2 2 2 2 10" xfId="7825" xr:uid="{00000000-0005-0000-0000-0000AD1E0000}"/>
    <cellStyle name="Percent 2 2 2 2 11" xfId="7826" xr:uid="{00000000-0005-0000-0000-0000AE1E0000}"/>
    <cellStyle name="Percent 2 2 2 2 11 2" xfId="7827" xr:uid="{00000000-0005-0000-0000-0000AF1E0000}"/>
    <cellStyle name="Percent 2 2 2 2 11 2 2" xfId="7828" xr:uid="{00000000-0005-0000-0000-0000B01E0000}"/>
    <cellStyle name="Percent 2 2 2 2 11 3" xfId="7829" xr:uid="{00000000-0005-0000-0000-0000B11E0000}"/>
    <cellStyle name="Percent 2 2 2 2 12" xfId="7830" xr:uid="{00000000-0005-0000-0000-0000B21E0000}"/>
    <cellStyle name="Percent 2 2 2 2 12 2" xfId="7831" xr:uid="{00000000-0005-0000-0000-0000B31E0000}"/>
    <cellStyle name="Percent 2 2 2 2 12 2 2" xfId="7832" xr:uid="{00000000-0005-0000-0000-0000B41E0000}"/>
    <cellStyle name="Percent 2 2 2 2 12 3" xfId="7833" xr:uid="{00000000-0005-0000-0000-0000B51E0000}"/>
    <cellStyle name="Percent 2 2 2 2 13" xfId="7834" xr:uid="{00000000-0005-0000-0000-0000B61E0000}"/>
    <cellStyle name="Percent 2 2 2 2 13 2" xfId="7835" xr:uid="{00000000-0005-0000-0000-0000B71E0000}"/>
    <cellStyle name="Percent 2 2 2 2 13 2 2" xfId="7836" xr:uid="{00000000-0005-0000-0000-0000B81E0000}"/>
    <cellStyle name="Percent 2 2 2 2 13 3" xfId="7837" xr:uid="{00000000-0005-0000-0000-0000B91E0000}"/>
    <cellStyle name="Percent 2 2 2 2 14" xfId="7838" xr:uid="{00000000-0005-0000-0000-0000BA1E0000}"/>
    <cellStyle name="Percent 2 2 2 2 14 2" xfId="7839" xr:uid="{00000000-0005-0000-0000-0000BB1E0000}"/>
    <cellStyle name="Percent 2 2 2 2 14 2 2" xfId="7840" xr:uid="{00000000-0005-0000-0000-0000BC1E0000}"/>
    <cellStyle name="Percent 2 2 2 2 14 3" xfId="7841" xr:uid="{00000000-0005-0000-0000-0000BD1E0000}"/>
    <cellStyle name="Percent 2 2 2 2 15" xfId="7842" xr:uid="{00000000-0005-0000-0000-0000BE1E0000}"/>
    <cellStyle name="Percent 2 2 2 2 15 2" xfId="7843" xr:uid="{00000000-0005-0000-0000-0000BF1E0000}"/>
    <cellStyle name="Percent 2 2 2 2 15 2 2" xfId="7844" xr:uid="{00000000-0005-0000-0000-0000C01E0000}"/>
    <cellStyle name="Percent 2 2 2 2 15 3" xfId="7845" xr:uid="{00000000-0005-0000-0000-0000C11E0000}"/>
    <cellStyle name="Percent 2 2 2 2 16" xfId="7846" xr:uid="{00000000-0005-0000-0000-0000C21E0000}"/>
    <cellStyle name="Percent 2 2 2 2 16 2" xfId="7847" xr:uid="{00000000-0005-0000-0000-0000C31E0000}"/>
    <cellStyle name="Percent 2 2 2 2 16 2 2" xfId="7848" xr:uid="{00000000-0005-0000-0000-0000C41E0000}"/>
    <cellStyle name="Percent 2 2 2 2 16 3" xfId="7849" xr:uid="{00000000-0005-0000-0000-0000C51E0000}"/>
    <cellStyle name="Percent 2 2 2 2 17" xfId="7850" xr:uid="{00000000-0005-0000-0000-0000C61E0000}"/>
    <cellStyle name="Percent 2 2 2 2 17 2" xfId="7851" xr:uid="{00000000-0005-0000-0000-0000C71E0000}"/>
    <cellStyle name="Percent 2 2 2 2 17 2 2" xfId="7852" xr:uid="{00000000-0005-0000-0000-0000C81E0000}"/>
    <cellStyle name="Percent 2 2 2 2 17 3" xfId="7853" xr:uid="{00000000-0005-0000-0000-0000C91E0000}"/>
    <cellStyle name="Percent 2 2 2 2 18" xfId="7854" xr:uid="{00000000-0005-0000-0000-0000CA1E0000}"/>
    <cellStyle name="Percent 2 2 2 2 18 2" xfId="7855" xr:uid="{00000000-0005-0000-0000-0000CB1E0000}"/>
    <cellStyle name="Percent 2 2 2 2 18 2 2" xfId="7856" xr:uid="{00000000-0005-0000-0000-0000CC1E0000}"/>
    <cellStyle name="Percent 2 2 2 2 18 3" xfId="7857" xr:uid="{00000000-0005-0000-0000-0000CD1E0000}"/>
    <cellStyle name="Percent 2 2 2 2 19" xfId="7858" xr:uid="{00000000-0005-0000-0000-0000CE1E0000}"/>
    <cellStyle name="Percent 2 2 2 2 19 2" xfId="7859" xr:uid="{00000000-0005-0000-0000-0000CF1E0000}"/>
    <cellStyle name="Percent 2 2 2 2 19 2 2" xfId="7860" xr:uid="{00000000-0005-0000-0000-0000D01E0000}"/>
    <cellStyle name="Percent 2 2 2 2 19 3" xfId="7861" xr:uid="{00000000-0005-0000-0000-0000D11E0000}"/>
    <cellStyle name="Percent 2 2 2 2 2" xfId="7862" xr:uid="{00000000-0005-0000-0000-0000D21E0000}"/>
    <cellStyle name="Percent 2 2 2 2 2 10" xfId="7863" xr:uid="{00000000-0005-0000-0000-0000D31E0000}"/>
    <cellStyle name="Percent 2 2 2 2 2 11" xfId="7864" xr:uid="{00000000-0005-0000-0000-0000D41E0000}"/>
    <cellStyle name="Percent 2 2 2 2 2 12" xfId="7865" xr:uid="{00000000-0005-0000-0000-0000D51E0000}"/>
    <cellStyle name="Percent 2 2 2 2 2 13" xfId="7866" xr:uid="{00000000-0005-0000-0000-0000D61E0000}"/>
    <cellStyle name="Percent 2 2 2 2 2 14" xfId="7867" xr:uid="{00000000-0005-0000-0000-0000D71E0000}"/>
    <cellStyle name="Percent 2 2 2 2 2 15" xfId="7868" xr:uid="{00000000-0005-0000-0000-0000D81E0000}"/>
    <cellStyle name="Percent 2 2 2 2 2 16" xfId="7869" xr:uid="{00000000-0005-0000-0000-0000D91E0000}"/>
    <cellStyle name="Percent 2 2 2 2 2 17" xfId="7870" xr:uid="{00000000-0005-0000-0000-0000DA1E0000}"/>
    <cellStyle name="Percent 2 2 2 2 2 18" xfId="7871" xr:uid="{00000000-0005-0000-0000-0000DB1E0000}"/>
    <cellStyle name="Percent 2 2 2 2 2 19" xfId="7872" xr:uid="{00000000-0005-0000-0000-0000DC1E0000}"/>
    <cellStyle name="Percent 2 2 2 2 2 19 2" xfId="7873" xr:uid="{00000000-0005-0000-0000-0000DD1E0000}"/>
    <cellStyle name="Percent 2 2 2 2 2 2" xfId="7874" xr:uid="{00000000-0005-0000-0000-0000DE1E0000}"/>
    <cellStyle name="Percent 2 2 2 2 2 20" xfId="7875" xr:uid="{00000000-0005-0000-0000-0000DF1E0000}"/>
    <cellStyle name="Percent 2 2 2 2 2 3" xfId="7876" xr:uid="{00000000-0005-0000-0000-0000E01E0000}"/>
    <cellStyle name="Percent 2 2 2 2 2 4" xfId="7877" xr:uid="{00000000-0005-0000-0000-0000E11E0000}"/>
    <cellStyle name="Percent 2 2 2 2 2 5" xfId="7878" xr:uid="{00000000-0005-0000-0000-0000E21E0000}"/>
    <cellStyle name="Percent 2 2 2 2 2 6" xfId="7879" xr:uid="{00000000-0005-0000-0000-0000E31E0000}"/>
    <cellStyle name="Percent 2 2 2 2 2 7" xfId="7880" xr:uid="{00000000-0005-0000-0000-0000E41E0000}"/>
    <cellStyle name="Percent 2 2 2 2 2 8" xfId="7881" xr:uid="{00000000-0005-0000-0000-0000E51E0000}"/>
    <cellStyle name="Percent 2 2 2 2 2 9" xfId="7882" xr:uid="{00000000-0005-0000-0000-0000E61E0000}"/>
    <cellStyle name="Percent 2 2 2 2 20" xfId="7883" xr:uid="{00000000-0005-0000-0000-0000E71E0000}"/>
    <cellStyle name="Percent 2 2 2 2 20 2" xfId="7884" xr:uid="{00000000-0005-0000-0000-0000E81E0000}"/>
    <cellStyle name="Percent 2 2 2 2 20 2 2" xfId="7885" xr:uid="{00000000-0005-0000-0000-0000E91E0000}"/>
    <cellStyle name="Percent 2 2 2 2 20 3" xfId="7886" xr:uid="{00000000-0005-0000-0000-0000EA1E0000}"/>
    <cellStyle name="Percent 2 2 2 2 21" xfId="7887" xr:uid="{00000000-0005-0000-0000-0000EB1E0000}"/>
    <cellStyle name="Percent 2 2 2 2 21 2" xfId="7888" xr:uid="{00000000-0005-0000-0000-0000EC1E0000}"/>
    <cellStyle name="Percent 2 2 2 2 21 2 2" xfId="7889" xr:uid="{00000000-0005-0000-0000-0000ED1E0000}"/>
    <cellStyle name="Percent 2 2 2 2 21 3" xfId="7890" xr:uid="{00000000-0005-0000-0000-0000EE1E0000}"/>
    <cellStyle name="Percent 2 2 2 2 22" xfId="7891" xr:uid="{00000000-0005-0000-0000-0000EF1E0000}"/>
    <cellStyle name="Percent 2 2 2 2 22 2" xfId="7892" xr:uid="{00000000-0005-0000-0000-0000F01E0000}"/>
    <cellStyle name="Percent 2 2 2 2 22 2 2" xfId="7893" xr:uid="{00000000-0005-0000-0000-0000F11E0000}"/>
    <cellStyle name="Percent 2 2 2 2 22 3" xfId="7894" xr:uid="{00000000-0005-0000-0000-0000F21E0000}"/>
    <cellStyle name="Percent 2 2 2 2 23" xfId="7895" xr:uid="{00000000-0005-0000-0000-0000F31E0000}"/>
    <cellStyle name="Percent 2 2 2 2 23 2" xfId="7896" xr:uid="{00000000-0005-0000-0000-0000F41E0000}"/>
    <cellStyle name="Percent 2 2 2 2 23 2 2" xfId="7897" xr:uid="{00000000-0005-0000-0000-0000F51E0000}"/>
    <cellStyle name="Percent 2 2 2 2 23 3" xfId="7898" xr:uid="{00000000-0005-0000-0000-0000F61E0000}"/>
    <cellStyle name="Percent 2 2 2 2 24" xfId="7899" xr:uid="{00000000-0005-0000-0000-0000F71E0000}"/>
    <cellStyle name="Percent 2 2 2 2 24 2" xfId="7900" xr:uid="{00000000-0005-0000-0000-0000F81E0000}"/>
    <cellStyle name="Percent 2 2 2 2 24 2 2" xfId="7901" xr:uid="{00000000-0005-0000-0000-0000F91E0000}"/>
    <cellStyle name="Percent 2 2 2 2 24 3" xfId="7902" xr:uid="{00000000-0005-0000-0000-0000FA1E0000}"/>
    <cellStyle name="Percent 2 2 2 2 25" xfId="7903" xr:uid="{00000000-0005-0000-0000-0000FB1E0000}"/>
    <cellStyle name="Percent 2 2 2 2 25 2" xfId="7904" xr:uid="{00000000-0005-0000-0000-0000FC1E0000}"/>
    <cellStyle name="Percent 2 2 2 2 25 2 2" xfId="7905" xr:uid="{00000000-0005-0000-0000-0000FD1E0000}"/>
    <cellStyle name="Percent 2 2 2 2 25 3" xfId="7906" xr:uid="{00000000-0005-0000-0000-0000FE1E0000}"/>
    <cellStyle name="Percent 2 2 2 2 26" xfId="7907" xr:uid="{00000000-0005-0000-0000-0000FF1E0000}"/>
    <cellStyle name="Percent 2 2 2 2 26 2" xfId="7908" xr:uid="{00000000-0005-0000-0000-0000001F0000}"/>
    <cellStyle name="Percent 2 2 2 2 26 2 2" xfId="7909" xr:uid="{00000000-0005-0000-0000-0000011F0000}"/>
    <cellStyle name="Percent 2 2 2 2 26 3" xfId="7910" xr:uid="{00000000-0005-0000-0000-0000021F0000}"/>
    <cellStyle name="Percent 2 2 2 2 3" xfId="7911" xr:uid="{00000000-0005-0000-0000-0000031F0000}"/>
    <cellStyle name="Percent 2 2 2 2 4" xfId="7912" xr:uid="{00000000-0005-0000-0000-0000041F0000}"/>
    <cellStyle name="Percent 2 2 2 2 5" xfId="7913" xr:uid="{00000000-0005-0000-0000-0000051F0000}"/>
    <cellStyle name="Percent 2 2 2 2 6" xfId="7914" xr:uid="{00000000-0005-0000-0000-0000061F0000}"/>
    <cellStyle name="Percent 2 2 2 2 7" xfId="7915" xr:uid="{00000000-0005-0000-0000-0000071F0000}"/>
    <cellStyle name="Percent 2 2 2 2 8" xfId="7916" xr:uid="{00000000-0005-0000-0000-0000081F0000}"/>
    <cellStyle name="Percent 2 2 2 2 9" xfId="7917" xr:uid="{00000000-0005-0000-0000-0000091F0000}"/>
    <cellStyle name="Percent 2 2 2 20" xfId="7918" xr:uid="{00000000-0005-0000-0000-00000A1F0000}"/>
    <cellStyle name="Percent 2 2 2 21" xfId="7919" xr:uid="{00000000-0005-0000-0000-00000B1F0000}"/>
    <cellStyle name="Percent 2 2 2 22" xfId="7920" xr:uid="{00000000-0005-0000-0000-00000C1F0000}"/>
    <cellStyle name="Percent 2 2 2 23" xfId="7921" xr:uid="{00000000-0005-0000-0000-00000D1F0000}"/>
    <cellStyle name="Percent 2 2 2 24" xfId="7922" xr:uid="{00000000-0005-0000-0000-00000E1F0000}"/>
    <cellStyle name="Percent 2 2 2 25" xfId="7923" xr:uid="{00000000-0005-0000-0000-00000F1F0000}"/>
    <cellStyle name="Percent 2 2 2 26" xfId="7924" xr:uid="{00000000-0005-0000-0000-0000101F0000}"/>
    <cellStyle name="Percent 2 2 2 27" xfId="7925" xr:uid="{00000000-0005-0000-0000-0000111F0000}"/>
    <cellStyle name="Percent 2 2 2 28" xfId="7926" xr:uid="{00000000-0005-0000-0000-0000121F0000}"/>
    <cellStyle name="Percent 2 2 2 3" xfId="7927" xr:uid="{00000000-0005-0000-0000-0000131F0000}"/>
    <cellStyle name="Percent 2 2 2 3 2" xfId="7928" xr:uid="{00000000-0005-0000-0000-0000141F0000}"/>
    <cellStyle name="Percent 2 2 2 3 2 2" xfId="7929" xr:uid="{00000000-0005-0000-0000-0000151F0000}"/>
    <cellStyle name="Percent 2 2 2 3 3" xfId="7930" xr:uid="{00000000-0005-0000-0000-0000161F0000}"/>
    <cellStyle name="Percent 2 2 2 4" xfId="7931" xr:uid="{00000000-0005-0000-0000-0000171F0000}"/>
    <cellStyle name="Percent 2 2 2 4 2" xfId="7932" xr:uid="{00000000-0005-0000-0000-0000181F0000}"/>
    <cellStyle name="Percent 2 2 2 4 2 2" xfId="7933" xr:uid="{00000000-0005-0000-0000-0000191F0000}"/>
    <cellStyle name="Percent 2 2 2 4 3" xfId="7934" xr:uid="{00000000-0005-0000-0000-00001A1F0000}"/>
    <cellStyle name="Percent 2 2 2 5" xfId="7935" xr:uid="{00000000-0005-0000-0000-00001B1F0000}"/>
    <cellStyle name="Percent 2 2 2 5 2" xfId="7936" xr:uid="{00000000-0005-0000-0000-00001C1F0000}"/>
    <cellStyle name="Percent 2 2 2 5 2 2" xfId="7937" xr:uid="{00000000-0005-0000-0000-00001D1F0000}"/>
    <cellStyle name="Percent 2 2 2 5 3" xfId="7938" xr:uid="{00000000-0005-0000-0000-00001E1F0000}"/>
    <cellStyle name="Percent 2 2 2 6" xfId="7939" xr:uid="{00000000-0005-0000-0000-00001F1F0000}"/>
    <cellStyle name="Percent 2 2 2 6 2" xfId="7940" xr:uid="{00000000-0005-0000-0000-0000201F0000}"/>
    <cellStyle name="Percent 2 2 2 6 2 2" xfId="7941" xr:uid="{00000000-0005-0000-0000-0000211F0000}"/>
    <cellStyle name="Percent 2 2 2 6 3" xfId="7942" xr:uid="{00000000-0005-0000-0000-0000221F0000}"/>
    <cellStyle name="Percent 2 2 2 7" xfId="7943" xr:uid="{00000000-0005-0000-0000-0000231F0000}"/>
    <cellStyle name="Percent 2 2 2 7 2" xfId="7944" xr:uid="{00000000-0005-0000-0000-0000241F0000}"/>
    <cellStyle name="Percent 2 2 2 7 2 2" xfId="7945" xr:uid="{00000000-0005-0000-0000-0000251F0000}"/>
    <cellStyle name="Percent 2 2 2 7 3" xfId="7946" xr:uid="{00000000-0005-0000-0000-0000261F0000}"/>
    <cellStyle name="Percent 2 2 2 8" xfId="7947" xr:uid="{00000000-0005-0000-0000-0000271F0000}"/>
    <cellStyle name="Percent 2 2 2 8 2" xfId="7948" xr:uid="{00000000-0005-0000-0000-0000281F0000}"/>
    <cellStyle name="Percent 2 2 2 8 2 2" xfId="7949" xr:uid="{00000000-0005-0000-0000-0000291F0000}"/>
    <cellStyle name="Percent 2 2 2 8 3" xfId="7950" xr:uid="{00000000-0005-0000-0000-00002A1F0000}"/>
    <cellStyle name="Percent 2 2 2 9" xfId="7951" xr:uid="{00000000-0005-0000-0000-00002B1F0000}"/>
    <cellStyle name="Percent 2 2 2 9 2" xfId="7952" xr:uid="{00000000-0005-0000-0000-00002C1F0000}"/>
    <cellStyle name="Percent 2 2 2 9 2 2" xfId="7953" xr:uid="{00000000-0005-0000-0000-00002D1F0000}"/>
    <cellStyle name="Percent 2 2 2 9 3" xfId="7954" xr:uid="{00000000-0005-0000-0000-00002E1F0000}"/>
    <cellStyle name="Percent 2 2 20" xfId="7955" xr:uid="{00000000-0005-0000-0000-00002F1F0000}"/>
    <cellStyle name="Percent 2 2 20 2" xfId="7956" xr:uid="{00000000-0005-0000-0000-0000301F0000}"/>
    <cellStyle name="Percent 2 2 20 2 2" xfId="7957" xr:uid="{00000000-0005-0000-0000-0000311F0000}"/>
    <cellStyle name="Percent 2 2 20 3" xfId="7958" xr:uid="{00000000-0005-0000-0000-0000321F0000}"/>
    <cellStyle name="Percent 2 2 21" xfId="7959" xr:uid="{00000000-0005-0000-0000-0000331F0000}"/>
    <cellStyle name="Percent 2 2 21 2" xfId="7960" xr:uid="{00000000-0005-0000-0000-0000341F0000}"/>
    <cellStyle name="Percent 2 2 21 2 2" xfId="7961" xr:uid="{00000000-0005-0000-0000-0000351F0000}"/>
    <cellStyle name="Percent 2 2 21 3" xfId="7962" xr:uid="{00000000-0005-0000-0000-0000361F0000}"/>
    <cellStyle name="Percent 2 2 22" xfId="7963" xr:uid="{00000000-0005-0000-0000-0000371F0000}"/>
    <cellStyle name="Percent 2 2 22 2" xfId="7964" xr:uid="{00000000-0005-0000-0000-0000381F0000}"/>
    <cellStyle name="Percent 2 2 22 2 2" xfId="7965" xr:uid="{00000000-0005-0000-0000-0000391F0000}"/>
    <cellStyle name="Percent 2 2 22 3" xfId="7966" xr:uid="{00000000-0005-0000-0000-00003A1F0000}"/>
    <cellStyle name="Percent 2 2 23" xfId="7967" xr:uid="{00000000-0005-0000-0000-00003B1F0000}"/>
    <cellStyle name="Percent 2 2 23 2" xfId="7968" xr:uid="{00000000-0005-0000-0000-00003C1F0000}"/>
    <cellStyle name="Percent 2 2 23 2 2" xfId="7969" xr:uid="{00000000-0005-0000-0000-00003D1F0000}"/>
    <cellStyle name="Percent 2 2 23 3" xfId="7970" xr:uid="{00000000-0005-0000-0000-00003E1F0000}"/>
    <cellStyle name="Percent 2 2 24" xfId="7971" xr:uid="{00000000-0005-0000-0000-00003F1F0000}"/>
    <cellStyle name="Percent 2 2 24 2" xfId="7972" xr:uid="{00000000-0005-0000-0000-0000401F0000}"/>
    <cellStyle name="Percent 2 2 24 2 2" xfId="7973" xr:uid="{00000000-0005-0000-0000-0000411F0000}"/>
    <cellStyle name="Percent 2 2 24 3" xfId="7974" xr:uid="{00000000-0005-0000-0000-0000421F0000}"/>
    <cellStyle name="Percent 2 2 25" xfId="7975" xr:uid="{00000000-0005-0000-0000-0000431F0000}"/>
    <cellStyle name="Percent 2 2 25 2" xfId="7976" xr:uid="{00000000-0005-0000-0000-0000441F0000}"/>
    <cellStyle name="Percent 2 2 25 2 2" xfId="7977" xr:uid="{00000000-0005-0000-0000-0000451F0000}"/>
    <cellStyle name="Percent 2 2 25 3" xfId="7978" xr:uid="{00000000-0005-0000-0000-0000461F0000}"/>
    <cellStyle name="Percent 2 2 26" xfId="7979" xr:uid="{00000000-0005-0000-0000-0000471F0000}"/>
    <cellStyle name="Percent 2 2 26 2" xfId="7980" xr:uid="{00000000-0005-0000-0000-0000481F0000}"/>
    <cellStyle name="Percent 2 2 26 2 2" xfId="7981" xr:uid="{00000000-0005-0000-0000-0000491F0000}"/>
    <cellStyle name="Percent 2 2 26 3" xfId="7982" xr:uid="{00000000-0005-0000-0000-00004A1F0000}"/>
    <cellStyle name="Percent 2 2 27" xfId="7983" xr:uid="{00000000-0005-0000-0000-00004B1F0000}"/>
    <cellStyle name="Percent 2 2 27 2" xfId="7984" xr:uid="{00000000-0005-0000-0000-00004C1F0000}"/>
    <cellStyle name="Percent 2 2 27 2 2" xfId="7985" xr:uid="{00000000-0005-0000-0000-00004D1F0000}"/>
    <cellStyle name="Percent 2 2 27 3" xfId="7986" xr:uid="{00000000-0005-0000-0000-00004E1F0000}"/>
    <cellStyle name="Percent 2 2 28" xfId="7987" xr:uid="{00000000-0005-0000-0000-00004F1F0000}"/>
    <cellStyle name="Percent 2 2 28 2" xfId="7988" xr:uid="{00000000-0005-0000-0000-0000501F0000}"/>
    <cellStyle name="Percent 2 2 28 3" xfId="7989" xr:uid="{00000000-0005-0000-0000-0000511F0000}"/>
    <cellStyle name="Percent 2 2 29" xfId="7990" xr:uid="{00000000-0005-0000-0000-0000521F0000}"/>
    <cellStyle name="Percent 2 2 3" xfId="7991" xr:uid="{00000000-0005-0000-0000-0000531F0000}"/>
    <cellStyle name="Percent 2 2 3 2" xfId="7992" xr:uid="{00000000-0005-0000-0000-0000541F0000}"/>
    <cellStyle name="Percent 2 2 3 2 2" xfId="7993" xr:uid="{00000000-0005-0000-0000-0000551F0000}"/>
    <cellStyle name="Percent 2 2 3 2 3" xfId="7994" xr:uid="{00000000-0005-0000-0000-0000561F0000}"/>
    <cellStyle name="Percent 2 2 3 3" xfId="7995" xr:uid="{00000000-0005-0000-0000-0000571F0000}"/>
    <cellStyle name="Percent 2 2 4" xfId="7996" xr:uid="{00000000-0005-0000-0000-0000581F0000}"/>
    <cellStyle name="Percent 2 2 4 2" xfId="7997" xr:uid="{00000000-0005-0000-0000-0000591F0000}"/>
    <cellStyle name="Percent 2 2 4 2 2" xfId="7998" xr:uid="{00000000-0005-0000-0000-00005A1F0000}"/>
    <cellStyle name="Percent 2 2 4 2 3" xfId="7999" xr:uid="{00000000-0005-0000-0000-00005B1F0000}"/>
    <cellStyle name="Percent 2 2 4 3" xfId="8000" xr:uid="{00000000-0005-0000-0000-00005C1F0000}"/>
    <cellStyle name="Percent 2 2 5" xfId="8001" xr:uid="{00000000-0005-0000-0000-00005D1F0000}"/>
    <cellStyle name="Percent 2 2 5 2" xfId="8002" xr:uid="{00000000-0005-0000-0000-00005E1F0000}"/>
    <cellStyle name="Percent 2 2 5 2 2" xfId="8003" xr:uid="{00000000-0005-0000-0000-00005F1F0000}"/>
    <cellStyle name="Percent 2 2 5 2 3" xfId="8004" xr:uid="{00000000-0005-0000-0000-0000601F0000}"/>
    <cellStyle name="Percent 2 2 5 3" xfId="8005" xr:uid="{00000000-0005-0000-0000-0000611F0000}"/>
    <cellStyle name="Percent 2 2 6" xfId="8006" xr:uid="{00000000-0005-0000-0000-0000621F0000}"/>
    <cellStyle name="Percent 2 2 6 2" xfId="8007" xr:uid="{00000000-0005-0000-0000-0000631F0000}"/>
    <cellStyle name="Percent 2 2 6 2 2" xfId="8008" xr:uid="{00000000-0005-0000-0000-0000641F0000}"/>
    <cellStyle name="Percent 2 2 6 2 3" xfId="8009" xr:uid="{00000000-0005-0000-0000-0000651F0000}"/>
    <cellStyle name="Percent 2 2 6 3" xfId="8010" xr:uid="{00000000-0005-0000-0000-0000661F0000}"/>
    <cellStyle name="Percent 2 2 7" xfId="8011" xr:uid="{00000000-0005-0000-0000-0000671F0000}"/>
    <cellStyle name="Percent 2 2 7 2" xfId="8012" xr:uid="{00000000-0005-0000-0000-0000681F0000}"/>
    <cellStyle name="Percent 2 2 7 2 2" xfId="8013" xr:uid="{00000000-0005-0000-0000-0000691F0000}"/>
    <cellStyle name="Percent 2 2 7 2 3" xfId="8014" xr:uid="{00000000-0005-0000-0000-00006A1F0000}"/>
    <cellStyle name="Percent 2 2 7 3" xfId="8015" xr:uid="{00000000-0005-0000-0000-00006B1F0000}"/>
    <cellStyle name="Percent 2 2 8" xfId="8016" xr:uid="{00000000-0005-0000-0000-00006C1F0000}"/>
    <cellStyle name="Percent 2 2 8 2" xfId="8017" xr:uid="{00000000-0005-0000-0000-00006D1F0000}"/>
    <cellStyle name="Percent 2 2 8 2 2" xfId="8018" xr:uid="{00000000-0005-0000-0000-00006E1F0000}"/>
    <cellStyle name="Percent 2 2 8 2 3" xfId="8019" xr:uid="{00000000-0005-0000-0000-00006F1F0000}"/>
    <cellStyle name="Percent 2 2 8 3" xfId="8020" xr:uid="{00000000-0005-0000-0000-0000701F0000}"/>
    <cellStyle name="Percent 2 2 9" xfId="8021" xr:uid="{00000000-0005-0000-0000-0000711F0000}"/>
    <cellStyle name="Percent 2 2 9 2" xfId="8022" xr:uid="{00000000-0005-0000-0000-0000721F0000}"/>
    <cellStyle name="Percent 2 20" xfId="8023" xr:uid="{00000000-0005-0000-0000-0000731F0000}"/>
    <cellStyle name="Percent 2 20 2" xfId="8024" xr:uid="{00000000-0005-0000-0000-0000741F0000}"/>
    <cellStyle name="Percent 2 20 2 2" xfId="8025" xr:uid="{00000000-0005-0000-0000-0000751F0000}"/>
    <cellStyle name="Percent 2 20 2 3" xfId="8026" xr:uid="{00000000-0005-0000-0000-0000761F0000}"/>
    <cellStyle name="Percent 2 20 3" xfId="8027" xr:uid="{00000000-0005-0000-0000-0000771F0000}"/>
    <cellStyle name="Percent 2 21" xfId="8028" xr:uid="{00000000-0005-0000-0000-0000781F0000}"/>
    <cellStyle name="Percent 2 21 2" xfId="8029" xr:uid="{00000000-0005-0000-0000-0000791F0000}"/>
    <cellStyle name="Percent 2 21 2 2" xfId="8030" xr:uid="{00000000-0005-0000-0000-00007A1F0000}"/>
    <cellStyle name="Percent 2 21 2 3" xfId="8031" xr:uid="{00000000-0005-0000-0000-00007B1F0000}"/>
    <cellStyle name="Percent 2 21 3" xfId="8032" xr:uid="{00000000-0005-0000-0000-00007C1F0000}"/>
    <cellStyle name="Percent 2 22" xfId="8033" xr:uid="{00000000-0005-0000-0000-00007D1F0000}"/>
    <cellStyle name="Percent 2 22 2" xfId="8034" xr:uid="{00000000-0005-0000-0000-00007E1F0000}"/>
    <cellStyle name="Percent 2 22 2 2" xfId="8035" xr:uid="{00000000-0005-0000-0000-00007F1F0000}"/>
    <cellStyle name="Percent 2 22 2 3" xfId="8036" xr:uid="{00000000-0005-0000-0000-0000801F0000}"/>
    <cellStyle name="Percent 2 22 3" xfId="8037" xr:uid="{00000000-0005-0000-0000-0000811F0000}"/>
    <cellStyle name="Percent 2 23" xfId="8038" xr:uid="{00000000-0005-0000-0000-0000821F0000}"/>
    <cellStyle name="Percent 2 23 2" xfId="8039" xr:uid="{00000000-0005-0000-0000-0000831F0000}"/>
    <cellStyle name="Percent 2 23 2 2" xfId="8040" xr:uid="{00000000-0005-0000-0000-0000841F0000}"/>
    <cellStyle name="Percent 2 23 2 3" xfId="8041" xr:uid="{00000000-0005-0000-0000-0000851F0000}"/>
    <cellStyle name="Percent 2 23 3" xfId="8042" xr:uid="{00000000-0005-0000-0000-0000861F0000}"/>
    <cellStyle name="Percent 2 24" xfId="8043" xr:uid="{00000000-0005-0000-0000-0000871F0000}"/>
    <cellStyle name="Percent 2 24 2" xfId="8044" xr:uid="{00000000-0005-0000-0000-0000881F0000}"/>
    <cellStyle name="Percent 2 24 2 2" xfId="8045" xr:uid="{00000000-0005-0000-0000-0000891F0000}"/>
    <cellStyle name="Percent 2 24 2 3" xfId="8046" xr:uid="{00000000-0005-0000-0000-00008A1F0000}"/>
    <cellStyle name="Percent 2 24 3" xfId="8047" xr:uid="{00000000-0005-0000-0000-00008B1F0000}"/>
    <cellStyle name="Percent 2 25" xfId="8048" xr:uid="{00000000-0005-0000-0000-00008C1F0000}"/>
    <cellStyle name="Percent 2 25 2" xfId="8049" xr:uid="{00000000-0005-0000-0000-00008D1F0000}"/>
    <cellStyle name="Percent 2 25 2 2" xfId="8050" xr:uid="{00000000-0005-0000-0000-00008E1F0000}"/>
    <cellStyle name="Percent 2 25 2 3" xfId="8051" xr:uid="{00000000-0005-0000-0000-00008F1F0000}"/>
    <cellStyle name="Percent 2 25 3" xfId="8052" xr:uid="{00000000-0005-0000-0000-0000901F0000}"/>
    <cellStyle name="Percent 2 26" xfId="8053" xr:uid="{00000000-0005-0000-0000-0000911F0000}"/>
    <cellStyle name="Percent 2 26 2" xfId="8054" xr:uid="{00000000-0005-0000-0000-0000921F0000}"/>
    <cellStyle name="Percent 2 26 2 2" xfId="8055" xr:uid="{00000000-0005-0000-0000-0000931F0000}"/>
    <cellStyle name="Percent 2 26 2 3" xfId="8056" xr:uid="{00000000-0005-0000-0000-0000941F0000}"/>
    <cellStyle name="Percent 2 26 3" xfId="8057" xr:uid="{00000000-0005-0000-0000-0000951F0000}"/>
    <cellStyle name="Percent 2 27" xfId="8058" xr:uid="{00000000-0005-0000-0000-0000961F0000}"/>
    <cellStyle name="Percent 2 27 2" xfId="8059" xr:uid="{00000000-0005-0000-0000-0000971F0000}"/>
    <cellStyle name="Percent 2 27 2 2" xfId="8060" xr:uid="{00000000-0005-0000-0000-0000981F0000}"/>
    <cellStyle name="Percent 2 27 2 3" xfId="8061" xr:uid="{00000000-0005-0000-0000-0000991F0000}"/>
    <cellStyle name="Percent 2 27 3" xfId="8062" xr:uid="{00000000-0005-0000-0000-00009A1F0000}"/>
    <cellStyle name="Percent 2 28" xfId="8063" xr:uid="{00000000-0005-0000-0000-00009B1F0000}"/>
    <cellStyle name="Percent 2 28 2" xfId="8064" xr:uid="{00000000-0005-0000-0000-00009C1F0000}"/>
    <cellStyle name="Percent 2 28 3" xfId="8065" xr:uid="{00000000-0005-0000-0000-00009D1F0000}"/>
    <cellStyle name="Percent 2 28 4" xfId="8066" xr:uid="{00000000-0005-0000-0000-00009E1F0000}"/>
    <cellStyle name="Percent 2 29" xfId="8067" xr:uid="{00000000-0005-0000-0000-00009F1F0000}"/>
    <cellStyle name="Percent 2 29 2" xfId="8068" xr:uid="{00000000-0005-0000-0000-0000A01F0000}"/>
    <cellStyle name="Percent 2 3" xfId="8069" xr:uid="{00000000-0005-0000-0000-0000A11F0000}"/>
    <cellStyle name="Percent 2 3 10" xfId="8070" xr:uid="{00000000-0005-0000-0000-0000A21F0000}"/>
    <cellStyle name="Percent 2 3 11" xfId="8071" xr:uid="{00000000-0005-0000-0000-0000A31F0000}"/>
    <cellStyle name="Percent 2 3 12" xfId="8072" xr:uid="{00000000-0005-0000-0000-0000A41F0000}"/>
    <cellStyle name="Percent 2 3 13" xfId="8073" xr:uid="{00000000-0005-0000-0000-0000A51F0000}"/>
    <cellStyle name="Percent 2 3 14" xfId="8074" xr:uid="{00000000-0005-0000-0000-0000A61F0000}"/>
    <cellStyle name="Percent 2 3 15" xfId="8075" xr:uid="{00000000-0005-0000-0000-0000A71F0000}"/>
    <cellStyle name="Percent 2 3 16" xfId="8076" xr:uid="{00000000-0005-0000-0000-0000A81F0000}"/>
    <cellStyle name="Percent 2 3 17" xfId="8077" xr:uid="{00000000-0005-0000-0000-0000A91F0000}"/>
    <cellStyle name="Percent 2 3 18" xfId="8078" xr:uid="{00000000-0005-0000-0000-0000AA1F0000}"/>
    <cellStyle name="Percent 2 3 19" xfId="8079" xr:uid="{00000000-0005-0000-0000-0000AB1F0000}"/>
    <cellStyle name="Percent 2 3 2" xfId="8080" xr:uid="{00000000-0005-0000-0000-0000AC1F0000}"/>
    <cellStyle name="Percent 2 3 2 2" xfId="8081" xr:uid="{00000000-0005-0000-0000-0000AD1F0000}"/>
    <cellStyle name="Percent 2 3 2 2 2" xfId="8082" xr:uid="{00000000-0005-0000-0000-0000AE1F0000}"/>
    <cellStyle name="Percent 2 3 2 2 2 2" xfId="8083" xr:uid="{00000000-0005-0000-0000-0000AF1F0000}"/>
    <cellStyle name="Percent 2 3 2 2 2 2 2" xfId="8084" xr:uid="{00000000-0005-0000-0000-0000B01F0000}"/>
    <cellStyle name="Percent 2 3 2 2 2 3" xfId="8085" xr:uid="{00000000-0005-0000-0000-0000B11F0000}"/>
    <cellStyle name="Percent 2 3 2 2 3" xfId="8086" xr:uid="{00000000-0005-0000-0000-0000B21F0000}"/>
    <cellStyle name="Percent 2 3 2 2 3 2" xfId="8087" xr:uid="{00000000-0005-0000-0000-0000B31F0000}"/>
    <cellStyle name="Percent 2 3 2 2 3 2 2" xfId="8088" xr:uid="{00000000-0005-0000-0000-0000B41F0000}"/>
    <cellStyle name="Percent 2 3 2 2 3 3" xfId="8089" xr:uid="{00000000-0005-0000-0000-0000B51F0000}"/>
    <cellStyle name="Percent 2 3 2 2 4" xfId="8090" xr:uid="{00000000-0005-0000-0000-0000B61F0000}"/>
    <cellStyle name="Percent 2 3 2 2 4 2" xfId="8091" xr:uid="{00000000-0005-0000-0000-0000B71F0000}"/>
    <cellStyle name="Percent 2 3 2 2 4 2 2" xfId="8092" xr:uid="{00000000-0005-0000-0000-0000B81F0000}"/>
    <cellStyle name="Percent 2 3 2 2 4 3" xfId="8093" xr:uid="{00000000-0005-0000-0000-0000B91F0000}"/>
    <cellStyle name="Percent 2 3 2 2 5" xfId="8094" xr:uid="{00000000-0005-0000-0000-0000BA1F0000}"/>
    <cellStyle name="Percent 2 3 2 2 5 2" xfId="8095" xr:uid="{00000000-0005-0000-0000-0000BB1F0000}"/>
    <cellStyle name="Percent 2 3 2 2 5 2 2" xfId="8096" xr:uid="{00000000-0005-0000-0000-0000BC1F0000}"/>
    <cellStyle name="Percent 2 3 2 2 5 3" xfId="8097" xr:uid="{00000000-0005-0000-0000-0000BD1F0000}"/>
    <cellStyle name="Percent 2 3 2 3" xfId="8098" xr:uid="{00000000-0005-0000-0000-0000BE1F0000}"/>
    <cellStyle name="Percent 2 3 2 4" xfId="8099" xr:uid="{00000000-0005-0000-0000-0000BF1F0000}"/>
    <cellStyle name="Percent 2 3 2 4 2" xfId="8100" xr:uid="{00000000-0005-0000-0000-0000C01F0000}"/>
    <cellStyle name="Percent 2 3 2 5" xfId="8101" xr:uid="{00000000-0005-0000-0000-0000C11F0000}"/>
    <cellStyle name="Percent 2 3 2 6" xfId="8102" xr:uid="{00000000-0005-0000-0000-0000C21F0000}"/>
    <cellStyle name="Percent 2 3 2 6 2" xfId="8103" xr:uid="{00000000-0005-0000-0000-0000C31F0000}"/>
    <cellStyle name="Percent 2 3 2 6 3" xfId="8104" xr:uid="{00000000-0005-0000-0000-0000C41F0000}"/>
    <cellStyle name="Percent 2 3 2 7" xfId="8105" xr:uid="{00000000-0005-0000-0000-0000C51F0000}"/>
    <cellStyle name="Percent 2 3 2 8" xfId="8106" xr:uid="{00000000-0005-0000-0000-0000C61F0000}"/>
    <cellStyle name="Percent 2 3 3" xfId="8107" xr:uid="{00000000-0005-0000-0000-0000C71F0000}"/>
    <cellStyle name="Percent 2 3 3 2" xfId="8108" xr:uid="{00000000-0005-0000-0000-0000C81F0000}"/>
    <cellStyle name="Percent 2 3 3 2 2" xfId="8109" xr:uid="{00000000-0005-0000-0000-0000C91F0000}"/>
    <cellStyle name="Percent 2 3 3 3" xfId="8110" xr:uid="{00000000-0005-0000-0000-0000CA1F0000}"/>
    <cellStyle name="Percent 2 3 3 4" xfId="8111" xr:uid="{00000000-0005-0000-0000-0000CB1F0000}"/>
    <cellStyle name="Percent 2 3 4" xfId="8112" xr:uid="{00000000-0005-0000-0000-0000CC1F0000}"/>
    <cellStyle name="Percent 2 3 4 2" xfId="8113" xr:uid="{00000000-0005-0000-0000-0000CD1F0000}"/>
    <cellStyle name="Percent 2 3 4 2 2" xfId="8114" xr:uid="{00000000-0005-0000-0000-0000CE1F0000}"/>
    <cellStyle name="Percent 2 3 4 3" xfId="8115" xr:uid="{00000000-0005-0000-0000-0000CF1F0000}"/>
    <cellStyle name="Percent 2 3 4 4" xfId="8116" xr:uid="{00000000-0005-0000-0000-0000D01F0000}"/>
    <cellStyle name="Percent 2 3 5" xfId="8117" xr:uid="{00000000-0005-0000-0000-0000D11F0000}"/>
    <cellStyle name="Percent 2 3 5 2" xfId="8118" xr:uid="{00000000-0005-0000-0000-0000D21F0000}"/>
    <cellStyle name="Percent 2 3 5 2 2" xfId="8119" xr:uid="{00000000-0005-0000-0000-0000D31F0000}"/>
    <cellStyle name="Percent 2 3 5 3" xfId="8120" xr:uid="{00000000-0005-0000-0000-0000D41F0000}"/>
    <cellStyle name="Percent 2 3 5 4" xfId="8121" xr:uid="{00000000-0005-0000-0000-0000D51F0000}"/>
    <cellStyle name="Percent 2 3 6" xfId="8122" xr:uid="{00000000-0005-0000-0000-0000D61F0000}"/>
    <cellStyle name="Percent 2 3 6 2" xfId="8123" xr:uid="{00000000-0005-0000-0000-0000D71F0000}"/>
    <cellStyle name="Percent 2 3 6 2 2" xfId="8124" xr:uid="{00000000-0005-0000-0000-0000D81F0000}"/>
    <cellStyle name="Percent 2 3 6 3" xfId="8125" xr:uid="{00000000-0005-0000-0000-0000D91F0000}"/>
    <cellStyle name="Percent 2 3 6 4" xfId="8126" xr:uid="{00000000-0005-0000-0000-0000DA1F0000}"/>
    <cellStyle name="Percent 2 3 7" xfId="8127" xr:uid="{00000000-0005-0000-0000-0000DB1F0000}"/>
    <cellStyle name="Percent 2 3 8" xfId="8128" xr:uid="{00000000-0005-0000-0000-0000DC1F0000}"/>
    <cellStyle name="Percent 2 3 9" xfId="8129" xr:uid="{00000000-0005-0000-0000-0000DD1F0000}"/>
    <cellStyle name="Percent 2 30" xfId="8130" xr:uid="{00000000-0005-0000-0000-0000DE1F0000}"/>
    <cellStyle name="Percent 2 30 2" xfId="8131" xr:uid="{00000000-0005-0000-0000-0000DF1F0000}"/>
    <cellStyle name="Percent 2 31" xfId="8132" xr:uid="{00000000-0005-0000-0000-0000E01F0000}"/>
    <cellStyle name="Percent 2 31 2" xfId="8133" xr:uid="{00000000-0005-0000-0000-0000E11F0000}"/>
    <cellStyle name="Percent 2 32" xfId="8134" xr:uid="{00000000-0005-0000-0000-0000E21F0000}"/>
    <cellStyle name="Percent 2 32 2" xfId="8135" xr:uid="{00000000-0005-0000-0000-0000E31F0000}"/>
    <cellStyle name="Percent 2 33" xfId="8136" xr:uid="{00000000-0005-0000-0000-0000E41F0000}"/>
    <cellStyle name="Percent 2 33 2" xfId="8137" xr:uid="{00000000-0005-0000-0000-0000E51F0000}"/>
    <cellStyle name="Percent 2 34" xfId="8138" xr:uid="{00000000-0005-0000-0000-0000E61F0000}"/>
    <cellStyle name="Percent 2 34 2" xfId="8139" xr:uid="{00000000-0005-0000-0000-0000E71F0000}"/>
    <cellStyle name="Percent 2 35" xfId="8140" xr:uid="{00000000-0005-0000-0000-0000E81F0000}"/>
    <cellStyle name="Percent 2 35 2" xfId="8141" xr:uid="{00000000-0005-0000-0000-0000E91F0000}"/>
    <cellStyle name="Percent 2 36" xfId="8142" xr:uid="{00000000-0005-0000-0000-0000EA1F0000}"/>
    <cellStyle name="Percent 2 36 2" xfId="8143" xr:uid="{00000000-0005-0000-0000-0000EB1F0000}"/>
    <cellStyle name="Percent 2 37" xfId="8144" xr:uid="{00000000-0005-0000-0000-0000EC1F0000}"/>
    <cellStyle name="Percent 2 37 2" xfId="8145" xr:uid="{00000000-0005-0000-0000-0000ED1F0000}"/>
    <cellStyle name="Percent 2 38" xfId="8146" xr:uid="{00000000-0005-0000-0000-0000EE1F0000}"/>
    <cellStyle name="Percent 2 38 2" xfId="8147" xr:uid="{00000000-0005-0000-0000-0000EF1F0000}"/>
    <cellStyle name="Percent 2 39" xfId="8148" xr:uid="{00000000-0005-0000-0000-0000F01F0000}"/>
    <cellStyle name="Percent 2 39 2" xfId="8149" xr:uid="{00000000-0005-0000-0000-0000F11F0000}"/>
    <cellStyle name="Percent 2 4" xfId="8150" xr:uid="{00000000-0005-0000-0000-0000F21F0000}"/>
    <cellStyle name="Percent 2 4 2" xfId="8151" xr:uid="{00000000-0005-0000-0000-0000F31F0000}"/>
    <cellStyle name="Percent 2 4 2 2" xfId="8152" xr:uid="{00000000-0005-0000-0000-0000F41F0000}"/>
    <cellStyle name="Percent 2 4 2 2 2" xfId="8153" xr:uid="{00000000-0005-0000-0000-0000F51F0000}"/>
    <cellStyle name="Percent 2 4 2 3" xfId="8154" xr:uid="{00000000-0005-0000-0000-0000F61F0000}"/>
    <cellStyle name="Percent 2 4 2 4" xfId="8155" xr:uid="{00000000-0005-0000-0000-0000F71F0000}"/>
    <cellStyle name="Percent 2 4 2 5" xfId="8156" xr:uid="{00000000-0005-0000-0000-0000F81F0000}"/>
    <cellStyle name="Percent 2 4 3" xfId="8157" xr:uid="{00000000-0005-0000-0000-0000F91F0000}"/>
    <cellStyle name="Percent 2 4 4" xfId="8158" xr:uid="{00000000-0005-0000-0000-0000FA1F0000}"/>
    <cellStyle name="Percent 2 4 5" xfId="8159" xr:uid="{00000000-0005-0000-0000-0000FB1F0000}"/>
    <cellStyle name="Percent 2 4 6" xfId="8160" xr:uid="{00000000-0005-0000-0000-0000FC1F0000}"/>
    <cellStyle name="Percent 2 40" xfId="8161" xr:uid="{00000000-0005-0000-0000-0000FD1F0000}"/>
    <cellStyle name="Percent 2 40 2" xfId="8162" xr:uid="{00000000-0005-0000-0000-0000FE1F0000}"/>
    <cellStyle name="Percent 2 41" xfId="8163" xr:uid="{00000000-0005-0000-0000-0000FF1F0000}"/>
    <cellStyle name="Percent 2 41 2" xfId="8164" xr:uid="{00000000-0005-0000-0000-000000200000}"/>
    <cellStyle name="Percent 2 42" xfId="8165" xr:uid="{00000000-0005-0000-0000-000001200000}"/>
    <cellStyle name="Percent 2 42 2" xfId="8166" xr:uid="{00000000-0005-0000-0000-000002200000}"/>
    <cellStyle name="Percent 2 43" xfId="8167" xr:uid="{00000000-0005-0000-0000-000003200000}"/>
    <cellStyle name="Percent 2 43 2" xfId="8168" xr:uid="{00000000-0005-0000-0000-000004200000}"/>
    <cellStyle name="Percent 2 44" xfId="8169" xr:uid="{00000000-0005-0000-0000-000005200000}"/>
    <cellStyle name="Percent 2 44 2" xfId="8170" xr:uid="{00000000-0005-0000-0000-000006200000}"/>
    <cellStyle name="Percent 2 45" xfId="8171" xr:uid="{00000000-0005-0000-0000-000007200000}"/>
    <cellStyle name="Percent 2 45 2" xfId="8172" xr:uid="{00000000-0005-0000-0000-000008200000}"/>
    <cellStyle name="Percent 2 46" xfId="8173" xr:uid="{00000000-0005-0000-0000-000009200000}"/>
    <cellStyle name="Percent 2 46 2" xfId="8174" xr:uid="{00000000-0005-0000-0000-00000A200000}"/>
    <cellStyle name="Percent 2 47" xfId="8175" xr:uid="{00000000-0005-0000-0000-00000B200000}"/>
    <cellStyle name="Percent 2 47 2" xfId="8176" xr:uid="{00000000-0005-0000-0000-00000C200000}"/>
    <cellStyle name="Percent 2 48" xfId="8177" xr:uid="{00000000-0005-0000-0000-00000D200000}"/>
    <cellStyle name="Percent 2 48 2" xfId="8178" xr:uid="{00000000-0005-0000-0000-00000E200000}"/>
    <cellStyle name="Percent 2 49" xfId="8179" xr:uid="{00000000-0005-0000-0000-00000F200000}"/>
    <cellStyle name="Percent 2 49 2" xfId="8180" xr:uid="{00000000-0005-0000-0000-000010200000}"/>
    <cellStyle name="Percent 2 5" xfId="8181" xr:uid="{00000000-0005-0000-0000-000011200000}"/>
    <cellStyle name="Percent 2 5 2" xfId="8182" xr:uid="{00000000-0005-0000-0000-000012200000}"/>
    <cellStyle name="Percent 2 5 2 2" xfId="8183" xr:uid="{00000000-0005-0000-0000-000013200000}"/>
    <cellStyle name="Percent 2 5 2 3" xfId="8184" xr:uid="{00000000-0005-0000-0000-000014200000}"/>
    <cellStyle name="Percent 2 5 3" xfId="8185" xr:uid="{00000000-0005-0000-0000-000015200000}"/>
    <cellStyle name="Percent 2 5 4" xfId="8186" xr:uid="{00000000-0005-0000-0000-000016200000}"/>
    <cellStyle name="Percent 2 50" xfId="8187" xr:uid="{00000000-0005-0000-0000-000017200000}"/>
    <cellStyle name="Percent 2 50 2" xfId="8188" xr:uid="{00000000-0005-0000-0000-000018200000}"/>
    <cellStyle name="Percent 2 51" xfId="8189" xr:uid="{00000000-0005-0000-0000-000019200000}"/>
    <cellStyle name="Percent 2 51 2" xfId="8190" xr:uid="{00000000-0005-0000-0000-00001A200000}"/>
    <cellStyle name="Percent 2 52" xfId="8191" xr:uid="{00000000-0005-0000-0000-00001B200000}"/>
    <cellStyle name="Percent 2 52 2" xfId="8192" xr:uid="{00000000-0005-0000-0000-00001C200000}"/>
    <cellStyle name="Percent 2 53" xfId="8193" xr:uid="{00000000-0005-0000-0000-00001D200000}"/>
    <cellStyle name="Percent 2 53 2" xfId="8194" xr:uid="{00000000-0005-0000-0000-00001E200000}"/>
    <cellStyle name="Percent 2 54" xfId="8195" xr:uid="{00000000-0005-0000-0000-00001F200000}"/>
    <cellStyle name="Percent 2 54 2" xfId="8196" xr:uid="{00000000-0005-0000-0000-000020200000}"/>
    <cellStyle name="Percent 2 55" xfId="8197" xr:uid="{00000000-0005-0000-0000-000021200000}"/>
    <cellStyle name="Percent 2 56" xfId="8198" xr:uid="{00000000-0005-0000-0000-000022200000}"/>
    <cellStyle name="Percent 2 56 2" xfId="8199" xr:uid="{00000000-0005-0000-0000-000023200000}"/>
    <cellStyle name="Percent 2 57" xfId="8200" xr:uid="{00000000-0005-0000-0000-000024200000}"/>
    <cellStyle name="Percent 2 57 2" xfId="8201" xr:uid="{00000000-0005-0000-0000-000025200000}"/>
    <cellStyle name="Percent 2 58" xfId="8202" xr:uid="{00000000-0005-0000-0000-000026200000}"/>
    <cellStyle name="Percent 2 58 2" xfId="8203" xr:uid="{00000000-0005-0000-0000-000027200000}"/>
    <cellStyle name="Percent 2 59" xfId="8204" xr:uid="{00000000-0005-0000-0000-000028200000}"/>
    <cellStyle name="Percent 2 59 2" xfId="8205" xr:uid="{00000000-0005-0000-0000-000029200000}"/>
    <cellStyle name="Percent 2 6" xfId="8206" xr:uid="{00000000-0005-0000-0000-00002A200000}"/>
    <cellStyle name="Percent 2 6 2" xfId="8207" xr:uid="{00000000-0005-0000-0000-00002B200000}"/>
    <cellStyle name="Percent 2 6 2 2" xfId="8208" xr:uid="{00000000-0005-0000-0000-00002C200000}"/>
    <cellStyle name="Percent 2 6 2 2 2" xfId="8209" xr:uid="{00000000-0005-0000-0000-00002D200000}"/>
    <cellStyle name="Percent 2 6 2 3" xfId="8210" xr:uid="{00000000-0005-0000-0000-00002E200000}"/>
    <cellStyle name="Percent 2 6 3" xfId="8211" xr:uid="{00000000-0005-0000-0000-00002F200000}"/>
    <cellStyle name="Percent 2 6 4" xfId="8212" xr:uid="{00000000-0005-0000-0000-000030200000}"/>
    <cellStyle name="Percent 2 60" xfId="8213" xr:uid="{00000000-0005-0000-0000-000031200000}"/>
    <cellStyle name="Percent 2 60 2" xfId="8214" xr:uid="{00000000-0005-0000-0000-000032200000}"/>
    <cellStyle name="Percent 2 61" xfId="8215" xr:uid="{00000000-0005-0000-0000-000033200000}"/>
    <cellStyle name="Percent 2 61 2" xfId="8216" xr:uid="{00000000-0005-0000-0000-000034200000}"/>
    <cellStyle name="Percent 2 62" xfId="8217" xr:uid="{00000000-0005-0000-0000-000035200000}"/>
    <cellStyle name="Percent 2 62 2" xfId="8218" xr:uid="{00000000-0005-0000-0000-000036200000}"/>
    <cellStyle name="Percent 2 63" xfId="8219" xr:uid="{00000000-0005-0000-0000-000037200000}"/>
    <cellStyle name="Percent 2 63 2" xfId="8220" xr:uid="{00000000-0005-0000-0000-000038200000}"/>
    <cellStyle name="Percent 2 63 2 2" xfId="8221" xr:uid="{00000000-0005-0000-0000-000039200000}"/>
    <cellStyle name="Percent 2 63 2 2 2" xfId="8222" xr:uid="{00000000-0005-0000-0000-00003A200000}"/>
    <cellStyle name="Percent 2 63 2 3" xfId="8223" xr:uid="{00000000-0005-0000-0000-00003B200000}"/>
    <cellStyle name="Percent 2 64" xfId="8224" xr:uid="{00000000-0005-0000-0000-00003C200000}"/>
    <cellStyle name="Percent 2 65" xfId="8225" xr:uid="{00000000-0005-0000-0000-00003D200000}"/>
    <cellStyle name="Percent 2 66" xfId="8226" xr:uid="{00000000-0005-0000-0000-00003E200000}"/>
    <cellStyle name="Percent 2 67" xfId="8227" xr:uid="{00000000-0005-0000-0000-00003F200000}"/>
    <cellStyle name="Percent 2 68" xfId="8228" xr:uid="{00000000-0005-0000-0000-000040200000}"/>
    <cellStyle name="Percent 2 69" xfId="8229" xr:uid="{00000000-0005-0000-0000-000041200000}"/>
    <cellStyle name="Percent 2 69 2" xfId="8230" xr:uid="{00000000-0005-0000-0000-000042200000}"/>
    <cellStyle name="Percent 2 7" xfId="8231" xr:uid="{00000000-0005-0000-0000-000043200000}"/>
    <cellStyle name="Percent 2 7 2" xfId="8232" xr:uid="{00000000-0005-0000-0000-000044200000}"/>
    <cellStyle name="Percent 2 7 2 2" xfId="8233" xr:uid="{00000000-0005-0000-0000-000045200000}"/>
    <cellStyle name="Percent 2 7 2 3" xfId="8234" xr:uid="{00000000-0005-0000-0000-000046200000}"/>
    <cellStyle name="Percent 2 7 3" xfId="8235" xr:uid="{00000000-0005-0000-0000-000047200000}"/>
    <cellStyle name="Percent 2 70" xfId="8236" xr:uid="{00000000-0005-0000-0000-000048200000}"/>
    <cellStyle name="Percent 2 71" xfId="8237" xr:uid="{00000000-0005-0000-0000-000049200000}"/>
    <cellStyle name="Percent 2 72" xfId="8238" xr:uid="{00000000-0005-0000-0000-00004A200000}"/>
    <cellStyle name="Percent 2 73" xfId="8239" xr:uid="{00000000-0005-0000-0000-00004B200000}"/>
    <cellStyle name="Percent 2 74" xfId="8240" xr:uid="{00000000-0005-0000-0000-00004C200000}"/>
    <cellStyle name="Percent 2 75" xfId="8241" xr:uid="{00000000-0005-0000-0000-00004D200000}"/>
    <cellStyle name="Percent 2 76" xfId="8242" xr:uid="{00000000-0005-0000-0000-00004E200000}"/>
    <cellStyle name="Percent 2 77" xfId="8243" xr:uid="{00000000-0005-0000-0000-00004F200000}"/>
    <cellStyle name="Percent 2 78" xfId="8244" xr:uid="{00000000-0005-0000-0000-000050200000}"/>
    <cellStyle name="Percent 2 79" xfId="8245" xr:uid="{00000000-0005-0000-0000-000051200000}"/>
    <cellStyle name="Percent 2 8" xfId="8246" xr:uid="{00000000-0005-0000-0000-000052200000}"/>
    <cellStyle name="Percent 2 8 2" xfId="8247" xr:uid="{00000000-0005-0000-0000-000053200000}"/>
    <cellStyle name="Percent 2 8 2 2" xfId="8248" xr:uid="{00000000-0005-0000-0000-000054200000}"/>
    <cellStyle name="Percent 2 8 2 3" xfId="8249" xr:uid="{00000000-0005-0000-0000-000055200000}"/>
    <cellStyle name="Percent 2 8 3" xfId="8250" xr:uid="{00000000-0005-0000-0000-000056200000}"/>
    <cellStyle name="Percent 2 80" xfId="8251" xr:uid="{00000000-0005-0000-0000-000057200000}"/>
    <cellStyle name="Percent 2 81" xfId="8252" xr:uid="{00000000-0005-0000-0000-000058200000}"/>
    <cellStyle name="Percent 2 82" xfId="8253" xr:uid="{00000000-0005-0000-0000-000059200000}"/>
    <cellStyle name="Percent 2 83" xfId="8254" xr:uid="{00000000-0005-0000-0000-00005A200000}"/>
    <cellStyle name="Percent 2 84" xfId="8255" xr:uid="{00000000-0005-0000-0000-00005B200000}"/>
    <cellStyle name="Percent 2 85" xfId="8256" xr:uid="{00000000-0005-0000-0000-00005C200000}"/>
    <cellStyle name="Percent 2 86" xfId="8257" xr:uid="{00000000-0005-0000-0000-00005D200000}"/>
    <cellStyle name="Percent 2 87" xfId="8258" xr:uid="{00000000-0005-0000-0000-00005E200000}"/>
    <cellStyle name="Percent 2 88" xfId="8259" xr:uid="{00000000-0005-0000-0000-00005F200000}"/>
    <cellStyle name="Percent 2 89" xfId="8260" xr:uid="{00000000-0005-0000-0000-000060200000}"/>
    <cellStyle name="Percent 2 9" xfId="8261" xr:uid="{00000000-0005-0000-0000-000061200000}"/>
    <cellStyle name="Percent 2 9 2" xfId="8262" xr:uid="{00000000-0005-0000-0000-000062200000}"/>
    <cellStyle name="Percent 2 9 2 2" xfId="8263" xr:uid="{00000000-0005-0000-0000-000063200000}"/>
    <cellStyle name="Percent 2 9 2 3" xfId="8264" xr:uid="{00000000-0005-0000-0000-000064200000}"/>
    <cellStyle name="Percent 2 9 3" xfId="8265" xr:uid="{00000000-0005-0000-0000-000065200000}"/>
    <cellStyle name="Percent 2 90" xfId="8266" xr:uid="{00000000-0005-0000-0000-000066200000}"/>
    <cellStyle name="Percent 2 91" xfId="8267" xr:uid="{00000000-0005-0000-0000-000067200000}"/>
    <cellStyle name="Percent 2 92" xfId="8268" xr:uid="{00000000-0005-0000-0000-000068200000}"/>
    <cellStyle name="Percent 2 93" xfId="8269" xr:uid="{00000000-0005-0000-0000-000069200000}"/>
    <cellStyle name="Percent 2 94" xfId="8270" xr:uid="{00000000-0005-0000-0000-00006A200000}"/>
    <cellStyle name="Percent 2 95" xfId="8271" xr:uid="{00000000-0005-0000-0000-00006B200000}"/>
    <cellStyle name="Percent 2 96" xfId="8272" xr:uid="{00000000-0005-0000-0000-00006C200000}"/>
    <cellStyle name="Percent 2 97" xfId="8273" xr:uid="{00000000-0005-0000-0000-00006D200000}"/>
    <cellStyle name="Percent 2 98" xfId="8274" xr:uid="{00000000-0005-0000-0000-00006E200000}"/>
    <cellStyle name="Percent 2 99" xfId="8275" xr:uid="{00000000-0005-0000-0000-00006F200000}"/>
    <cellStyle name="Percent 20" xfId="8276" xr:uid="{00000000-0005-0000-0000-000070200000}"/>
    <cellStyle name="Percent 20 2" xfId="8277" xr:uid="{00000000-0005-0000-0000-000071200000}"/>
    <cellStyle name="Percent 21" xfId="8278" xr:uid="{00000000-0005-0000-0000-000072200000}"/>
    <cellStyle name="Percent 21 2" xfId="8279" xr:uid="{00000000-0005-0000-0000-000073200000}"/>
    <cellStyle name="Percent 22" xfId="8280" xr:uid="{00000000-0005-0000-0000-000074200000}"/>
    <cellStyle name="Percent 23" xfId="8281" xr:uid="{00000000-0005-0000-0000-000075200000}"/>
    <cellStyle name="Percent 24" xfId="8282" xr:uid="{00000000-0005-0000-0000-000076200000}"/>
    <cellStyle name="Percent 25" xfId="8283" xr:uid="{00000000-0005-0000-0000-000077200000}"/>
    <cellStyle name="Percent 26" xfId="8284" xr:uid="{00000000-0005-0000-0000-000078200000}"/>
    <cellStyle name="Percent 26 2" xfId="8285" xr:uid="{00000000-0005-0000-0000-000079200000}"/>
    <cellStyle name="Percent 27" xfId="8286" xr:uid="{00000000-0005-0000-0000-00007A200000}"/>
    <cellStyle name="Percent 28" xfId="8287" xr:uid="{00000000-0005-0000-0000-00007B200000}"/>
    <cellStyle name="Percent 29" xfId="8288" xr:uid="{00000000-0005-0000-0000-00007C200000}"/>
    <cellStyle name="Percent 3" xfId="57" xr:uid="{00000000-0005-0000-0000-00007D200000}"/>
    <cellStyle name="Percent 3 10" xfId="8289" xr:uid="{00000000-0005-0000-0000-00007E200000}"/>
    <cellStyle name="Percent 3 10 2" xfId="8290" xr:uid="{00000000-0005-0000-0000-00007F200000}"/>
    <cellStyle name="Percent 3 10 2 2" xfId="8291" xr:uid="{00000000-0005-0000-0000-000080200000}"/>
    <cellStyle name="Percent 3 10 2 3" xfId="8292" xr:uid="{00000000-0005-0000-0000-000081200000}"/>
    <cellStyle name="Percent 3 10 3" xfId="8293" xr:uid="{00000000-0005-0000-0000-000082200000}"/>
    <cellStyle name="Percent 3 100" xfId="8294" xr:uid="{00000000-0005-0000-0000-000083200000}"/>
    <cellStyle name="Percent 3 101" xfId="8295" xr:uid="{00000000-0005-0000-0000-000084200000}"/>
    <cellStyle name="Percent 3 101 2" xfId="8296" xr:uid="{00000000-0005-0000-0000-000085200000}"/>
    <cellStyle name="Percent 3 101 3" xfId="8297" xr:uid="{00000000-0005-0000-0000-000086200000}"/>
    <cellStyle name="Percent 3 102" xfId="8298" xr:uid="{00000000-0005-0000-0000-000087200000}"/>
    <cellStyle name="Percent 3 102 2" xfId="8299" xr:uid="{00000000-0005-0000-0000-000088200000}"/>
    <cellStyle name="Percent 3 103" xfId="8300" xr:uid="{00000000-0005-0000-0000-000089200000}"/>
    <cellStyle name="Percent 3 103 2" xfId="8301" xr:uid="{00000000-0005-0000-0000-00008A200000}"/>
    <cellStyle name="Percent 3 104" xfId="8302" xr:uid="{00000000-0005-0000-0000-00008B200000}"/>
    <cellStyle name="Percent 3 104 2" xfId="8303" xr:uid="{00000000-0005-0000-0000-00008C200000}"/>
    <cellStyle name="Percent 3 105" xfId="8304" xr:uid="{00000000-0005-0000-0000-00008D200000}"/>
    <cellStyle name="Percent 3 105 2" xfId="8305" xr:uid="{00000000-0005-0000-0000-00008E200000}"/>
    <cellStyle name="Percent 3 106" xfId="8306" xr:uid="{00000000-0005-0000-0000-00008F200000}"/>
    <cellStyle name="Percent 3 106 2" xfId="8307" xr:uid="{00000000-0005-0000-0000-000090200000}"/>
    <cellStyle name="Percent 3 107" xfId="8308" xr:uid="{00000000-0005-0000-0000-000091200000}"/>
    <cellStyle name="Percent 3 108" xfId="8309" xr:uid="{00000000-0005-0000-0000-000092200000}"/>
    <cellStyle name="Percent 3 109" xfId="8310" xr:uid="{00000000-0005-0000-0000-000093200000}"/>
    <cellStyle name="Percent 3 11" xfId="8311" xr:uid="{00000000-0005-0000-0000-000094200000}"/>
    <cellStyle name="Percent 3 11 2" xfId="8312" xr:uid="{00000000-0005-0000-0000-000095200000}"/>
    <cellStyle name="Percent 3 11 2 2" xfId="8313" xr:uid="{00000000-0005-0000-0000-000096200000}"/>
    <cellStyle name="Percent 3 11 2 3" xfId="8314" xr:uid="{00000000-0005-0000-0000-000097200000}"/>
    <cellStyle name="Percent 3 11 3" xfId="8315" xr:uid="{00000000-0005-0000-0000-000098200000}"/>
    <cellStyle name="Percent 3 110" xfId="8316" xr:uid="{00000000-0005-0000-0000-000099200000}"/>
    <cellStyle name="Percent 3 111" xfId="8317" xr:uid="{00000000-0005-0000-0000-00009A200000}"/>
    <cellStyle name="Percent 3 112" xfId="8318" xr:uid="{00000000-0005-0000-0000-00009B200000}"/>
    <cellStyle name="Percent 3 113" xfId="8319" xr:uid="{00000000-0005-0000-0000-00009C200000}"/>
    <cellStyle name="Percent 3 114" xfId="8320" xr:uid="{00000000-0005-0000-0000-00009D200000}"/>
    <cellStyle name="Percent 3 115" xfId="8321" xr:uid="{00000000-0005-0000-0000-00009E200000}"/>
    <cellStyle name="Percent 3 116" xfId="8322" xr:uid="{00000000-0005-0000-0000-00009F200000}"/>
    <cellStyle name="Percent 3 117" xfId="8323" xr:uid="{00000000-0005-0000-0000-0000A0200000}"/>
    <cellStyle name="Percent 3 118" xfId="8324" xr:uid="{00000000-0005-0000-0000-0000A1200000}"/>
    <cellStyle name="Percent 3 119" xfId="8325" xr:uid="{00000000-0005-0000-0000-0000A2200000}"/>
    <cellStyle name="Percent 3 119 2" xfId="8326" xr:uid="{00000000-0005-0000-0000-0000A3200000}"/>
    <cellStyle name="Percent 3 12" xfId="8327" xr:uid="{00000000-0005-0000-0000-0000A4200000}"/>
    <cellStyle name="Percent 3 12 2" xfId="8328" xr:uid="{00000000-0005-0000-0000-0000A5200000}"/>
    <cellStyle name="Percent 3 12 2 2" xfId="8329" xr:uid="{00000000-0005-0000-0000-0000A6200000}"/>
    <cellStyle name="Percent 3 12 2 3" xfId="8330" xr:uid="{00000000-0005-0000-0000-0000A7200000}"/>
    <cellStyle name="Percent 3 12 3" xfId="8331" xr:uid="{00000000-0005-0000-0000-0000A8200000}"/>
    <cellStyle name="Percent 3 120" xfId="8332" xr:uid="{00000000-0005-0000-0000-0000A9200000}"/>
    <cellStyle name="Percent 3 120 2" xfId="8333" xr:uid="{00000000-0005-0000-0000-0000AA200000}"/>
    <cellStyle name="Percent 3 121" xfId="8334" xr:uid="{00000000-0005-0000-0000-0000AB200000}"/>
    <cellStyle name="Percent 3 121 2" xfId="8335" xr:uid="{00000000-0005-0000-0000-0000AC200000}"/>
    <cellStyle name="Percent 3 122" xfId="8336" xr:uid="{00000000-0005-0000-0000-0000AD200000}"/>
    <cellStyle name="Percent 3 122 2" xfId="8337" xr:uid="{00000000-0005-0000-0000-0000AE200000}"/>
    <cellStyle name="Percent 3 123" xfId="8338" xr:uid="{00000000-0005-0000-0000-0000AF200000}"/>
    <cellStyle name="Percent 3 124" xfId="8339" xr:uid="{00000000-0005-0000-0000-0000B0200000}"/>
    <cellStyle name="Percent 3 125" xfId="8340" xr:uid="{00000000-0005-0000-0000-0000B1200000}"/>
    <cellStyle name="Percent 3 126" xfId="8341" xr:uid="{00000000-0005-0000-0000-0000B2200000}"/>
    <cellStyle name="Percent 3 127" xfId="8342" xr:uid="{00000000-0005-0000-0000-0000B3200000}"/>
    <cellStyle name="Percent 3 128" xfId="8343" xr:uid="{00000000-0005-0000-0000-0000B4200000}"/>
    <cellStyle name="Percent 3 129" xfId="8344" xr:uid="{00000000-0005-0000-0000-0000B5200000}"/>
    <cellStyle name="Percent 3 13" xfId="8345" xr:uid="{00000000-0005-0000-0000-0000B6200000}"/>
    <cellStyle name="Percent 3 13 2" xfId="8346" xr:uid="{00000000-0005-0000-0000-0000B7200000}"/>
    <cellStyle name="Percent 3 13 2 2" xfId="8347" xr:uid="{00000000-0005-0000-0000-0000B8200000}"/>
    <cellStyle name="Percent 3 13 2 3" xfId="8348" xr:uid="{00000000-0005-0000-0000-0000B9200000}"/>
    <cellStyle name="Percent 3 13 3" xfId="8349" xr:uid="{00000000-0005-0000-0000-0000BA200000}"/>
    <cellStyle name="Percent 3 13 4" xfId="8350" xr:uid="{00000000-0005-0000-0000-0000BB200000}"/>
    <cellStyle name="Percent 3 130" xfId="8351" xr:uid="{00000000-0005-0000-0000-0000BC200000}"/>
    <cellStyle name="Percent 3 131" xfId="8352" xr:uid="{00000000-0005-0000-0000-0000BD200000}"/>
    <cellStyle name="Percent 3 132" xfId="8353" xr:uid="{00000000-0005-0000-0000-0000BE200000}"/>
    <cellStyle name="Percent 3 133" xfId="8354" xr:uid="{00000000-0005-0000-0000-0000BF200000}"/>
    <cellStyle name="Percent 3 134" xfId="8355" xr:uid="{00000000-0005-0000-0000-0000C0200000}"/>
    <cellStyle name="Percent 3 135" xfId="8356" xr:uid="{00000000-0005-0000-0000-0000C1200000}"/>
    <cellStyle name="Percent 3 136" xfId="8357" xr:uid="{00000000-0005-0000-0000-0000C2200000}"/>
    <cellStyle name="Percent 3 137" xfId="8358" xr:uid="{00000000-0005-0000-0000-0000C3200000}"/>
    <cellStyle name="Percent 3 138" xfId="8359" xr:uid="{00000000-0005-0000-0000-0000C4200000}"/>
    <cellStyle name="Percent 3 139" xfId="8360" xr:uid="{00000000-0005-0000-0000-0000C5200000}"/>
    <cellStyle name="Percent 3 14" xfId="8361" xr:uid="{00000000-0005-0000-0000-0000C6200000}"/>
    <cellStyle name="Percent 3 14 2" xfId="8362" xr:uid="{00000000-0005-0000-0000-0000C7200000}"/>
    <cellStyle name="Percent 3 14 2 2" xfId="8363" xr:uid="{00000000-0005-0000-0000-0000C8200000}"/>
    <cellStyle name="Percent 3 14 2 3" xfId="8364" xr:uid="{00000000-0005-0000-0000-0000C9200000}"/>
    <cellStyle name="Percent 3 14 3" xfId="8365" xr:uid="{00000000-0005-0000-0000-0000CA200000}"/>
    <cellStyle name="Percent 3 140" xfId="8366" xr:uid="{00000000-0005-0000-0000-0000CB200000}"/>
    <cellStyle name="Percent 3 141" xfId="8367" xr:uid="{00000000-0005-0000-0000-0000CC200000}"/>
    <cellStyle name="Percent 3 142" xfId="8368" xr:uid="{00000000-0005-0000-0000-0000CD200000}"/>
    <cellStyle name="Percent 3 143" xfId="8369" xr:uid="{00000000-0005-0000-0000-0000CE200000}"/>
    <cellStyle name="Percent 3 144" xfId="8370" xr:uid="{00000000-0005-0000-0000-0000CF200000}"/>
    <cellStyle name="Percent 3 145" xfId="8371" xr:uid="{00000000-0005-0000-0000-0000D0200000}"/>
    <cellStyle name="Percent 3 145 2" xfId="8372" xr:uid="{00000000-0005-0000-0000-0000D1200000}"/>
    <cellStyle name="Percent 3 146" xfId="8373" xr:uid="{00000000-0005-0000-0000-0000D2200000}"/>
    <cellStyle name="Percent 3 146 2" xfId="8374" xr:uid="{00000000-0005-0000-0000-0000D3200000}"/>
    <cellStyle name="Percent 3 147" xfId="8375" xr:uid="{00000000-0005-0000-0000-0000D4200000}"/>
    <cellStyle name="Percent 3 148" xfId="8376" xr:uid="{00000000-0005-0000-0000-0000D5200000}"/>
    <cellStyle name="Percent 3 149" xfId="8377" xr:uid="{00000000-0005-0000-0000-0000D6200000}"/>
    <cellStyle name="Percent 3 15" xfId="8378" xr:uid="{00000000-0005-0000-0000-0000D7200000}"/>
    <cellStyle name="Percent 3 15 2" xfId="8379" xr:uid="{00000000-0005-0000-0000-0000D8200000}"/>
    <cellStyle name="Percent 3 15 2 2" xfId="8380" xr:uid="{00000000-0005-0000-0000-0000D9200000}"/>
    <cellStyle name="Percent 3 15 2 3" xfId="8381" xr:uid="{00000000-0005-0000-0000-0000DA200000}"/>
    <cellStyle name="Percent 3 15 3" xfId="8382" xr:uid="{00000000-0005-0000-0000-0000DB200000}"/>
    <cellStyle name="Percent 3 15 4" xfId="8383" xr:uid="{00000000-0005-0000-0000-0000DC200000}"/>
    <cellStyle name="Percent 3 150" xfId="8384" xr:uid="{00000000-0005-0000-0000-0000DD200000}"/>
    <cellStyle name="Percent 3 151" xfId="8385" xr:uid="{00000000-0005-0000-0000-0000DE200000}"/>
    <cellStyle name="Percent 3 152" xfId="8386" xr:uid="{00000000-0005-0000-0000-0000DF200000}"/>
    <cellStyle name="Percent 3 153" xfId="8387" xr:uid="{00000000-0005-0000-0000-0000E0200000}"/>
    <cellStyle name="Percent 3 154" xfId="8388" xr:uid="{00000000-0005-0000-0000-0000E1200000}"/>
    <cellStyle name="Percent 3 155" xfId="8389" xr:uid="{00000000-0005-0000-0000-0000E2200000}"/>
    <cellStyle name="Percent 3 16" xfId="8390" xr:uid="{00000000-0005-0000-0000-0000E3200000}"/>
    <cellStyle name="Percent 3 16 2" xfId="8391" xr:uid="{00000000-0005-0000-0000-0000E4200000}"/>
    <cellStyle name="Percent 3 16 2 2" xfId="8392" xr:uid="{00000000-0005-0000-0000-0000E5200000}"/>
    <cellStyle name="Percent 3 16 2 3" xfId="8393" xr:uid="{00000000-0005-0000-0000-0000E6200000}"/>
    <cellStyle name="Percent 3 16 3" xfId="8394" xr:uid="{00000000-0005-0000-0000-0000E7200000}"/>
    <cellStyle name="Percent 3 16 4" xfId="8395" xr:uid="{00000000-0005-0000-0000-0000E8200000}"/>
    <cellStyle name="Percent 3 17" xfId="8396" xr:uid="{00000000-0005-0000-0000-0000E9200000}"/>
    <cellStyle name="Percent 3 17 2" xfId="8397" xr:uid="{00000000-0005-0000-0000-0000EA200000}"/>
    <cellStyle name="Percent 3 17 2 2" xfId="8398" xr:uid="{00000000-0005-0000-0000-0000EB200000}"/>
    <cellStyle name="Percent 3 17 2 3" xfId="8399" xr:uid="{00000000-0005-0000-0000-0000EC200000}"/>
    <cellStyle name="Percent 3 17 3" xfId="8400" xr:uid="{00000000-0005-0000-0000-0000ED200000}"/>
    <cellStyle name="Percent 3 17 4" xfId="8401" xr:uid="{00000000-0005-0000-0000-0000EE200000}"/>
    <cellStyle name="Percent 3 18" xfId="8402" xr:uid="{00000000-0005-0000-0000-0000EF200000}"/>
    <cellStyle name="Percent 3 18 2" xfId="8403" xr:uid="{00000000-0005-0000-0000-0000F0200000}"/>
    <cellStyle name="Percent 3 18 2 2" xfId="8404" xr:uid="{00000000-0005-0000-0000-0000F1200000}"/>
    <cellStyle name="Percent 3 18 2 3" xfId="8405" xr:uid="{00000000-0005-0000-0000-0000F2200000}"/>
    <cellStyle name="Percent 3 18 3" xfId="8406" xr:uid="{00000000-0005-0000-0000-0000F3200000}"/>
    <cellStyle name="Percent 3 18 4" xfId="8407" xr:uid="{00000000-0005-0000-0000-0000F4200000}"/>
    <cellStyle name="Percent 3 19" xfId="8408" xr:uid="{00000000-0005-0000-0000-0000F5200000}"/>
    <cellStyle name="Percent 3 19 2" xfId="8409" xr:uid="{00000000-0005-0000-0000-0000F6200000}"/>
    <cellStyle name="Percent 3 19 2 2" xfId="8410" xr:uid="{00000000-0005-0000-0000-0000F7200000}"/>
    <cellStyle name="Percent 3 19 2 3" xfId="8411" xr:uid="{00000000-0005-0000-0000-0000F8200000}"/>
    <cellStyle name="Percent 3 19 3" xfId="8412" xr:uid="{00000000-0005-0000-0000-0000F9200000}"/>
    <cellStyle name="Percent 3 2" xfId="8413" xr:uid="{00000000-0005-0000-0000-0000FA200000}"/>
    <cellStyle name="Percent 3 2 10" xfId="8414" xr:uid="{00000000-0005-0000-0000-0000FB200000}"/>
    <cellStyle name="Percent 3 2 10 2" xfId="8415" xr:uid="{00000000-0005-0000-0000-0000FC200000}"/>
    <cellStyle name="Percent 3 2 11" xfId="8416" xr:uid="{00000000-0005-0000-0000-0000FD200000}"/>
    <cellStyle name="Percent 3 2 11 2" xfId="8417" xr:uid="{00000000-0005-0000-0000-0000FE200000}"/>
    <cellStyle name="Percent 3 2 12" xfId="8418" xr:uid="{00000000-0005-0000-0000-0000FF200000}"/>
    <cellStyle name="Percent 3 2 12 2" xfId="8419" xr:uid="{00000000-0005-0000-0000-000000210000}"/>
    <cellStyle name="Percent 3 2 12 2 2" xfId="8420" xr:uid="{00000000-0005-0000-0000-000001210000}"/>
    <cellStyle name="Percent 3 2 12 3" xfId="8421" xr:uid="{00000000-0005-0000-0000-000002210000}"/>
    <cellStyle name="Percent 3 2 13" xfId="8422" xr:uid="{00000000-0005-0000-0000-000003210000}"/>
    <cellStyle name="Percent 3 2 13 2" xfId="8423" xr:uid="{00000000-0005-0000-0000-000004210000}"/>
    <cellStyle name="Percent 3 2 14" xfId="8424" xr:uid="{00000000-0005-0000-0000-000005210000}"/>
    <cellStyle name="Percent 3 2 14 2" xfId="8425" xr:uid="{00000000-0005-0000-0000-000006210000}"/>
    <cellStyle name="Percent 3 2 14 2 2" xfId="8426" xr:uid="{00000000-0005-0000-0000-000007210000}"/>
    <cellStyle name="Percent 3 2 14 3" xfId="8427" xr:uid="{00000000-0005-0000-0000-000008210000}"/>
    <cellStyle name="Percent 3 2 15" xfId="8428" xr:uid="{00000000-0005-0000-0000-000009210000}"/>
    <cellStyle name="Percent 3 2 15 2" xfId="8429" xr:uid="{00000000-0005-0000-0000-00000A210000}"/>
    <cellStyle name="Percent 3 2 15 2 2" xfId="8430" xr:uid="{00000000-0005-0000-0000-00000B210000}"/>
    <cellStyle name="Percent 3 2 15 3" xfId="8431" xr:uid="{00000000-0005-0000-0000-00000C210000}"/>
    <cellStyle name="Percent 3 2 16" xfId="8432" xr:uid="{00000000-0005-0000-0000-00000D210000}"/>
    <cellStyle name="Percent 3 2 16 2" xfId="8433" xr:uid="{00000000-0005-0000-0000-00000E210000}"/>
    <cellStyle name="Percent 3 2 16 2 2" xfId="8434" xr:uid="{00000000-0005-0000-0000-00000F210000}"/>
    <cellStyle name="Percent 3 2 16 3" xfId="8435" xr:uid="{00000000-0005-0000-0000-000010210000}"/>
    <cellStyle name="Percent 3 2 17" xfId="8436" xr:uid="{00000000-0005-0000-0000-000011210000}"/>
    <cellStyle name="Percent 3 2 17 2" xfId="8437" xr:uid="{00000000-0005-0000-0000-000012210000}"/>
    <cellStyle name="Percent 3 2 17 2 2" xfId="8438" xr:uid="{00000000-0005-0000-0000-000013210000}"/>
    <cellStyle name="Percent 3 2 17 3" xfId="8439" xr:uid="{00000000-0005-0000-0000-000014210000}"/>
    <cellStyle name="Percent 3 2 18" xfId="8440" xr:uid="{00000000-0005-0000-0000-000015210000}"/>
    <cellStyle name="Percent 3 2 19" xfId="8441" xr:uid="{00000000-0005-0000-0000-000016210000}"/>
    <cellStyle name="Percent 3 2 2" xfId="8442" xr:uid="{00000000-0005-0000-0000-000017210000}"/>
    <cellStyle name="Percent 3 2 2 10" xfId="8443" xr:uid="{00000000-0005-0000-0000-000018210000}"/>
    <cellStyle name="Percent 3 2 2 10 2" xfId="8444" xr:uid="{00000000-0005-0000-0000-000019210000}"/>
    <cellStyle name="Percent 3 2 2 10 2 2" xfId="8445" xr:uid="{00000000-0005-0000-0000-00001A210000}"/>
    <cellStyle name="Percent 3 2 2 10 3" xfId="8446" xr:uid="{00000000-0005-0000-0000-00001B210000}"/>
    <cellStyle name="Percent 3 2 2 11" xfId="8447" xr:uid="{00000000-0005-0000-0000-00001C210000}"/>
    <cellStyle name="Percent 3 2 2 11 2" xfId="8448" xr:uid="{00000000-0005-0000-0000-00001D210000}"/>
    <cellStyle name="Percent 3 2 2 11 2 2" xfId="8449" xr:uid="{00000000-0005-0000-0000-00001E210000}"/>
    <cellStyle name="Percent 3 2 2 11 3" xfId="8450" xr:uid="{00000000-0005-0000-0000-00001F210000}"/>
    <cellStyle name="Percent 3 2 2 12" xfId="8451" xr:uid="{00000000-0005-0000-0000-000020210000}"/>
    <cellStyle name="Percent 3 2 2 12 2" xfId="8452" xr:uid="{00000000-0005-0000-0000-000021210000}"/>
    <cellStyle name="Percent 3 2 2 12 2 2" xfId="8453" xr:uid="{00000000-0005-0000-0000-000022210000}"/>
    <cellStyle name="Percent 3 2 2 12 3" xfId="8454" xr:uid="{00000000-0005-0000-0000-000023210000}"/>
    <cellStyle name="Percent 3 2 2 13" xfId="8455" xr:uid="{00000000-0005-0000-0000-000024210000}"/>
    <cellStyle name="Percent 3 2 2 13 2" xfId="8456" xr:uid="{00000000-0005-0000-0000-000025210000}"/>
    <cellStyle name="Percent 3 2 2 13 2 2" xfId="8457" xr:uid="{00000000-0005-0000-0000-000026210000}"/>
    <cellStyle name="Percent 3 2 2 13 3" xfId="8458" xr:uid="{00000000-0005-0000-0000-000027210000}"/>
    <cellStyle name="Percent 3 2 2 14" xfId="8459" xr:uid="{00000000-0005-0000-0000-000028210000}"/>
    <cellStyle name="Percent 3 2 2 14 2" xfId="8460" xr:uid="{00000000-0005-0000-0000-000029210000}"/>
    <cellStyle name="Percent 3 2 2 14 2 2" xfId="8461" xr:uid="{00000000-0005-0000-0000-00002A210000}"/>
    <cellStyle name="Percent 3 2 2 14 3" xfId="8462" xr:uid="{00000000-0005-0000-0000-00002B210000}"/>
    <cellStyle name="Percent 3 2 2 15" xfId="8463" xr:uid="{00000000-0005-0000-0000-00002C210000}"/>
    <cellStyle name="Percent 3 2 2 15 2" xfId="8464" xr:uid="{00000000-0005-0000-0000-00002D210000}"/>
    <cellStyle name="Percent 3 2 2 15 2 2" xfId="8465" xr:uid="{00000000-0005-0000-0000-00002E210000}"/>
    <cellStyle name="Percent 3 2 2 15 3" xfId="8466" xr:uid="{00000000-0005-0000-0000-00002F210000}"/>
    <cellStyle name="Percent 3 2 2 16" xfId="8467" xr:uid="{00000000-0005-0000-0000-000030210000}"/>
    <cellStyle name="Percent 3 2 2 16 2" xfId="8468" xr:uid="{00000000-0005-0000-0000-000031210000}"/>
    <cellStyle name="Percent 3 2 2 17" xfId="8469" xr:uid="{00000000-0005-0000-0000-000032210000}"/>
    <cellStyle name="Percent 3 2 2 17 2" xfId="8470" xr:uid="{00000000-0005-0000-0000-000033210000}"/>
    <cellStyle name="Percent 3 2 2 18" xfId="8471" xr:uid="{00000000-0005-0000-0000-000034210000}"/>
    <cellStyle name="Percent 3 2 2 18 2" xfId="8472" xr:uid="{00000000-0005-0000-0000-000035210000}"/>
    <cellStyle name="Percent 3 2 2 19" xfId="8473" xr:uid="{00000000-0005-0000-0000-000036210000}"/>
    <cellStyle name="Percent 3 2 2 2" xfId="8474" xr:uid="{00000000-0005-0000-0000-000037210000}"/>
    <cellStyle name="Percent 3 2 2 2 10" xfId="8475" xr:uid="{00000000-0005-0000-0000-000038210000}"/>
    <cellStyle name="Percent 3 2 2 2 10 2" xfId="8476" xr:uid="{00000000-0005-0000-0000-000039210000}"/>
    <cellStyle name="Percent 3 2 2 2 10 2 2" xfId="8477" xr:uid="{00000000-0005-0000-0000-00003A210000}"/>
    <cellStyle name="Percent 3 2 2 2 10 3" xfId="8478" xr:uid="{00000000-0005-0000-0000-00003B210000}"/>
    <cellStyle name="Percent 3 2 2 2 11" xfId="8479" xr:uid="{00000000-0005-0000-0000-00003C210000}"/>
    <cellStyle name="Percent 3 2 2 2 11 2" xfId="8480" xr:uid="{00000000-0005-0000-0000-00003D210000}"/>
    <cellStyle name="Percent 3 2 2 2 11 2 2" xfId="8481" xr:uid="{00000000-0005-0000-0000-00003E210000}"/>
    <cellStyle name="Percent 3 2 2 2 11 3" xfId="8482" xr:uid="{00000000-0005-0000-0000-00003F210000}"/>
    <cellStyle name="Percent 3 2 2 2 12" xfId="8483" xr:uid="{00000000-0005-0000-0000-000040210000}"/>
    <cellStyle name="Percent 3 2 2 2 12 2" xfId="8484" xr:uid="{00000000-0005-0000-0000-000041210000}"/>
    <cellStyle name="Percent 3 2 2 2 12 2 2" xfId="8485" xr:uid="{00000000-0005-0000-0000-000042210000}"/>
    <cellStyle name="Percent 3 2 2 2 12 3" xfId="8486" xr:uid="{00000000-0005-0000-0000-000043210000}"/>
    <cellStyle name="Percent 3 2 2 2 13" xfId="8487" xr:uid="{00000000-0005-0000-0000-000044210000}"/>
    <cellStyle name="Percent 3 2 2 2 13 2" xfId="8488" xr:uid="{00000000-0005-0000-0000-000045210000}"/>
    <cellStyle name="Percent 3 2 2 2 13 2 2" xfId="8489" xr:uid="{00000000-0005-0000-0000-000046210000}"/>
    <cellStyle name="Percent 3 2 2 2 13 3" xfId="8490" xr:uid="{00000000-0005-0000-0000-000047210000}"/>
    <cellStyle name="Percent 3 2 2 2 14" xfId="8491" xr:uid="{00000000-0005-0000-0000-000048210000}"/>
    <cellStyle name="Percent 3 2 2 2 14 2" xfId="8492" xr:uid="{00000000-0005-0000-0000-000049210000}"/>
    <cellStyle name="Percent 3 2 2 2 14 2 2" xfId="8493" xr:uid="{00000000-0005-0000-0000-00004A210000}"/>
    <cellStyle name="Percent 3 2 2 2 14 3" xfId="8494" xr:uid="{00000000-0005-0000-0000-00004B210000}"/>
    <cellStyle name="Percent 3 2 2 2 15" xfId="8495" xr:uid="{00000000-0005-0000-0000-00004C210000}"/>
    <cellStyle name="Percent 3 2 2 2 15 2" xfId="8496" xr:uid="{00000000-0005-0000-0000-00004D210000}"/>
    <cellStyle name="Percent 3 2 2 2 15 2 2" xfId="8497" xr:uid="{00000000-0005-0000-0000-00004E210000}"/>
    <cellStyle name="Percent 3 2 2 2 15 3" xfId="8498" xr:uid="{00000000-0005-0000-0000-00004F210000}"/>
    <cellStyle name="Percent 3 2 2 2 16" xfId="8499" xr:uid="{00000000-0005-0000-0000-000050210000}"/>
    <cellStyle name="Percent 3 2 2 2 16 2" xfId="8500" xr:uid="{00000000-0005-0000-0000-000051210000}"/>
    <cellStyle name="Percent 3 2 2 2 16 2 2" xfId="8501" xr:uid="{00000000-0005-0000-0000-000052210000}"/>
    <cellStyle name="Percent 3 2 2 2 16 3" xfId="8502" xr:uid="{00000000-0005-0000-0000-000053210000}"/>
    <cellStyle name="Percent 3 2 2 2 16 4" xfId="8503" xr:uid="{00000000-0005-0000-0000-000054210000}"/>
    <cellStyle name="Percent 3 2 2 2 17" xfId="8504" xr:uid="{00000000-0005-0000-0000-000055210000}"/>
    <cellStyle name="Percent 3 2 2 2 17 2" xfId="8505" xr:uid="{00000000-0005-0000-0000-000056210000}"/>
    <cellStyle name="Percent 3 2 2 2 17 2 2" xfId="8506" xr:uid="{00000000-0005-0000-0000-000057210000}"/>
    <cellStyle name="Percent 3 2 2 2 17 3" xfId="8507" xr:uid="{00000000-0005-0000-0000-000058210000}"/>
    <cellStyle name="Percent 3 2 2 2 18" xfId="8508" xr:uid="{00000000-0005-0000-0000-000059210000}"/>
    <cellStyle name="Percent 3 2 2 2 2" xfId="8509" xr:uid="{00000000-0005-0000-0000-00005A210000}"/>
    <cellStyle name="Percent 3 2 2 2 2 2" xfId="8510" xr:uid="{00000000-0005-0000-0000-00005B210000}"/>
    <cellStyle name="Percent 3 2 2 2 2 2 2" xfId="8511" xr:uid="{00000000-0005-0000-0000-00005C210000}"/>
    <cellStyle name="Percent 3 2 2 2 2 2 2 2" xfId="8512" xr:uid="{00000000-0005-0000-0000-00005D210000}"/>
    <cellStyle name="Percent 3 2 2 2 2 2 2 2 2" xfId="8513" xr:uid="{00000000-0005-0000-0000-00005E210000}"/>
    <cellStyle name="Percent 3 2 2 2 2 2 2 3" xfId="8514" xr:uid="{00000000-0005-0000-0000-00005F210000}"/>
    <cellStyle name="Percent 3 2 2 2 2 2 3" xfId="8515" xr:uid="{00000000-0005-0000-0000-000060210000}"/>
    <cellStyle name="Percent 3 2 2 2 2 2 3 2" xfId="8516" xr:uid="{00000000-0005-0000-0000-000061210000}"/>
    <cellStyle name="Percent 3 2 2 2 2 2 3 2 2" xfId="8517" xr:uid="{00000000-0005-0000-0000-000062210000}"/>
    <cellStyle name="Percent 3 2 2 2 2 2 3 3" xfId="8518" xr:uid="{00000000-0005-0000-0000-000063210000}"/>
    <cellStyle name="Percent 3 2 2 2 2 2 4" xfId="8519" xr:uid="{00000000-0005-0000-0000-000064210000}"/>
    <cellStyle name="Percent 3 2 2 2 2 2 4 2" xfId="8520" xr:uid="{00000000-0005-0000-0000-000065210000}"/>
    <cellStyle name="Percent 3 2 2 2 2 2 4 2 2" xfId="8521" xr:uid="{00000000-0005-0000-0000-000066210000}"/>
    <cellStyle name="Percent 3 2 2 2 2 2 4 3" xfId="8522" xr:uid="{00000000-0005-0000-0000-000067210000}"/>
    <cellStyle name="Percent 3 2 2 2 2 2 5" xfId="8523" xr:uid="{00000000-0005-0000-0000-000068210000}"/>
    <cellStyle name="Percent 3 2 2 2 2 2 5 2" xfId="8524" xr:uid="{00000000-0005-0000-0000-000069210000}"/>
    <cellStyle name="Percent 3 2 2 2 2 2 5 2 2" xfId="8525" xr:uid="{00000000-0005-0000-0000-00006A210000}"/>
    <cellStyle name="Percent 3 2 2 2 2 2 5 3" xfId="8526" xr:uid="{00000000-0005-0000-0000-00006B210000}"/>
    <cellStyle name="Percent 3 2 2 2 2 2 6" xfId="8527" xr:uid="{00000000-0005-0000-0000-00006C210000}"/>
    <cellStyle name="Percent 3 2 2 2 2 2 6 2" xfId="8528" xr:uid="{00000000-0005-0000-0000-00006D210000}"/>
    <cellStyle name="Percent 3 2 2 2 2 2 7" xfId="8529" xr:uid="{00000000-0005-0000-0000-00006E210000}"/>
    <cellStyle name="Percent 3 2 2 2 2 3" xfId="8530" xr:uid="{00000000-0005-0000-0000-00006F210000}"/>
    <cellStyle name="Percent 3 2 2 2 2 3 2" xfId="8531" xr:uid="{00000000-0005-0000-0000-000070210000}"/>
    <cellStyle name="Percent 3 2 2 2 2 3 2 2" xfId="8532" xr:uid="{00000000-0005-0000-0000-000071210000}"/>
    <cellStyle name="Percent 3 2 2 2 2 3 3" xfId="8533" xr:uid="{00000000-0005-0000-0000-000072210000}"/>
    <cellStyle name="Percent 3 2 2 2 2 4" xfId="8534" xr:uid="{00000000-0005-0000-0000-000073210000}"/>
    <cellStyle name="Percent 3 2 2 2 2 4 2" xfId="8535" xr:uid="{00000000-0005-0000-0000-000074210000}"/>
    <cellStyle name="Percent 3 2 2 2 2 4 2 2" xfId="8536" xr:uid="{00000000-0005-0000-0000-000075210000}"/>
    <cellStyle name="Percent 3 2 2 2 2 4 3" xfId="8537" xr:uid="{00000000-0005-0000-0000-000076210000}"/>
    <cellStyle name="Percent 3 2 2 2 2 5" xfId="8538" xr:uid="{00000000-0005-0000-0000-000077210000}"/>
    <cellStyle name="Percent 3 2 2 2 2 5 2" xfId="8539" xr:uid="{00000000-0005-0000-0000-000078210000}"/>
    <cellStyle name="Percent 3 2 2 2 2 5 2 2" xfId="8540" xr:uid="{00000000-0005-0000-0000-000079210000}"/>
    <cellStyle name="Percent 3 2 2 2 2 5 3" xfId="8541" xr:uid="{00000000-0005-0000-0000-00007A210000}"/>
    <cellStyle name="Percent 3 2 2 2 2 6" xfId="8542" xr:uid="{00000000-0005-0000-0000-00007B210000}"/>
    <cellStyle name="Percent 3 2 2 2 2 6 2" xfId="8543" xr:uid="{00000000-0005-0000-0000-00007C210000}"/>
    <cellStyle name="Percent 3 2 2 2 2 7" xfId="8544" xr:uid="{00000000-0005-0000-0000-00007D210000}"/>
    <cellStyle name="Percent 3 2 2 2 3" xfId="8545" xr:uid="{00000000-0005-0000-0000-00007E210000}"/>
    <cellStyle name="Percent 3 2 2 2 3 2" xfId="8546" xr:uid="{00000000-0005-0000-0000-00007F210000}"/>
    <cellStyle name="Percent 3 2 2 2 3 2 2" xfId="8547" xr:uid="{00000000-0005-0000-0000-000080210000}"/>
    <cellStyle name="Percent 3 2 2 2 3 3" xfId="8548" xr:uid="{00000000-0005-0000-0000-000081210000}"/>
    <cellStyle name="Percent 3 2 2 2 4" xfId="8549" xr:uid="{00000000-0005-0000-0000-000082210000}"/>
    <cellStyle name="Percent 3 2 2 2 4 2" xfId="8550" xr:uid="{00000000-0005-0000-0000-000083210000}"/>
    <cellStyle name="Percent 3 2 2 2 4 2 2" xfId="8551" xr:uid="{00000000-0005-0000-0000-000084210000}"/>
    <cellStyle name="Percent 3 2 2 2 4 3" xfId="8552" xr:uid="{00000000-0005-0000-0000-000085210000}"/>
    <cellStyle name="Percent 3 2 2 2 5" xfId="8553" xr:uid="{00000000-0005-0000-0000-000086210000}"/>
    <cellStyle name="Percent 3 2 2 2 5 2" xfId="8554" xr:uid="{00000000-0005-0000-0000-000087210000}"/>
    <cellStyle name="Percent 3 2 2 2 5 2 2" xfId="8555" xr:uid="{00000000-0005-0000-0000-000088210000}"/>
    <cellStyle name="Percent 3 2 2 2 5 3" xfId="8556" xr:uid="{00000000-0005-0000-0000-000089210000}"/>
    <cellStyle name="Percent 3 2 2 2 6" xfId="8557" xr:uid="{00000000-0005-0000-0000-00008A210000}"/>
    <cellStyle name="Percent 3 2 2 2 6 2" xfId="8558" xr:uid="{00000000-0005-0000-0000-00008B210000}"/>
    <cellStyle name="Percent 3 2 2 2 6 2 2" xfId="8559" xr:uid="{00000000-0005-0000-0000-00008C210000}"/>
    <cellStyle name="Percent 3 2 2 2 6 3" xfId="8560" xr:uid="{00000000-0005-0000-0000-00008D210000}"/>
    <cellStyle name="Percent 3 2 2 2 7" xfId="8561" xr:uid="{00000000-0005-0000-0000-00008E210000}"/>
    <cellStyle name="Percent 3 2 2 2 7 2" xfId="8562" xr:uid="{00000000-0005-0000-0000-00008F210000}"/>
    <cellStyle name="Percent 3 2 2 2 7 2 2" xfId="8563" xr:uid="{00000000-0005-0000-0000-000090210000}"/>
    <cellStyle name="Percent 3 2 2 2 7 3" xfId="8564" xr:uid="{00000000-0005-0000-0000-000091210000}"/>
    <cellStyle name="Percent 3 2 2 2 8" xfId="8565" xr:uid="{00000000-0005-0000-0000-000092210000}"/>
    <cellStyle name="Percent 3 2 2 2 8 2" xfId="8566" xr:uid="{00000000-0005-0000-0000-000093210000}"/>
    <cellStyle name="Percent 3 2 2 2 8 2 2" xfId="8567" xr:uid="{00000000-0005-0000-0000-000094210000}"/>
    <cellStyle name="Percent 3 2 2 2 8 3" xfId="8568" xr:uid="{00000000-0005-0000-0000-000095210000}"/>
    <cellStyle name="Percent 3 2 2 2 9" xfId="8569" xr:uid="{00000000-0005-0000-0000-000096210000}"/>
    <cellStyle name="Percent 3 2 2 2 9 2" xfId="8570" xr:uid="{00000000-0005-0000-0000-000097210000}"/>
    <cellStyle name="Percent 3 2 2 2 9 2 2" xfId="8571" xr:uid="{00000000-0005-0000-0000-000098210000}"/>
    <cellStyle name="Percent 3 2 2 2 9 3" xfId="8572" xr:uid="{00000000-0005-0000-0000-000099210000}"/>
    <cellStyle name="Percent 3 2 2 3" xfId="8573" xr:uid="{00000000-0005-0000-0000-00009A210000}"/>
    <cellStyle name="Percent 3 2 2 3 2" xfId="8574" xr:uid="{00000000-0005-0000-0000-00009B210000}"/>
    <cellStyle name="Percent 3 2 2 3 2 2" xfId="8575" xr:uid="{00000000-0005-0000-0000-00009C210000}"/>
    <cellStyle name="Percent 3 2 2 3 3" xfId="8576" xr:uid="{00000000-0005-0000-0000-00009D210000}"/>
    <cellStyle name="Percent 3 2 2 4" xfId="8577" xr:uid="{00000000-0005-0000-0000-00009E210000}"/>
    <cellStyle name="Percent 3 2 2 4 2" xfId="8578" xr:uid="{00000000-0005-0000-0000-00009F210000}"/>
    <cellStyle name="Percent 3 2 2 4 2 2" xfId="8579" xr:uid="{00000000-0005-0000-0000-0000A0210000}"/>
    <cellStyle name="Percent 3 2 2 4 3" xfId="8580" xr:uid="{00000000-0005-0000-0000-0000A1210000}"/>
    <cellStyle name="Percent 3 2 2 5" xfId="8581" xr:uid="{00000000-0005-0000-0000-0000A2210000}"/>
    <cellStyle name="Percent 3 2 2 5 2" xfId="8582" xr:uid="{00000000-0005-0000-0000-0000A3210000}"/>
    <cellStyle name="Percent 3 2 2 5 2 2" xfId="8583" xr:uid="{00000000-0005-0000-0000-0000A4210000}"/>
    <cellStyle name="Percent 3 2 2 5 3" xfId="8584" xr:uid="{00000000-0005-0000-0000-0000A5210000}"/>
    <cellStyle name="Percent 3 2 2 6" xfId="8585" xr:uid="{00000000-0005-0000-0000-0000A6210000}"/>
    <cellStyle name="Percent 3 2 2 6 2" xfId="8586" xr:uid="{00000000-0005-0000-0000-0000A7210000}"/>
    <cellStyle name="Percent 3 2 2 6 2 2" xfId="8587" xr:uid="{00000000-0005-0000-0000-0000A8210000}"/>
    <cellStyle name="Percent 3 2 2 6 3" xfId="8588" xr:uid="{00000000-0005-0000-0000-0000A9210000}"/>
    <cellStyle name="Percent 3 2 2 7" xfId="8589" xr:uid="{00000000-0005-0000-0000-0000AA210000}"/>
    <cellStyle name="Percent 3 2 2 7 2" xfId="8590" xr:uid="{00000000-0005-0000-0000-0000AB210000}"/>
    <cellStyle name="Percent 3 2 2 7 2 2" xfId="8591" xr:uid="{00000000-0005-0000-0000-0000AC210000}"/>
    <cellStyle name="Percent 3 2 2 7 3" xfId="8592" xr:uid="{00000000-0005-0000-0000-0000AD210000}"/>
    <cellStyle name="Percent 3 2 2 8" xfId="8593" xr:uid="{00000000-0005-0000-0000-0000AE210000}"/>
    <cellStyle name="Percent 3 2 2 8 2" xfId="8594" xr:uid="{00000000-0005-0000-0000-0000AF210000}"/>
    <cellStyle name="Percent 3 2 2 8 2 2" xfId="8595" xr:uid="{00000000-0005-0000-0000-0000B0210000}"/>
    <cellStyle name="Percent 3 2 2 8 3" xfId="8596" xr:uid="{00000000-0005-0000-0000-0000B1210000}"/>
    <cellStyle name="Percent 3 2 2 9" xfId="8597" xr:uid="{00000000-0005-0000-0000-0000B2210000}"/>
    <cellStyle name="Percent 3 2 2 9 2" xfId="8598" xr:uid="{00000000-0005-0000-0000-0000B3210000}"/>
    <cellStyle name="Percent 3 2 2 9 2 2" xfId="8599" xr:uid="{00000000-0005-0000-0000-0000B4210000}"/>
    <cellStyle name="Percent 3 2 2 9 3" xfId="8600" xr:uid="{00000000-0005-0000-0000-0000B5210000}"/>
    <cellStyle name="Percent 3 2 20" xfId="8601" xr:uid="{00000000-0005-0000-0000-0000B6210000}"/>
    <cellStyle name="Percent 3 2 20 2" xfId="8602" xr:uid="{00000000-0005-0000-0000-0000B7210000}"/>
    <cellStyle name="Percent 3 2 3" xfId="8603" xr:uid="{00000000-0005-0000-0000-0000B8210000}"/>
    <cellStyle name="Percent 3 2 3 2" xfId="8604" xr:uid="{00000000-0005-0000-0000-0000B9210000}"/>
    <cellStyle name="Percent 3 2 4" xfId="8605" xr:uid="{00000000-0005-0000-0000-0000BA210000}"/>
    <cellStyle name="Percent 3 2 4 2" xfId="8606" xr:uid="{00000000-0005-0000-0000-0000BB210000}"/>
    <cellStyle name="Percent 3 2 5" xfId="8607" xr:uid="{00000000-0005-0000-0000-0000BC210000}"/>
    <cellStyle name="Percent 3 2 5 2" xfId="8608" xr:uid="{00000000-0005-0000-0000-0000BD210000}"/>
    <cellStyle name="Percent 3 2 6" xfId="8609" xr:uid="{00000000-0005-0000-0000-0000BE210000}"/>
    <cellStyle name="Percent 3 2 6 2" xfId="8610" xr:uid="{00000000-0005-0000-0000-0000BF210000}"/>
    <cellStyle name="Percent 3 2 7" xfId="8611" xr:uid="{00000000-0005-0000-0000-0000C0210000}"/>
    <cellStyle name="Percent 3 2 7 2" xfId="8612" xr:uid="{00000000-0005-0000-0000-0000C1210000}"/>
    <cellStyle name="Percent 3 2 8" xfId="8613" xr:uid="{00000000-0005-0000-0000-0000C2210000}"/>
    <cellStyle name="Percent 3 2 8 2" xfId="8614" xr:uid="{00000000-0005-0000-0000-0000C3210000}"/>
    <cellStyle name="Percent 3 2 9" xfId="8615" xr:uid="{00000000-0005-0000-0000-0000C4210000}"/>
    <cellStyle name="Percent 3 2 9 2" xfId="8616" xr:uid="{00000000-0005-0000-0000-0000C5210000}"/>
    <cellStyle name="Percent 3 20" xfId="8617" xr:uid="{00000000-0005-0000-0000-0000C6210000}"/>
    <cellStyle name="Percent 3 20 2" xfId="8618" xr:uid="{00000000-0005-0000-0000-0000C7210000}"/>
    <cellStyle name="Percent 3 20 3" xfId="8619" xr:uid="{00000000-0005-0000-0000-0000C8210000}"/>
    <cellStyle name="Percent 3 20 4" xfId="8620" xr:uid="{00000000-0005-0000-0000-0000C9210000}"/>
    <cellStyle name="Percent 3 21" xfId="8621" xr:uid="{00000000-0005-0000-0000-0000CA210000}"/>
    <cellStyle name="Percent 3 21 2" xfId="8622" xr:uid="{00000000-0005-0000-0000-0000CB210000}"/>
    <cellStyle name="Percent 3 21 3" xfId="8623" xr:uid="{00000000-0005-0000-0000-0000CC210000}"/>
    <cellStyle name="Percent 3 21 4" xfId="8624" xr:uid="{00000000-0005-0000-0000-0000CD210000}"/>
    <cellStyle name="Percent 3 22" xfId="8625" xr:uid="{00000000-0005-0000-0000-0000CE210000}"/>
    <cellStyle name="Percent 3 22 2" xfId="8626" xr:uid="{00000000-0005-0000-0000-0000CF210000}"/>
    <cellStyle name="Percent 3 23" xfId="8627" xr:uid="{00000000-0005-0000-0000-0000D0210000}"/>
    <cellStyle name="Percent 3 23 2" xfId="8628" xr:uid="{00000000-0005-0000-0000-0000D1210000}"/>
    <cellStyle name="Percent 3 24" xfId="8629" xr:uid="{00000000-0005-0000-0000-0000D2210000}"/>
    <cellStyle name="Percent 3 24 2" xfId="8630" xr:uid="{00000000-0005-0000-0000-0000D3210000}"/>
    <cellStyle name="Percent 3 25" xfId="8631" xr:uid="{00000000-0005-0000-0000-0000D4210000}"/>
    <cellStyle name="Percent 3 25 2" xfId="8632" xr:uid="{00000000-0005-0000-0000-0000D5210000}"/>
    <cellStyle name="Percent 3 26" xfId="8633" xr:uid="{00000000-0005-0000-0000-0000D6210000}"/>
    <cellStyle name="Percent 3 26 2" xfId="8634" xr:uid="{00000000-0005-0000-0000-0000D7210000}"/>
    <cellStyle name="Percent 3 27" xfId="8635" xr:uid="{00000000-0005-0000-0000-0000D8210000}"/>
    <cellStyle name="Percent 3 27 2" xfId="8636" xr:uid="{00000000-0005-0000-0000-0000D9210000}"/>
    <cellStyle name="Percent 3 28" xfId="8637" xr:uid="{00000000-0005-0000-0000-0000DA210000}"/>
    <cellStyle name="Percent 3 28 2" xfId="8638" xr:uid="{00000000-0005-0000-0000-0000DB210000}"/>
    <cellStyle name="Percent 3 29" xfId="8639" xr:uid="{00000000-0005-0000-0000-0000DC210000}"/>
    <cellStyle name="Percent 3 29 2" xfId="8640" xr:uid="{00000000-0005-0000-0000-0000DD210000}"/>
    <cellStyle name="Percent 3 3" xfId="8641" xr:uid="{00000000-0005-0000-0000-0000DE210000}"/>
    <cellStyle name="Percent 3 3 2" xfId="8642" xr:uid="{00000000-0005-0000-0000-0000DF210000}"/>
    <cellStyle name="Percent 3 3 2 2" xfId="8643" xr:uid="{00000000-0005-0000-0000-0000E0210000}"/>
    <cellStyle name="Percent 3 3 2 2 2" xfId="8644" xr:uid="{00000000-0005-0000-0000-0000E1210000}"/>
    <cellStyle name="Percent 3 3 2 3" xfId="8645" xr:uid="{00000000-0005-0000-0000-0000E2210000}"/>
    <cellStyle name="Percent 3 3 2 4" xfId="8646" xr:uid="{00000000-0005-0000-0000-0000E3210000}"/>
    <cellStyle name="Percent 3 3 2 5" xfId="8647" xr:uid="{00000000-0005-0000-0000-0000E4210000}"/>
    <cellStyle name="Percent 3 3 3" xfId="8648" xr:uid="{00000000-0005-0000-0000-0000E5210000}"/>
    <cellStyle name="Percent 3 3 4" xfId="8649" xr:uid="{00000000-0005-0000-0000-0000E6210000}"/>
    <cellStyle name="Percent 3 3 5" xfId="8650" xr:uid="{00000000-0005-0000-0000-0000E7210000}"/>
    <cellStyle name="Percent 3 3 6" xfId="8651" xr:uid="{00000000-0005-0000-0000-0000E8210000}"/>
    <cellStyle name="Percent 3 3 6 2" xfId="8652" xr:uid="{00000000-0005-0000-0000-0000E9210000}"/>
    <cellStyle name="Percent 3 3 6 3" xfId="8653" xr:uid="{00000000-0005-0000-0000-0000EA210000}"/>
    <cellStyle name="Percent 3 3 7" xfId="8654" xr:uid="{00000000-0005-0000-0000-0000EB210000}"/>
    <cellStyle name="Percent 3 30" xfId="8655" xr:uid="{00000000-0005-0000-0000-0000EC210000}"/>
    <cellStyle name="Percent 3 30 2" xfId="8656" xr:uid="{00000000-0005-0000-0000-0000ED210000}"/>
    <cellStyle name="Percent 3 31" xfId="8657" xr:uid="{00000000-0005-0000-0000-0000EE210000}"/>
    <cellStyle name="Percent 3 31 2" xfId="8658" xr:uid="{00000000-0005-0000-0000-0000EF210000}"/>
    <cellStyle name="Percent 3 32" xfId="8659" xr:uid="{00000000-0005-0000-0000-0000F0210000}"/>
    <cellStyle name="Percent 3 32 2" xfId="8660" xr:uid="{00000000-0005-0000-0000-0000F1210000}"/>
    <cellStyle name="Percent 3 33" xfId="8661" xr:uid="{00000000-0005-0000-0000-0000F2210000}"/>
    <cellStyle name="Percent 3 33 2" xfId="8662" xr:uid="{00000000-0005-0000-0000-0000F3210000}"/>
    <cellStyle name="Percent 3 34" xfId="8663" xr:uid="{00000000-0005-0000-0000-0000F4210000}"/>
    <cellStyle name="Percent 3 34 2" xfId="8664" xr:uid="{00000000-0005-0000-0000-0000F5210000}"/>
    <cellStyle name="Percent 3 35" xfId="8665" xr:uid="{00000000-0005-0000-0000-0000F6210000}"/>
    <cellStyle name="Percent 3 35 2" xfId="8666" xr:uid="{00000000-0005-0000-0000-0000F7210000}"/>
    <cellStyle name="Percent 3 36" xfId="8667" xr:uid="{00000000-0005-0000-0000-0000F8210000}"/>
    <cellStyle name="Percent 3 36 2" xfId="8668" xr:uid="{00000000-0005-0000-0000-0000F9210000}"/>
    <cellStyle name="Percent 3 37" xfId="8669" xr:uid="{00000000-0005-0000-0000-0000FA210000}"/>
    <cellStyle name="Percent 3 37 2" xfId="8670" xr:uid="{00000000-0005-0000-0000-0000FB210000}"/>
    <cellStyle name="Percent 3 38" xfId="8671" xr:uid="{00000000-0005-0000-0000-0000FC210000}"/>
    <cellStyle name="Percent 3 38 2" xfId="8672" xr:uid="{00000000-0005-0000-0000-0000FD210000}"/>
    <cellStyle name="Percent 3 39" xfId="8673" xr:uid="{00000000-0005-0000-0000-0000FE210000}"/>
    <cellStyle name="Percent 3 39 2" xfId="8674" xr:uid="{00000000-0005-0000-0000-0000FF210000}"/>
    <cellStyle name="Percent 3 4" xfId="8675" xr:uid="{00000000-0005-0000-0000-000000220000}"/>
    <cellStyle name="Percent 3 4 2" xfId="8676" xr:uid="{00000000-0005-0000-0000-000001220000}"/>
    <cellStyle name="Percent 3 4 3" xfId="8677" xr:uid="{00000000-0005-0000-0000-000002220000}"/>
    <cellStyle name="Percent 3 4 3 2" xfId="8678" xr:uid="{00000000-0005-0000-0000-000003220000}"/>
    <cellStyle name="Percent 3 4 4" xfId="8679" xr:uid="{00000000-0005-0000-0000-000004220000}"/>
    <cellStyle name="Percent 3 4 4 2" xfId="8680" xr:uid="{00000000-0005-0000-0000-000005220000}"/>
    <cellStyle name="Percent 3 4 4 3" xfId="8681" xr:uid="{00000000-0005-0000-0000-000006220000}"/>
    <cellStyle name="Percent 3 40" xfId="8682" xr:uid="{00000000-0005-0000-0000-000007220000}"/>
    <cellStyle name="Percent 3 40 2" xfId="8683" xr:uid="{00000000-0005-0000-0000-000008220000}"/>
    <cellStyle name="Percent 3 41" xfId="8684" xr:uid="{00000000-0005-0000-0000-000009220000}"/>
    <cellStyle name="Percent 3 41 2" xfId="8685" xr:uid="{00000000-0005-0000-0000-00000A220000}"/>
    <cellStyle name="Percent 3 42" xfId="8686" xr:uid="{00000000-0005-0000-0000-00000B220000}"/>
    <cellStyle name="Percent 3 42 2" xfId="8687" xr:uid="{00000000-0005-0000-0000-00000C220000}"/>
    <cellStyle name="Percent 3 43" xfId="8688" xr:uid="{00000000-0005-0000-0000-00000D220000}"/>
    <cellStyle name="Percent 3 43 2" xfId="8689" xr:uid="{00000000-0005-0000-0000-00000E220000}"/>
    <cellStyle name="Percent 3 44" xfId="8690" xr:uid="{00000000-0005-0000-0000-00000F220000}"/>
    <cellStyle name="Percent 3 44 2" xfId="8691" xr:uid="{00000000-0005-0000-0000-000010220000}"/>
    <cellStyle name="Percent 3 45" xfId="8692" xr:uid="{00000000-0005-0000-0000-000011220000}"/>
    <cellStyle name="Percent 3 45 2" xfId="8693" xr:uid="{00000000-0005-0000-0000-000012220000}"/>
    <cellStyle name="Percent 3 46" xfId="8694" xr:uid="{00000000-0005-0000-0000-000013220000}"/>
    <cellStyle name="Percent 3 46 2" xfId="8695" xr:uid="{00000000-0005-0000-0000-000014220000}"/>
    <cellStyle name="Percent 3 47" xfId="8696" xr:uid="{00000000-0005-0000-0000-000015220000}"/>
    <cellStyle name="Percent 3 47 2" xfId="8697" xr:uid="{00000000-0005-0000-0000-000016220000}"/>
    <cellStyle name="Percent 3 48" xfId="8698" xr:uid="{00000000-0005-0000-0000-000017220000}"/>
    <cellStyle name="Percent 3 48 2" xfId="8699" xr:uid="{00000000-0005-0000-0000-000018220000}"/>
    <cellStyle name="Percent 3 49" xfId="8700" xr:uid="{00000000-0005-0000-0000-000019220000}"/>
    <cellStyle name="Percent 3 49 2" xfId="8701" xr:uid="{00000000-0005-0000-0000-00001A220000}"/>
    <cellStyle name="Percent 3 5" xfId="8702" xr:uid="{00000000-0005-0000-0000-00001B220000}"/>
    <cellStyle name="Percent 3 5 2" xfId="8703" xr:uid="{00000000-0005-0000-0000-00001C220000}"/>
    <cellStyle name="Percent 3 5 2 2" xfId="8704" xr:uid="{00000000-0005-0000-0000-00001D220000}"/>
    <cellStyle name="Percent 3 5 2 3" xfId="8705" xr:uid="{00000000-0005-0000-0000-00001E220000}"/>
    <cellStyle name="Percent 3 5 3" xfId="8706" xr:uid="{00000000-0005-0000-0000-00001F220000}"/>
    <cellStyle name="Percent 3 50" xfId="8707" xr:uid="{00000000-0005-0000-0000-000020220000}"/>
    <cellStyle name="Percent 3 50 2" xfId="8708" xr:uid="{00000000-0005-0000-0000-000021220000}"/>
    <cellStyle name="Percent 3 51" xfId="8709" xr:uid="{00000000-0005-0000-0000-000022220000}"/>
    <cellStyle name="Percent 3 51 2" xfId="8710" xr:uid="{00000000-0005-0000-0000-000023220000}"/>
    <cellStyle name="Percent 3 52" xfId="8711" xr:uid="{00000000-0005-0000-0000-000024220000}"/>
    <cellStyle name="Percent 3 52 2" xfId="8712" xr:uid="{00000000-0005-0000-0000-000025220000}"/>
    <cellStyle name="Percent 3 53" xfId="8713" xr:uid="{00000000-0005-0000-0000-000026220000}"/>
    <cellStyle name="Percent 3 53 2" xfId="8714" xr:uid="{00000000-0005-0000-0000-000027220000}"/>
    <cellStyle name="Percent 3 54" xfId="8715" xr:uid="{00000000-0005-0000-0000-000028220000}"/>
    <cellStyle name="Percent 3 54 2" xfId="8716" xr:uid="{00000000-0005-0000-0000-000029220000}"/>
    <cellStyle name="Percent 3 55" xfId="8717" xr:uid="{00000000-0005-0000-0000-00002A220000}"/>
    <cellStyle name="Percent 3 55 2" xfId="8718" xr:uid="{00000000-0005-0000-0000-00002B220000}"/>
    <cellStyle name="Percent 3 56" xfId="8719" xr:uid="{00000000-0005-0000-0000-00002C220000}"/>
    <cellStyle name="Percent 3 56 2" xfId="8720" xr:uid="{00000000-0005-0000-0000-00002D220000}"/>
    <cellStyle name="Percent 3 57" xfId="8721" xr:uid="{00000000-0005-0000-0000-00002E220000}"/>
    <cellStyle name="Percent 3 57 2" xfId="8722" xr:uid="{00000000-0005-0000-0000-00002F220000}"/>
    <cellStyle name="Percent 3 58" xfId="8723" xr:uid="{00000000-0005-0000-0000-000030220000}"/>
    <cellStyle name="Percent 3 58 2" xfId="8724" xr:uid="{00000000-0005-0000-0000-000031220000}"/>
    <cellStyle name="Percent 3 59" xfId="8725" xr:uid="{00000000-0005-0000-0000-000032220000}"/>
    <cellStyle name="Percent 3 59 2" xfId="8726" xr:uid="{00000000-0005-0000-0000-000033220000}"/>
    <cellStyle name="Percent 3 6" xfId="8727" xr:uid="{00000000-0005-0000-0000-000034220000}"/>
    <cellStyle name="Percent 3 6 2" xfId="8728" xr:uid="{00000000-0005-0000-0000-000035220000}"/>
    <cellStyle name="Percent 3 6 2 2" xfId="8729" xr:uid="{00000000-0005-0000-0000-000036220000}"/>
    <cellStyle name="Percent 3 6 2 3" xfId="8730" xr:uid="{00000000-0005-0000-0000-000037220000}"/>
    <cellStyle name="Percent 3 6 3" xfId="8731" xr:uid="{00000000-0005-0000-0000-000038220000}"/>
    <cellStyle name="Percent 3 60" xfId="8732" xr:uid="{00000000-0005-0000-0000-000039220000}"/>
    <cellStyle name="Percent 3 60 2" xfId="8733" xr:uid="{00000000-0005-0000-0000-00003A220000}"/>
    <cellStyle name="Percent 3 61" xfId="8734" xr:uid="{00000000-0005-0000-0000-00003B220000}"/>
    <cellStyle name="Percent 3 61 2" xfId="8735" xr:uid="{00000000-0005-0000-0000-00003C220000}"/>
    <cellStyle name="Percent 3 62" xfId="8736" xr:uid="{00000000-0005-0000-0000-00003D220000}"/>
    <cellStyle name="Percent 3 63" xfId="8737" xr:uid="{00000000-0005-0000-0000-00003E220000}"/>
    <cellStyle name="Percent 3 64" xfId="8738" xr:uid="{00000000-0005-0000-0000-00003F220000}"/>
    <cellStyle name="Percent 3 65" xfId="8739" xr:uid="{00000000-0005-0000-0000-000040220000}"/>
    <cellStyle name="Percent 3 66" xfId="8740" xr:uid="{00000000-0005-0000-0000-000041220000}"/>
    <cellStyle name="Percent 3 67" xfId="8741" xr:uid="{00000000-0005-0000-0000-000042220000}"/>
    <cellStyle name="Percent 3 68" xfId="8742" xr:uid="{00000000-0005-0000-0000-000043220000}"/>
    <cellStyle name="Percent 3 69" xfId="8743" xr:uid="{00000000-0005-0000-0000-000044220000}"/>
    <cellStyle name="Percent 3 7" xfId="8744" xr:uid="{00000000-0005-0000-0000-000045220000}"/>
    <cellStyle name="Percent 3 7 2" xfId="8745" xr:uid="{00000000-0005-0000-0000-000046220000}"/>
    <cellStyle name="Percent 3 7 2 2" xfId="8746" xr:uid="{00000000-0005-0000-0000-000047220000}"/>
    <cellStyle name="Percent 3 7 2 3" xfId="8747" xr:uid="{00000000-0005-0000-0000-000048220000}"/>
    <cellStyle name="Percent 3 7 3" xfId="8748" xr:uid="{00000000-0005-0000-0000-000049220000}"/>
    <cellStyle name="Percent 3 70" xfId="8749" xr:uid="{00000000-0005-0000-0000-00004A220000}"/>
    <cellStyle name="Percent 3 71" xfId="8750" xr:uid="{00000000-0005-0000-0000-00004B220000}"/>
    <cellStyle name="Percent 3 72" xfId="8751" xr:uid="{00000000-0005-0000-0000-00004C220000}"/>
    <cellStyle name="Percent 3 73" xfId="8752" xr:uid="{00000000-0005-0000-0000-00004D220000}"/>
    <cellStyle name="Percent 3 74" xfId="8753" xr:uid="{00000000-0005-0000-0000-00004E220000}"/>
    <cellStyle name="Percent 3 75" xfId="8754" xr:uid="{00000000-0005-0000-0000-00004F220000}"/>
    <cellStyle name="Percent 3 76" xfId="8755" xr:uid="{00000000-0005-0000-0000-000050220000}"/>
    <cellStyle name="Percent 3 77" xfId="8756" xr:uid="{00000000-0005-0000-0000-000051220000}"/>
    <cellStyle name="Percent 3 78" xfId="8757" xr:uid="{00000000-0005-0000-0000-000052220000}"/>
    <cellStyle name="Percent 3 79" xfId="8758" xr:uid="{00000000-0005-0000-0000-000053220000}"/>
    <cellStyle name="Percent 3 8" xfId="8759" xr:uid="{00000000-0005-0000-0000-000054220000}"/>
    <cellStyle name="Percent 3 8 2" xfId="8760" xr:uid="{00000000-0005-0000-0000-000055220000}"/>
    <cellStyle name="Percent 3 8 2 2" xfId="8761" xr:uid="{00000000-0005-0000-0000-000056220000}"/>
    <cellStyle name="Percent 3 8 2 3" xfId="8762" xr:uid="{00000000-0005-0000-0000-000057220000}"/>
    <cellStyle name="Percent 3 8 3" xfId="8763" xr:uid="{00000000-0005-0000-0000-000058220000}"/>
    <cellStyle name="Percent 3 80" xfId="8764" xr:uid="{00000000-0005-0000-0000-000059220000}"/>
    <cellStyle name="Percent 3 81" xfId="8765" xr:uid="{00000000-0005-0000-0000-00005A220000}"/>
    <cellStyle name="Percent 3 82" xfId="8766" xr:uid="{00000000-0005-0000-0000-00005B220000}"/>
    <cellStyle name="Percent 3 83" xfId="8767" xr:uid="{00000000-0005-0000-0000-00005C220000}"/>
    <cellStyle name="Percent 3 84" xfId="8768" xr:uid="{00000000-0005-0000-0000-00005D220000}"/>
    <cellStyle name="Percent 3 85" xfId="8769" xr:uid="{00000000-0005-0000-0000-00005E220000}"/>
    <cellStyle name="Percent 3 86" xfId="8770" xr:uid="{00000000-0005-0000-0000-00005F220000}"/>
    <cellStyle name="Percent 3 87" xfId="8771" xr:uid="{00000000-0005-0000-0000-000060220000}"/>
    <cellStyle name="Percent 3 88" xfId="8772" xr:uid="{00000000-0005-0000-0000-000061220000}"/>
    <cellStyle name="Percent 3 89" xfId="8773" xr:uid="{00000000-0005-0000-0000-000062220000}"/>
    <cellStyle name="Percent 3 9" xfId="8774" xr:uid="{00000000-0005-0000-0000-000063220000}"/>
    <cellStyle name="Percent 3 9 2" xfId="8775" xr:uid="{00000000-0005-0000-0000-000064220000}"/>
    <cellStyle name="Percent 3 9 2 2" xfId="8776" xr:uid="{00000000-0005-0000-0000-000065220000}"/>
    <cellStyle name="Percent 3 9 2 3" xfId="8777" xr:uid="{00000000-0005-0000-0000-000066220000}"/>
    <cellStyle name="Percent 3 9 3" xfId="8778" xr:uid="{00000000-0005-0000-0000-000067220000}"/>
    <cellStyle name="Percent 3 90" xfId="8779" xr:uid="{00000000-0005-0000-0000-000068220000}"/>
    <cellStyle name="Percent 3 91" xfId="8780" xr:uid="{00000000-0005-0000-0000-000069220000}"/>
    <cellStyle name="Percent 3 92" xfId="8781" xr:uid="{00000000-0005-0000-0000-00006A220000}"/>
    <cellStyle name="Percent 3 93" xfId="8782" xr:uid="{00000000-0005-0000-0000-00006B220000}"/>
    <cellStyle name="Percent 3 94" xfId="8783" xr:uid="{00000000-0005-0000-0000-00006C220000}"/>
    <cellStyle name="Percent 3 95" xfId="8784" xr:uid="{00000000-0005-0000-0000-00006D220000}"/>
    <cellStyle name="Percent 3 96" xfId="8785" xr:uid="{00000000-0005-0000-0000-00006E220000}"/>
    <cellStyle name="Percent 3 97" xfId="8786" xr:uid="{00000000-0005-0000-0000-00006F220000}"/>
    <cellStyle name="Percent 3 98" xfId="8787" xr:uid="{00000000-0005-0000-0000-000070220000}"/>
    <cellStyle name="Percent 3 99" xfId="8788" xr:uid="{00000000-0005-0000-0000-000071220000}"/>
    <cellStyle name="Percent 3 99 2" xfId="8789" xr:uid="{00000000-0005-0000-0000-000072220000}"/>
    <cellStyle name="Percent 30" xfId="8790" xr:uid="{00000000-0005-0000-0000-000073220000}"/>
    <cellStyle name="Percent 31" xfId="8791" xr:uid="{00000000-0005-0000-0000-000074220000}"/>
    <cellStyle name="Percent 32" xfId="8792" xr:uid="{00000000-0005-0000-0000-000075220000}"/>
    <cellStyle name="Percent 33" xfId="8793" xr:uid="{00000000-0005-0000-0000-000076220000}"/>
    <cellStyle name="Percent 34" xfId="8794" xr:uid="{00000000-0005-0000-0000-000077220000}"/>
    <cellStyle name="Percent 35" xfId="8795" xr:uid="{00000000-0005-0000-0000-000078220000}"/>
    <cellStyle name="Percent 36" xfId="8796" xr:uid="{00000000-0005-0000-0000-000079220000}"/>
    <cellStyle name="Percent 37" xfId="8797" xr:uid="{00000000-0005-0000-0000-00007A220000}"/>
    <cellStyle name="Percent 38" xfId="8798" xr:uid="{00000000-0005-0000-0000-00007B220000}"/>
    <cellStyle name="Percent 39" xfId="8799" xr:uid="{00000000-0005-0000-0000-00007C220000}"/>
    <cellStyle name="Percent 4" xfId="60" xr:uid="{00000000-0005-0000-0000-00007D220000}"/>
    <cellStyle name="Percent 4 10" xfId="8800" xr:uid="{00000000-0005-0000-0000-00007E220000}"/>
    <cellStyle name="Percent 4 11" xfId="8801" xr:uid="{00000000-0005-0000-0000-00007F220000}"/>
    <cellStyle name="Percent 4 12" xfId="8802" xr:uid="{00000000-0005-0000-0000-000080220000}"/>
    <cellStyle name="Percent 4 13" xfId="8803" xr:uid="{00000000-0005-0000-0000-000081220000}"/>
    <cellStyle name="Percent 4 14" xfId="8804" xr:uid="{00000000-0005-0000-0000-000082220000}"/>
    <cellStyle name="Percent 4 15" xfId="8805" xr:uid="{00000000-0005-0000-0000-000083220000}"/>
    <cellStyle name="Percent 4 16" xfId="8806" xr:uid="{00000000-0005-0000-0000-000084220000}"/>
    <cellStyle name="Percent 4 17" xfId="8807" xr:uid="{00000000-0005-0000-0000-000085220000}"/>
    <cellStyle name="Percent 4 18" xfId="8808" xr:uid="{00000000-0005-0000-0000-000086220000}"/>
    <cellStyle name="Percent 4 19" xfId="8809" xr:uid="{00000000-0005-0000-0000-000087220000}"/>
    <cellStyle name="Percent 4 2" xfId="8810" xr:uid="{00000000-0005-0000-0000-000088220000}"/>
    <cellStyle name="Percent 4 2 2" xfId="8811" xr:uid="{00000000-0005-0000-0000-000089220000}"/>
    <cellStyle name="Percent 4 2 2 2" xfId="8812" xr:uid="{00000000-0005-0000-0000-00008A220000}"/>
    <cellStyle name="Percent 4 2 3" xfId="8813" xr:uid="{00000000-0005-0000-0000-00008B220000}"/>
    <cellStyle name="Percent 4 2 4" xfId="8814" xr:uid="{00000000-0005-0000-0000-00008C220000}"/>
    <cellStyle name="Percent 4 20" xfId="8815" xr:uid="{00000000-0005-0000-0000-00008D220000}"/>
    <cellStyle name="Percent 4 21" xfId="8816" xr:uid="{00000000-0005-0000-0000-00008E220000}"/>
    <cellStyle name="Percent 4 22" xfId="8817" xr:uid="{00000000-0005-0000-0000-00008F220000}"/>
    <cellStyle name="Percent 4 23" xfId="8818" xr:uid="{00000000-0005-0000-0000-000090220000}"/>
    <cellStyle name="Percent 4 24" xfId="8819" xr:uid="{00000000-0005-0000-0000-000091220000}"/>
    <cellStyle name="Percent 4 25" xfId="8820" xr:uid="{00000000-0005-0000-0000-000092220000}"/>
    <cellStyle name="Percent 4 26" xfId="8821" xr:uid="{00000000-0005-0000-0000-000093220000}"/>
    <cellStyle name="Percent 4 27" xfId="8822" xr:uid="{00000000-0005-0000-0000-000094220000}"/>
    <cellStyle name="Percent 4 28" xfId="8823" xr:uid="{00000000-0005-0000-0000-000095220000}"/>
    <cellStyle name="Percent 4 29" xfId="8824" xr:uid="{00000000-0005-0000-0000-000096220000}"/>
    <cellStyle name="Percent 4 3" xfId="8825" xr:uid="{00000000-0005-0000-0000-000097220000}"/>
    <cellStyle name="Percent 4 3 2" xfId="8826" xr:uid="{00000000-0005-0000-0000-000098220000}"/>
    <cellStyle name="Percent 4 30" xfId="8827" xr:uid="{00000000-0005-0000-0000-000099220000}"/>
    <cellStyle name="Percent 4 31" xfId="8828" xr:uid="{00000000-0005-0000-0000-00009A220000}"/>
    <cellStyle name="Percent 4 32" xfId="8829" xr:uid="{00000000-0005-0000-0000-00009B220000}"/>
    <cellStyle name="Percent 4 33" xfId="8830" xr:uid="{00000000-0005-0000-0000-00009C220000}"/>
    <cellStyle name="Percent 4 34" xfId="8831" xr:uid="{00000000-0005-0000-0000-00009D220000}"/>
    <cellStyle name="Percent 4 35" xfId="8832" xr:uid="{00000000-0005-0000-0000-00009E220000}"/>
    <cellStyle name="Percent 4 36" xfId="8833" xr:uid="{00000000-0005-0000-0000-00009F220000}"/>
    <cellStyle name="Percent 4 37" xfId="8834" xr:uid="{00000000-0005-0000-0000-0000A0220000}"/>
    <cellStyle name="Percent 4 38" xfId="8835" xr:uid="{00000000-0005-0000-0000-0000A1220000}"/>
    <cellStyle name="Percent 4 39" xfId="8836" xr:uid="{00000000-0005-0000-0000-0000A2220000}"/>
    <cellStyle name="Percent 4 4" xfId="8837" xr:uid="{00000000-0005-0000-0000-0000A3220000}"/>
    <cellStyle name="Percent 4 40" xfId="8838" xr:uid="{00000000-0005-0000-0000-0000A4220000}"/>
    <cellStyle name="Percent 4 41" xfId="8839" xr:uid="{00000000-0005-0000-0000-0000A5220000}"/>
    <cellStyle name="Percent 4 42" xfId="8840" xr:uid="{00000000-0005-0000-0000-0000A6220000}"/>
    <cellStyle name="Percent 4 43" xfId="8841" xr:uid="{00000000-0005-0000-0000-0000A7220000}"/>
    <cellStyle name="Percent 4 44" xfId="8842" xr:uid="{00000000-0005-0000-0000-0000A8220000}"/>
    <cellStyle name="Percent 4 45" xfId="8843" xr:uid="{00000000-0005-0000-0000-0000A9220000}"/>
    <cellStyle name="Percent 4 46" xfId="8844" xr:uid="{00000000-0005-0000-0000-0000AA220000}"/>
    <cellStyle name="Percent 4 47" xfId="8845" xr:uid="{00000000-0005-0000-0000-0000AB220000}"/>
    <cellStyle name="Percent 4 48" xfId="8846" xr:uid="{00000000-0005-0000-0000-0000AC220000}"/>
    <cellStyle name="Percent 4 49" xfId="8847" xr:uid="{00000000-0005-0000-0000-0000AD220000}"/>
    <cellStyle name="Percent 4 5" xfId="8848" xr:uid="{00000000-0005-0000-0000-0000AE220000}"/>
    <cellStyle name="Percent 4 50" xfId="8849" xr:uid="{00000000-0005-0000-0000-0000AF220000}"/>
    <cellStyle name="Percent 4 51" xfId="8850" xr:uid="{00000000-0005-0000-0000-0000B0220000}"/>
    <cellStyle name="Percent 4 52" xfId="8851" xr:uid="{00000000-0005-0000-0000-0000B1220000}"/>
    <cellStyle name="Percent 4 53" xfId="8852" xr:uid="{00000000-0005-0000-0000-0000B2220000}"/>
    <cellStyle name="Percent 4 54" xfId="8853" xr:uid="{00000000-0005-0000-0000-0000B3220000}"/>
    <cellStyle name="Percent 4 55" xfId="8854" xr:uid="{00000000-0005-0000-0000-0000B4220000}"/>
    <cellStyle name="Percent 4 56" xfId="8855" xr:uid="{00000000-0005-0000-0000-0000B5220000}"/>
    <cellStyle name="Percent 4 57" xfId="8856" xr:uid="{00000000-0005-0000-0000-0000B6220000}"/>
    <cellStyle name="Percent 4 58" xfId="8857" xr:uid="{00000000-0005-0000-0000-0000B7220000}"/>
    <cellStyle name="Percent 4 59" xfId="8858" xr:uid="{00000000-0005-0000-0000-0000B8220000}"/>
    <cellStyle name="Percent 4 6" xfId="8859" xr:uid="{00000000-0005-0000-0000-0000B9220000}"/>
    <cellStyle name="Percent 4 60" xfId="8860" xr:uid="{00000000-0005-0000-0000-0000BA220000}"/>
    <cellStyle name="Percent 4 61" xfId="8861" xr:uid="{00000000-0005-0000-0000-0000BB220000}"/>
    <cellStyle name="Percent 4 62" xfId="9420" xr:uid="{00000000-0005-0000-0000-0000BC220000}"/>
    <cellStyle name="Percent 4 63" xfId="9424" xr:uid="{00000000-0005-0000-0000-0000BD220000}"/>
    <cellStyle name="Percent 4 7" xfId="8862" xr:uid="{00000000-0005-0000-0000-0000BE220000}"/>
    <cellStyle name="Percent 4 8" xfId="8863" xr:uid="{00000000-0005-0000-0000-0000BF220000}"/>
    <cellStyle name="Percent 4 9" xfId="8864" xr:uid="{00000000-0005-0000-0000-0000C0220000}"/>
    <cellStyle name="Percent 40" xfId="8865" xr:uid="{00000000-0005-0000-0000-0000C1220000}"/>
    <cellStyle name="Percent 41" xfId="8866" xr:uid="{00000000-0005-0000-0000-0000C2220000}"/>
    <cellStyle name="Percent 42" xfId="8867" xr:uid="{00000000-0005-0000-0000-0000C3220000}"/>
    <cellStyle name="Percent 43" xfId="8868" xr:uid="{00000000-0005-0000-0000-0000C4220000}"/>
    <cellStyle name="Percent 44" xfId="8869" xr:uid="{00000000-0005-0000-0000-0000C5220000}"/>
    <cellStyle name="Percent 44 2" xfId="8870" xr:uid="{00000000-0005-0000-0000-0000C6220000}"/>
    <cellStyle name="Percent 44 3" xfId="9445" xr:uid="{00000000-0005-0000-0000-0000C7220000}"/>
    <cellStyle name="Percent 45" xfId="8871" xr:uid="{00000000-0005-0000-0000-0000C8220000}"/>
    <cellStyle name="Percent 46" xfId="8872" xr:uid="{00000000-0005-0000-0000-0000C9220000}"/>
    <cellStyle name="Percent 47" xfId="8873" xr:uid="{00000000-0005-0000-0000-0000CA220000}"/>
    <cellStyle name="Percent 48" xfId="8874" xr:uid="{00000000-0005-0000-0000-0000CB220000}"/>
    <cellStyle name="Percent 49" xfId="8875" xr:uid="{00000000-0005-0000-0000-0000CC220000}"/>
    <cellStyle name="Percent 49 2" xfId="8876" xr:uid="{00000000-0005-0000-0000-0000CD220000}"/>
    <cellStyle name="Percent 5" xfId="62" xr:uid="{00000000-0005-0000-0000-0000CE220000}"/>
    <cellStyle name="Percent 5 10" xfId="8877" xr:uid="{00000000-0005-0000-0000-0000CF220000}"/>
    <cellStyle name="Percent 5 11" xfId="8878" xr:uid="{00000000-0005-0000-0000-0000D0220000}"/>
    <cellStyle name="Percent 5 12" xfId="8879" xr:uid="{00000000-0005-0000-0000-0000D1220000}"/>
    <cellStyle name="Percent 5 13" xfId="8880" xr:uid="{00000000-0005-0000-0000-0000D2220000}"/>
    <cellStyle name="Percent 5 14" xfId="8881" xr:uid="{00000000-0005-0000-0000-0000D3220000}"/>
    <cellStyle name="Percent 5 15" xfId="8882" xr:uid="{00000000-0005-0000-0000-0000D4220000}"/>
    <cellStyle name="Percent 5 16" xfId="8883" xr:uid="{00000000-0005-0000-0000-0000D5220000}"/>
    <cellStyle name="Percent 5 17" xfId="8884" xr:uid="{00000000-0005-0000-0000-0000D6220000}"/>
    <cellStyle name="Percent 5 18" xfId="8885" xr:uid="{00000000-0005-0000-0000-0000D7220000}"/>
    <cellStyle name="Percent 5 19" xfId="8886" xr:uid="{00000000-0005-0000-0000-0000D8220000}"/>
    <cellStyle name="Percent 5 2" xfId="8887" xr:uid="{00000000-0005-0000-0000-0000D9220000}"/>
    <cellStyle name="Percent 5 2 10" xfId="8888" xr:uid="{00000000-0005-0000-0000-0000DA220000}"/>
    <cellStyle name="Percent 5 2 11" xfId="8889" xr:uid="{00000000-0005-0000-0000-0000DB220000}"/>
    <cellStyle name="Percent 5 2 12" xfId="8890" xr:uid="{00000000-0005-0000-0000-0000DC220000}"/>
    <cellStyle name="Percent 5 2 13" xfId="8891" xr:uid="{00000000-0005-0000-0000-0000DD220000}"/>
    <cellStyle name="Percent 5 2 14" xfId="8892" xr:uid="{00000000-0005-0000-0000-0000DE220000}"/>
    <cellStyle name="Percent 5 2 15" xfId="8893" xr:uid="{00000000-0005-0000-0000-0000DF220000}"/>
    <cellStyle name="Percent 5 2 15 2" xfId="8894" xr:uid="{00000000-0005-0000-0000-0000E0220000}"/>
    <cellStyle name="Percent 5 2 16" xfId="8895" xr:uid="{00000000-0005-0000-0000-0000E1220000}"/>
    <cellStyle name="Percent 5 2 17" xfId="8896" xr:uid="{00000000-0005-0000-0000-0000E2220000}"/>
    <cellStyle name="Percent 5 2 18" xfId="8897" xr:uid="{00000000-0005-0000-0000-0000E3220000}"/>
    <cellStyle name="Percent 5 2 19" xfId="8898" xr:uid="{00000000-0005-0000-0000-0000E4220000}"/>
    <cellStyle name="Percent 5 2 2" xfId="8899" xr:uid="{00000000-0005-0000-0000-0000E5220000}"/>
    <cellStyle name="Percent 5 2 2 10" xfId="8900" xr:uid="{00000000-0005-0000-0000-0000E6220000}"/>
    <cellStyle name="Percent 5 2 2 11" xfId="8901" xr:uid="{00000000-0005-0000-0000-0000E7220000}"/>
    <cellStyle name="Percent 5 2 2 12" xfId="8902" xr:uid="{00000000-0005-0000-0000-0000E8220000}"/>
    <cellStyle name="Percent 5 2 2 12 2" xfId="8903" xr:uid="{00000000-0005-0000-0000-0000E9220000}"/>
    <cellStyle name="Percent 5 2 2 13" xfId="8904" xr:uid="{00000000-0005-0000-0000-0000EA220000}"/>
    <cellStyle name="Percent 5 2 2 14" xfId="8905" xr:uid="{00000000-0005-0000-0000-0000EB220000}"/>
    <cellStyle name="Percent 5 2 2 2" xfId="8906" xr:uid="{00000000-0005-0000-0000-0000EC220000}"/>
    <cellStyle name="Percent 5 2 2 2 10" xfId="8907" xr:uid="{00000000-0005-0000-0000-0000ED220000}"/>
    <cellStyle name="Percent 5 2 2 2 10 2" xfId="8908" xr:uid="{00000000-0005-0000-0000-0000EE220000}"/>
    <cellStyle name="Percent 5 2 2 2 10 2 2" xfId="8909" xr:uid="{00000000-0005-0000-0000-0000EF220000}"/>
    <cellStyle name="Percent 5 2 2 2 10 3" xfId="8910" xr:uid="{00000000-0005-0000-0000-0000F0220000}"/>
    <cellStyle name="Percent 5 2 2 2 11" xfId="8911" xr:uid="{00000000-0005-0000-0000-0000F1220000}"/>
    <cellStyle name="Percent 5 2 2 2 11 2" xfId="8912" xr:uid="{00000000-0005-0000-0000-0000F2220000}"/>
    <cellStyle name="Percent 5 2 2 2 11 2 2" xfId="8913" xr:uid="{00000000-0005-0000-0000-0000F3220000}"/>
    <cellStyle name="Percent 5 2 2 2 11 3" xfId="8914" xr:uid="{00000000-0005-0000-0000-0000F4220000}"/>
    <cellStyle name="Percent 5 2 2 2 12" xfId="8915" xr:uid="{00000000-0005-0000-0000-0000F5220000}"/>
    <cellStyle name="Percent 5 2 2 2 12 2" xfId="8916" xr:uid="{00000000-0005-0000-0000-0000F6220000}"/>
    <cellStyle name="Percent 5 2 2 2 13" xfId="8917" xr:uid="{00000000-0005-0000-0000-0000F7220000}"/>
    <cellStyle name="Percent 5 2 2 2 13 2" xfId="8918" xr:uid="{00000000-0005-0000-0000-0000F8220000}"/>
    <cellStyle name="Percent 5 2 2 2 14" xfId="8919" xr:uid="{00000000-0005-0000-0000-0000F9220000}"/>
    <cellStyle name="Percent 5 2 2 2 2" xfId="8920" xr:uid="{00000000-0005-0000-0000-0000FA220000}"/>
    <cellStyle name="Percent 5 2 2 2 2 2" xfId="8921" xr:uid="{00000000-0005-0000-0000-0000FB220000}"/>
    <cellStyle name="Percent 5 2 2 2 2 2 2" xfId="8922" xr:uid="{00000000-0005-0000-0000-0000FC220000}"/>
    <cellStyle name="Percent 5 2 2 2 2 3" xfId="8923" xr:uid="{00000000-0005-0000-0000-0000FD220000}"/>
    <cellStyle name="Percent 5 2 2 2 3" xfId="8924" xr:uid="{00000000-0005-0000-0000-0000FE220000}"/>
    <cellStyle name="Percent 5 2 2 2 3 2" xfId="8925" xr:uid="{00000000-0005-0000-0000-0000FF220000}"/>
    <cellStyle name="Percent 5 2 2 2 3 2 2" xfId="8926" xr:uid="{00000000-0005-0000-0000-000000230000}"/>
    <cellStyle name="Percent 5 2 2 2 3 3" xfId="8927" xr:uid="{00000000-0005-0000-0000-000001230000}"/>
    <cellStyle name="Percent 5 2 2 2 4" xfId="8928" xr:uid="{00000000-0005-0000-0000-000002230000}"/>
    <cellStyle name="Percent 5 2 2 2 4 2" xfId="8929" xr:uid="{00000000-0005-0000-0000-000003230000}"/>
    <cellStyle name="Percent 5 2 2 2 4 2 2" xfId="8930" xr:uid="{00000000-0005-0000-0000-000004230000}"/>
    <cellStyle name="Percent 5 2 2 2 4 3" xfId="8931" xr:uid="{00000000-0005-0000-0000-000005230000}"/>
    <cellStyle name="Percent 5 2 2 2 5" xfId="8932" xr:uid="{00000000-0005-0000-0000-000006230000}"/>
    <cellStyle name="Percent 5 2 2 2 5 2" xfId="8933" xr:uid="{00000000-0005-0000-0000-000007230000}"/>
    <cellStyle name="Percent 5 2 2 2 5 2 2" xfId="8934" xr:uid="{00000000-0005-0000-0000-000008230000}"/>
    <cellStyle name="Percent 5 2 2 2 5 3" xfId="8935" xr:uid="{00000000-0005-0000-0000-000009230000}"/>
    <cellStyle name="Percent 5 2 2 2 6" xfId="8936" xr:uid="{00000000-0005-0000-0000-00000A230000}"/>
    <cellStyle name="Percent 5 2 2 2 6 2" xfId="8937" xr:uid="{00000000-0005-0000-0000-00000B230000}"/>
    <cellStyle name="Percent 5 2 2 2 6 2 2" xfId="8938" xr:uid="{00000000-0005-0000-0000-00000C230000}"/>
    <cellStyle name="Percent 5 2 2 2 6 3" xfId="8939" xr:uid="{00000000-0005-0000-0000-00000D230000}"/>
    <cellStyle name="Percent 5 2 2 2 7" xfId="8940" xr:uid="{00000000-0005-0000-0000-00000E230000}"/>
    <cellStyle name="Percent 5 2 2 2 7 2" xfId="8941" xr:uid="{00000000-0005-0000-0000-00000F230000}"/>
    <cellStyle name="Percent 5 2 2 2 7 2 2" xfId="8942" xr:uid="{00000000-0005-0000-0000-000010230000}"/>
    <cellStyle name="Percent 5 2 2 2 7 3" xfId="8943" xr:uid="{00000000-0005-0000-0000-000011230000}"/>
    <cellStyle name="Percent 5 2 2 2 8" xfId="8944" xr:uid="{00000000-0005-0000-0000-000012230000}"/>
    <cellStyle name="Percent 5 2 2 2 8 2" xfId="8945" xr:uid="{00000000-0005-0000-0000-000013230000}"/>
    <cellStyle name="Percent 5 2 2 2 8 2 2" xfId="8946" xr:uid="{00000000-0005-0000-0000-000014230000}"/>
    <cellStyle name="Percent 5 2 2 2 8 3" xfId="8947" xr:uid="{00000000-0005-0000-0000-000015230000}"/>
    <cellStyle name="Percent 5 2 2 2 9" xfId="8948" xr:uid="{00000000-0005-0000-0000-000016230000}"/>
    <cellStyle name="Percent 5 2 2 2 9 2" xfId="8949" xr:uid="{00000000-0005-0000-0000-000017230000}"/>
    <cellStyle name="Percent 5 2 2 2 9 2 2" xfId="8950" xr:uid="{00000000-0005-0000-0000-000018230000}"/>
    <cellStyle name="Percent 5 2 2 2 9 3" xfId="8951" xr:uid="{00000000-0005-0000-0000-000019230000}"/>
    <cellStyle name="Percent 5 2 2 3" xfId="8952" xr:uid="{00000000-0005-0000-0000-00001A230000}"/>
    <cellStyle name="Percent 5 2 2 4" xfId="8953" xr:uid="{00000000-0005-0000-0000-00001B230000}"/>
    <cellStyle name="Percent 5 2 2 5" xfId="8954" xr:uid="{00000000-0005-0000-0000-00001C230000}"/>
    <cellStyle name="Percent 5 2 2 6" xfId="8955" xr:uid="{00000000-0005-0000-0000-00001D230000}"/>
    <cellStyle name="Percent 5 2 2 7" xfId="8956" xr:uid="{00000000-0005-0000-0000-00001E230000}"/>
    <cellStyle name="Percent 5 2 2 8" xfId="8957" xr:uid="{00000000-0005-0000-0000-00001F230000}"/>
    <cellStyle name="Percent 5 2 2 9" xfId="8958" xr:uid="{00000000-0005-0000-0000-000020230000}"/>
    <cellStyle name="Percent 5 2 20" xfId="8959" xr:uid="{00000000-0005-0000-0000-000021230000}"/>
    <cellStyle name="Percent 5 2 3" xfId="8960" xr:uid="{00000000-0005-0000-0000-000022230000}"/>
    <cellStyle name="Percent 5 2 3 2" xfId="8961" xr:uid="{00000000-0005-0000-0000-000023230000}"/>
    <cellStyle name="Percent 5 2 3 2 2" xfId="8962" xr:uid="{00000000-0005-0000-0000-000024230000}"/>
    <cellStyle name="Percent 5 2 3 2 3" xfId="8963" xr:uid="{00000000-0005-0000-0000-000025230000}"/>
    <cellStyle name="Percent 5 2 3 3" xfId="8964" xr:uid="{00000000-0005-0000-0000-000026230000}"/>
    <cellStyle name="Percent 5 2 4" xfId="8965" xr:uid="{00000000-0005-0000-0000-000027230000}"/>
    <cellStyle name="Percent 5 2 4 2" xfId="8966" xr:uid="{00000000-0005-0000-0000-000028230000}"/>
    <cellStyle name="Percent 5 2 4 2 2" xfId="8967" xr:uid="{00000000-0005-0000-0000-000029230000}"/>
    <cellStyle name="Percent 5 2 4 3" xfId="8968" xr:uid="{00000000-0005-0000-0000-00002A230000}"/>
    <cellStyle name="Percent 5 2 5" xfId="8969" xr:uid="{00000000-0005-0000-0000-00002B230000}"/>
    <cellStyle name="Percent 5 2 5 2" xfId="8970" xr:uid="{00000000-0005-0000-0000-00002C230000}"/>
    <cellStyle name="Percent 5 2 5 2 2" xfId="8971" xr:uid="{00000000-0005-0000-0000-00002D230000}"/>
    <cellStyle name="Percent 5 2 5 3" xfId="8972" xr:uid="{00000000-0005-0000-0000-00002E230000}"/>
    <cellStyle name="Percent 5 2 6" xfId="8973" xr:uid="{00000000-0005-0000-0000-00002F230000}"/>
    <cellStyle name="Percent 5 2 7" xfId="8974" xr:uid="{00000000-0005-0000-0000-000030230000}"/>
    <cellStyle name="Percent 5 2 8" xfId="8975" xr:uid="{00000000-0005-0000-0000-000031230000}"/>
    <cellStyle name="Percent 5 2 9" xfId="8976" xr:uid="{00000000-0005-0000-0000-000032230000}"/>
    <cellStyle name="Percent 5 20" xfId="8977" xr:uid="{00000000-0005-0000-0000-000033230000}"/>
    <cellStyle name="Percent 5 21" xfId="8978" xr:uid="{00000000-0005-0000-0000-000034230000}"/>
    <cellStyle name="Percent 5 22" xfId="8979" xr:uid="{00000000-0005-0000-0000-000035230000}"/>
    <cellStyle name="Percent 5 23" xfId="8980" xr:uid="{00000000-0005-0000-0000-000036230000}"/>
    <cellStyle name="Percent 5 24" xfId="8981" xr:uid="{00000000-0005-0000-0000-000037230000}"/>
    <cellStyle name="Percent 5 25" xfId="8982" xr:uid="{00000000-0005-0000-0000-000038230000}"/>
    <cellStyle name="Percent 5 26" xfId="8983" xr:uid="{00000000-0005-0000-0000-000039230000}"/>
    <cellStyle name="Percent 5 27" xfId="8984" xr:uid="{00000000-0005-0000-0000-00003A230000}"/>
    <cellStyle name="Percent 5 28" xfId="8985" xr:uid="{00000000-0005-0000-0000-00003B230000}"/>
    <cellStyle name="Percent 5 29" xfId="8986" xr:uid="{00000000-0005-0000-0000-00003C230000}"/>
    <cellStyle name="Percent 5 3" xfId="8987" xr:uid="{00000000-0005-0000-0000-00003D230000}"/>
    <cellStyle name="Percent 5 3 2" xfId="8988" xr:uid="{00000000-0005-0000-0000-00003E230000}"/>
    <cellStyle name="Percent 5 3 2 2" xfId="8989" xr:uid="{00000000-0005-0000-0000-00003F230000}"/>
    <cellStyle name="Percent 5 3 3" xfId="8990" xr:uid="{00000000-0005-0000-0000-000040230000}"/>
    <cellStyle name="Percent 5 3 4" xfId="8991" xr:uid="{00000000-0005-0000-0000-000041230000}"/>
    <cellStyle name="Percent 5 3 5" xfId="8992" xr:uid="{00000000-0005-0000-0000-000042230000}"/>
    <cellStyle name="Percent 5 30" xfId="8993" xr:uid="{00000000-0005-0000-0000-000043230000}"/>
    <cellStyle name="Percent 5 31" xfId="8994" xr:uid="{00000000-0005-0000-0000-000044230000}"/>
    <cellStyle name="Percent 5 32" xfId="8995" xr:uid="{00000000-0005-0000-0000-000045230000}"/>
    <cellStyle name="Percent 5 33" xfId="8996" xr:uid="{00000000-0005-0000-0000-000046230000}"/>
    <cellStyle name="Percent 5 34" xfId="8997" xr:uid="{00000000-0005-0000-0000-000047230000}"/>
    <cellStyle name="Percent 5 35" xfId="8998" xr:uid="{00000000-0005-0000-0000-000048230000}"/>
    <cellStyle name="Percent 5 36" xfId="8999" xr:uid="{00000000-0005-0000-0000-000049230000}"/>
    <cellStyle name="Percent 5 37" xfId="9000" xr:uid="{00000000-0005-0000-0000-00004A230000}"/>
    <cellStyle name="Percent 5 38" xfId="9001" xr:uid="{00000000-0005-0000-0000-00004B230000}"/>
    <cellStyle name="Percent 5 39" xfId="9002" xr:uid="{00000000-0005-0000-0000-00004C230000}"/>
    <cellStyle name="Percent 5 4" xfId="9003" xr:uid="{00000000-0005-0000-0000-00004D230000}"/>
    <cellStyle name="Percent 5 4 2" xfId="9004" xr:uid="{00000000-0005-0000-0000-00004E230000}"/>
    <cellStyle name="Percent 5 4 3" xfId="9005" xr:uid="{00000000-0005-0000-0000-00004F230000}"/>
    <cellStyle name="Percent 5 40" xfId="9006" xr:uid="{00000000-0005-0000-0000-000050230000}"/>
    <cellStyle name="Percent 5 41" xfId="9007" xr:uid="{00000000-0005-0000-0000-000051230000}"/>
    <cellStyle name="Percent 5 42" xfId="9008" xr:uid="{00000000-0005-0000-0000-000052230000}"/>
    <cellStyle name="Percent 5 43" xfId="9009" xr:uid="{00000000-0005-0000-0000-000053230000}"/>
    <cellStyle name="Percent 5 44" xfId="9010" xr:uid="{00000000-0005-0000-0000-000054230000}"/>
    <cellStyle name="Percent 5 45" xfId="9011" xr:uid="{00000000-0005-0000-0000-000055230000}"/>
    <cellStyle name="Percent 5 46" xfId="9012" xr:uid="{00000000-0005-0000-0000-000056230000}"/>
    <cellStyle name="Percent 5 47" xfId="9013" xr:uid="{00000000-0005-0000-0000-000057230000}"/>
    <cellStyle name="Percent 5 48" xfId="9014" xr:uid="{00000000-0005-0000-0000-000058230000}"/>
    <cellStyle name="Percent 5 49" xfId="9015" xr:uid="{00000000-0005-0000-0000-000059230000}"/>
    <cellStyle name="Percent 5 5" xfId="9016" xr:uid="{00000000-0005-0000-0000-00005A230000}"/>
    <cellStyle name="Percent 5 5 2" xfId="9017" xr:uid="{00000000-0005-0000-0000-00005B230000}"/>
    <cellStyle name="Percent 5 5 3" xfId="9018" xr:uid="{00000000-0005-0000-0000-00005C230000}"/>
    <cellStyle name="Percent 5 50" xfId="9019" xr:uid="{00000000-0005-0000-0000-00005D230000}"/>
    <cellStyle name="Percent 5 51" xfId="9020" xr:uid="{00000000-0005-0000-0000-00005E230000}"/>
    <cellStyle name="Percent 5 52" xfId="9021" xr:uid="{00000000-0005-0000-0000-00005F230000}"/>
    <cellStyle name="Percent 5 53" xfId="9022" xr:uid="{00000000-0005-0000-0000-000060230000}"/>
    <cellStyle name="Percent 5 54" xfId="9023" xr:uid="{00000000-0005-0000-0000-000061230000}"/>
    <cellStyle name="Percent 5 55" xfId="9024" xr:uid="{00000000-0005-0000-0000-000062230000}"/>
    <cellStyle name="Percent 5 56" xfId="9025" xr:uid="{00000000-0005-0000-0000-000063230000}"/>
    <cellStyle name="Percent 5 57" xfId="9026" xr:uid="{00000000-0005-0000-0000-000064230000}"/>
    <cellStyle name="Percent 5 58" xfId="9027" xr:uid="{00000000-0005-0000-0000-000065230000}"/>
    <cellStyle name="Percent 5 59" xfId="9028" xr:uid="{00000000-0005-0000-0000-000066230000}"/>
    <cellStyle name="Percent 5 6" xfId="9029" xr:uid="{00000000-0005-0000-0000-000067230000}"/>
    <cellStyle name="Percent 5 60" xfId="9030" xr:uid="{00000000-0005-0000-0000-000068230000}"/>
    <cellStyle name="Percent 5 61" xfId="9031" xr:uid="{00000000-0005-0000-0000-000069230000}"/>
    <cellStyle name="Percent 5 62" xfId="9032" xr:uid="{00000000-0005-0000-0000-00006A230000}"/>
    <cellStyle name="Percent 5 63" xfId="9033" xr:uid="{00000000-0005-0000-0000-00006B230000}"/>
    <cellStyle name="Percent 5 64" xfId="9034" xr:uid="{00000000-0005-0000-0000-00006C230000}"/>
    <cellStyle name="Percent 5 7" xfId="9035" xr:uid="{00000000-0005-0000-0000-00006D230000}"/>
    <cellStyle name="Percent 5 8" xfId="9036" xr:uid="{00000000-0005-0000-0000-00006E230000}"/>
    <cellStyle name="Percent 5 9" xfId="9037" xr:uid="{00000000-0005-0000-0000-00006F230000}"/>
    <cellStyle name="Percent 50" xfId="9038" xr:uid="{00000000-0005-0000-0000-000070230000}"/>
    <cellStyle name="Percent 51" xfId="9039" xr:uid="{00000000-0005-0000-0000-000071230000}"/>
    <cellStyle name="Percent 52" xfId="9040" xr:uid="{00000000-0005-0000-0000-000072230000}"/>
    <cellStyle name="Percent 53" xfId="9041" xr:uid="{00000000-0005-0000-0000-000073230000}"/>
    <cellStyle name="Percent 54" xfId="9042" xr:uid="{00000000-0005-0000-0000-000074230000}"/>
    <cellStyle name="Percent 55" xfId="9043" xr:uid="{00000000-0005-0000-0000-000075230000}"/>
    <cellStyle name="Percent 56" xfId="9044" xr:uid="{00000000-0005-0000-0000-000076230000}"/>
    <cellStyle name="Percent 57" xfId="9045" xr:uid="{00000000-0005-0000-0000-000077230000}"/>
    <cellStyle name="Percent 58" xfId="9046" xr:uid="{00000000-0005-0000-0000-000078230000}"/>
    <cellStyle name="Percent 59" xfId="9047" xr:uid="{00000000-0005-0000-0000-000079230000}"/>
    <cellStyle name="Percent 6" xfId="64" xr:uid="{00000000-0005-0000-0000-00007A230000}"/>
    <cellStyle name="Percent 6 2" xfId="9048" xr:uid="{00000000-0005-0000-0000-00007B230000}"/>
    <cellStyle name="Percent 6 3" xfId="9049" xr:uid="{00000000-0005-0000-0000-00007C230000}"/>
    <cellStyle name="Percent 6 4" xfId="9050" xr:uid="{00000000-0005-0000-0000-00007D230000}"/>
    <cellStyle name="Percent 6 4 2 3 2" xfId="43" xr:uid="{00000000-0005-0000-0000-00007E230000}"/>
    <cellStyle name="Percent 60" xfId="9051" xr:uid="{00000000-0005-0000-0000-00007F230000}"/>
    <cellStyle name="Percent 61" xfId="9052" xr:uid="{00000000-0005-0000-0000-000080230000}"/>
    <cellStyle name="Percent 62" xfId="9053" xr:uid="{00000000-0005-0000-0000-000081230000}"/>
    <cellStyle name="Percent 63" xfId="9054" xr:uid="{00000000-0005-0000-0000-000082230000}"/>
    <cellStyle name="Percent 64" xfId="9055" xr:uid="{00000000-0005-0000-0000-000083230000}"/>
    <cellStyle name="Percent 64 2" xfId="9056" xr:uid="{00000000-0005-0000-0000-000084230000}"/>
    <cellStyle name="Percent 64 2 2" xfId="9057" xr:uid="{00000000-0005-0000-0000-000085230000}"/>
    <cellStyle name="Percent 65" xfId="9058" xr:uid="{00000000-0005-0000-0000-000086230000}"/>
    <cellStyle name="Percent 65 2" xfId="9059" xr:uid="{00000000-0005-0000-0000-000087230000}"/>
    <cellStyle name="Percent 65 3" xfId="9060" xr:uid="{00000000-0005-0000-0000-000088230000}"/>
    <cellStyle name="Percent 66" xfId="9061" xr:uid="{00000000-0005-0000-0000-000089230000}"/>
    <cellStyle name="Percent 66 2" xfId="9062" xr:uid="{00000000-0005-0000-0000-00008A230000}"/>
    <cellStyle name="Percent 67" xfId="9063" xr:uid="{00000000-0005-0000-0000-00008B230000}"/>
    <cellStyle name="Percent 67 2" xfId="9064" xr:uid="{00000000-0005-0000-0000-00008C230000}"/>
    <cellStyle name="Percent 68" xfId="9065" xr:uid="{00000000-0005-0000-0000-00008D230000}"/>
    <cellStyle name="Percent 69" xfId="9066" xr:uid="{00000000-0005-0000-0000-00008E230000}"/>
    <cellStyle name="Percent 7" xfId="66" xr:uid="{00000000-0005-0000-0000-00008F230000}"/>
    <cellStyle name="Percent 7 10" xfId="9067" xr:uid="{00000000-0005-0000-0000-000090230000}"/>
    <cellStyle name="Percent 7 11" xfId="9068" xr:uid="{00000000-0005-0000-0000-000091230000}"/>
    <cellStyle name="Percent 7 12" xfId="9069" xr:uid="{00000000-0005-0000-0000-000092230000}"/>
    <cellStyle name="Percent 7 12 2" xfId="9070" xr:uid="{00000000-0005-0000-0000-000093230000}"/>
    <cellStyle name="Percent 7 13" xfId="9071" xr:uid="{00000000-0005-0000-0000-000094230000}"/>
    <cellStyle name="Percent 7 14" xfId="9072" xr:uid="{00000000-0005-0000-0000-000095230000}"/>
    <cellStyle name="Percent 7 15" xfId="9073" xr:uid="{00000000-0005-0000-0000-000096230000}"/>
    <cellStyle name="Percent 7 2" xfId="9074" xr:uid="{00000000-0005-0000-0000-000097230000}"/>
    <cellStyle name="Percent 7 2 10" xfId="9075" xr:uid="{00000000-0005-0000-0000-000098230000}"/>
    <cellStyle name="Percent 7 2 10 2" xfId="9076" xr:uid="{00000000-0005-0000-0000-000099230000}"/>
    <cellStyle name="Percent 7 2 10 2 2" xfId="9077" xr:uid="{00000000-0005-0000-0000-00009A230000}"/>
    <cellStyle name="Percent 7 2 10 3" xfId="9078" xr:uid="{00000000-0005-0000-0000-00009B230000}"/>
    <cellStyle name="Percent 7 2 11" xfId="9079" xr:uid="{00000000-0005-0000-0000-00009C230000}"/>
    <cellStyle name="Percent 7 2 11 2" xfId="9080" xr:uid="{00000000-0005-0000-0000-00009D230000}"/>
    <cellStyle name="Percent 7 2 11 2 2" xfId="9081" xr:uid="{00000000-0005-0000-0000-00009E230000}"/>
    <cellStyle name="Percent 7 2 11 3" xfId="9082" xr:uid="{00000000-0005-0000-0000-00009F230000}"/>
    <cellStyle name="Percent 7 2 12" xfId="9083" xr:uid="{00000000-0005-0000-0000-0000A0230000}"/>
    <cellStyle name="Percent 7 2 12 2" xfId="9084" xr:uid="{00000000-0005-0000-0000-0000A1230000}"/>
    <cellStyle name="Percent 7 2 12 3" xfId="9085" xr:uid="{00000000-0005-0000-0000-0000A2230000}"/>
    <cellStyle name="Percent 7 2 13" xfId="9086" xr:uid="{00000000-0005-0000-0000-0000A3230000}"/>
    <cellStyle name="Percent 7 2 13 2" xfId="9087" xr:uid="{00000000-0005-0000-0000-0000A4230000}"/>
    <cellStyle name="Percent 7 2 13 3" xfId="9088" xr:uid="{00000000-0005-0000-0000-0000A5230000}"/>
    <cellStyle name="Percent 7 2 14" xfId="9089" xr:uid="{00000000-0005-0000-0000-0000A6230000}"/>
    <cellStyle name="Percent 7 2 2" xfId="9090" xr:uid="{00000000-0005-0000-0000-0000A7230000}"/>
    <cellStyle name="Percent 7 2 2 2" xfId="9091" xr:uid="{00000000-0005-0000-0000-0000A8230000}"/>
    <cellStyle name="Percent 7 2 2 2 2" xfId="9092" xr:uid="{00000000-0005-0000-0000-0000A9230000}"/>
    <cellStyle name="Percent 7 2 2 3" xfId="9093" xr:uid="{00000000-0005-0000-0000-0000AA230000}"/>
    <cellStyle name="Percent 7 2 3" xfId="9094" xr:uid="{00000000-0005-0000-0000-0000AB230000}"/>
    <cellStyle name="Percent 7 2 3 2" xfId="9095" xr:uid="{00000000-0005-0000-0000-0000AC230000}"/>
    <cellStyle name="Percent 7 2 3 2 2" xfId="9096" xr:uid="{00000000-0005-0000-0000-0000AD230000}"/>
    <cellStyle name="Percent 7 2 3 3" xfId="9097" xr:uid="{00000000-0005-0000-0000-0000AE230000}"/>
    <cellStyle name="Percent 7 2 4" xfId="9098" xr:uid="{00000000-0005-0000-0000-0000AF230000}"/>
    <cellStyle name="Percent 7 2 4 2" xfId="9099" xr:uid="{00000000-0005-0000-0000-0000B0230000}"/>
    <cellStyle name="Percent 7 2 4 2 2" xfId="9100" xr:uid="{00000000-0005-0000-0000-0000B1230000}"/>
    <cellStyle name="Percent 7 2 4 3" xfId="9101" xr:uid="{00000000-0005-0000-0000-0000B2230000}"/>
    <cellStyle name="Percent 7 2 5" xfId="9102" xr:uid="{00000000-0005-0000-0000-0000B3230000}"/>
    <cellStyle name="Percent 7 2 5 2" xfId="9103" xr:uid="{00000000-0005-0000-0000-0000B4230000}"/>
    <cellStyle name="Percent 7 2 5 2 2" xfId="9104" xr:uid="{00000000-0005-0000-0000-0000B5230000}"/>
    <cellStyle name="Percent 7 2 5 3" xfId="9105" xr:uid="{00000000-0005-0000-0000-0000B6230000}"/>
    <cellStyle name="Percent 7 2 6" xfId="9106" xr:uid="{00000000-0005-0000-0000-0000B7230000}"/>
    <cellStyle name="Percent 7 2 6 2" xfId="9107" xr:uid="{00000000-0005-0000-0000-0000B8230000}"/>
    <cellStyle name="Percent 7 2 6 2 2" xfId="9108" xr:uid="{00000000-0005-0000-0000-0000B9230000}"/>
    <cellStyle name="Percent 7 2 6 3" xfId="9109" xr:uid="{00000000-0005-0000-0000-0000BA230000}"/>
    <cellStyle name="Percent 7 2 7" xfId="9110" xr:uid="{00000000-0005-0000-0000-0000BB230000}"/>
    <cellStyle name="Percent 7 2 7 2" xfId="9111" xr:uid="{00000000-0005-0000-0000-0000BC230000}"/>
    <cellStyle name="Percent 7 2 7 2 2" xfId="9112" xr:uid="{00000000-0005-0000-0000-0000BD230000}"/>
    <cellStyle name="Percent 7 2 7 3" xfId="9113" xr:uid="{00000000-0005-0000-0000-0000BE230000}"/>
    <cellStyle name="Percent 7 2 8" xfId="9114" xr:uid="{00000000-0005-0000-0000-0000BF230000}"/>
    <cellStyle name="Percent 7 2 8 2" xfId="9115" xr:uid="{00000000-0005-0000-0000-0000C0230000}"/>
    <cellStyle name="Percent 7 2 8 2 2" xfId="9116" xr:uid="{00000000-0005-0000-0000-0000C1230000}"/>
    <cellStyle name="Percent 7 2 8 3" xfId="9117" xr:uid="{00000000-0005-0000-0000-0000C2230000}"/>
    <cellStyle name="Percent 7 2 9" xfId="9118" xr:uid="{00000000-0005-0000-0000-0000C3230000}"/>
    <cellStyle name="Percent 7 2 9 2" xfId="9119" xr:uid="{00000000-0005-0000-0000-0000C4230000}"/>
    <cellStyle name="Percent 7 2 9 2 2" xfId="9120" xr:uid="{00000000-0005-0000-0000-0000C5230000}"/>
    <cellStyle name="Percent 7 2 9 3" xfId="9121" xr:uid="{00000000-0005-0000-0000-0000C6230000}"/>
    <cellStyle name="Percent 7 3" xfId="9122" xr:uid="{00000000-0005-0000-0000-0000C7230000}"/>
    <cellStyle name="Percent 7 4" xfId="9123" xr:uid="{00000000-0005-0000-0000-0000C8230000}"/>
    <cellStyle name="Percent 7 5" xfId="9124" xr:uid="{00000000-0005-0000-0000-0000C9230000}"/>
    <cellStyle name="Percent 7 6" xfId="9125" xr:uid="{00000000-0005-0000-0000-0000CA230000}"/>
    <cellStyle name="Percent 7 7" xfId="9126" xr:uid="{00000000-0005-0000-0000-0000CB230000}"/>
    <cellStyle name="Percent 7 8" xfId="9127" xr:uid="{00000000-0005-0000-0000-0000CC230000}"/>
    <cellStyle name="Percent 7 9" xfId="9128" xr:uid="{00000000-0005-0000-0000-0000CD230000}"/>
    <cellStyle name="Percent 70" xfId="9129" xr:uid="{00000000-0005-0000-0000-0000CE230000}"/>
    <cellStyle name="Percent 71" xfId="9130" xr:uid="{00000000-0005-0000-0000-0000CF230000}"/>
    <cellStyle name="Percent 72" xfId="9131" xr:uid="{00000000-0005-0000-0000-0000D0230000}"/>
    <cellStyle name="Percent 73" xfId="9132" xr:uid="{00000000-0005-0000-0000-0000D1230000}"/>
    <cellStyle name="Percent 73 2" xfId="9133" xr:uid="{00000000-0005-0000-0000-0000D2230000}"/>
    <cellStyle name="Percent 74" xfId="9134" xr:uid="{00000000-0005-0000-0000-0000D3230000}"/>
    <cellStyle name="Percent 75" xfId="9135" xr:uid="{00000000-0005-0000-0000-0000D4230000}"/>
    <cellStyle name="Percent 76" xfId="9136" xr:uid="{00000000-0005-0000-0000-0000D5230000}"/>
    <cellStyle name="Percent 77" xfId="9137" xr:uid="{00000000-0005-0000-0000-0000D6230000}"/>
    <cellStyle name="Percent 78" xfId="9138" xr:uid="{00000000-0005-0000-0000-0000D7230000}"/>
    <cellStyle name="Percent 78 2" xfId="9433" xr:uid="{00000000-0005-0000-0000-0000D8230000}"/>
    <cellStyle name="Percent 79" xfId="9139" xr:uid="{00000000-0005-0000-0000-0000D9230000}"/>
    <cellStyle name="Percent 8" xfId="9140" xr:uid="{00000000-0005-0000-0000-0000DA230000}"/>
    <cellStyle name="Percent 8 2" xfId="9141" xr:uid="{00000000-0005-0000-0000-0000DB230000}"/>
    <cellStyle name="Percent 8 2 2" xfId="9142" xr:uid="{00000000-0005-0000-0000-0000DC230000}"/>
    <cellStyle name="Percent 8 2 2 2" xfId="9143" xr:uid="{00000000-0005-0000-0000-0000DD230000}"/>
    <cellStyle name="Percent 8 2 2 2 2" xfId="9144" xr:uid="{00000000-0005-0000-0000-0000DE230000}"/>
    <cellStyle name="Percent 8 2 2 2 2 2" xfId="9145" xr:uid="{00000000-0005-0000-0000-0000DF230000}"/>
    <cellStyle name="Percent 8 2 2 2 3" xfId="9146" xr:uid="{00000000-0005-0000-0000-0000E0230000}"/>
    <cellStyle name="Percent 8 2 2 3" xfId="9147" xr:uid="{00000000-0005-0000-0000-0000E1230000}"/>
    <cellStyle name="Percent 8 2 2 3 2" xfId="9148" xr:uid="{00000000-0005-0000-0000-0000E2230000}"/>
    <cellStyle name="Percent 8 2 2 3 2 2" xfId="9149" xr:uid="{00000000-0005-0000-0000-0000E3230000}"/>
    <cellStyle name="Percent 8 2 2 3 3" xfId="9150" xr:uid="{00000000-0005-0000-0000-0000E4230000}"/>
    <cellStyle name="Percent 8 2 2 4" xfId="9151" xr:uid="{00000000-0005-0000-0000-0000E5230000}"/>
    <cellStyle name="Percent 8 2 2 4 2" xfId="9152" xr:uid="{00000000-0005-0000-0000-0000E6230000}"/>
    <cellStyle name="Percent 8 2 2 4 2 2" xfId="9153" xr:uid="{00000000-0005-0000-0000-0000E7230000}"/>
    <cellStyle name="Percent 8 2 2 4 3" xfId="9154" xr:uid="{00000000-0005-0000-0000-0000E8230000}"/>
    <cellStyle name="Percent 8 2 2 5" xfId="9155" xr:uid="{00000000-0005-0000-0000-0000E9230000}"/>
    <cellStyle name="Percent 8 2 2 5 2" xfId="9156" xr:uid="{00000000-0005-0000-0000-0000EA230000}"/>
    <cellStyle name="Percent 8 2 2 5 2 2" xfId="9157" xr:uid="{00000000-0005-0000-0000-0000EB230000}"/>
    <cellStyle name="Percent 8 2 2 5 3" xfId="9158" xr:uid="{00000000-0005-0000-0000-0000EC230000}"/>
    <cellStyle name="Percent 8 2 3" xfId="9159" xr:uid="{00000000-0005-0000-0000-0000ED230000}"/>
    <cellStyle name="Percent 8 2 4" xfId="9160" xr:uid="{00000000-0005-0000-0000-0000EE230000}"/>
    <cellStyle name="Percent 8 2 5" xfId="9161" xr:uid="{00000000-0005-0000-0000-0000EF230000}"/>
    <cellStyle name="Percent 8 2 6" xfId="9162" xr:uid="{00000000-0005-0000-0000-0000F0230000}"/>
    <cellStyle name="Percent 8 2 6 2" xfId="9163" xr:uid="{00000000-0005-0000-0000-0000F1230000}"/>
    <cellStyle name="Percent 8 2 7" xfId="9164" xr:uid="{00000000-0005-0000-0000-0000F2230000}"/>
    <cellStyle name="Percent 8 3" xfId="9165" xr:uid="{00000000-0005-0000-0000-0000F3230000}"/>
    <cellStyle name="Percent 8 3 2" xfId="9166" xr:uid="{00000000-0005-0000-0000-0000F4230000}"/>
    <cellStyle name="Percent 8 3 2 2" xfId="9167" xr:uid="{00000000-0005-0000-0000-0000F5230000}"/>
    <cellStyle name="Percent 8 3 3" xfId="9168" xr:uid="{00000000-0005-0000-0000-0000F6230000}"/>
    <cellStyle name="Percent 8 4" xfId="9169" xr:uid="{00000000-0005-0000-0000-0000F7230000}"/>
    <cellStyle name="Percent 8 4 2" xfId="9170" xr:uid="{00000000-0005-0000-0000-0000F8230000}"/>
    <cellStyle name="Percent 8 4 2 2" xfId="9171" xr:uid="{00000000-0005-0000-0000-0000F9230000}"/>
    <cellStyle name="Percent 8 4 3" xfId="9172" xr:uid="{00000000-0005-0000-0000-0000FA230000}"/>
    <cellStyle name="Percent 8 5" xfId="9173" xr:uid="{00000000-0005-0000-0000-0000FB230000}"/>
    <cellStyle name="Percent 8 5 2" xfId="9174" xr:uid="{00000000-0005-0000-0000-0000FC230000}"/>
    <cellStyle name="Percent 8 5 2 2" xfId="9175" xr:uid="{00000000-0005-0000-0000-0000FD230000}"/>
    <cellStyle name="Percent 8 5 3" xfId="9176" xr:uid="{00000000-0005-0000-0000-0000FE230000}"/>
    <cellStyle name="Percent 8 6" xfId="9177" xr:uid="{00000000-0005-0000-0000-0000FF230000}"/>
    <cellStyle name="Percent 8 6 2" xfId="9178" xr:uid="{00000000-0005-0000-0000-000000240000}"/>
    <cellStyle name="Percent 8 6 2 2" xfId="9179" xr:uid="{00000000-0005-0000-0000-000001240000}"/>
    <cellStyle name="Percent 8 6 3" xfId="9180" xr:uid="{00000000-0005-0000-0000-000002240000}"/>
    <cellStyle name="Percent 8 7" xfId="9181" xr:uid="{00000000-0005-0000-0000-000003240000}"/>
    <cellStyle name="Percent 8 7 2" xfId="9182" xr:uid="{00000000-0005-0000-0000-000004240000}"/>
    <cellStyle name="Percent 8 7 3" xfId="9183" xr:uid="{00000000-0005-0000-0000-000005240000}"/>
    <cellStyle name="Percent 8 8" xfId="9184" xr:uid="{00000000-0005-0000-0000-000006240000}"/>
    <cellStyle name="Percent 80" xfId="9185" xr:uid="{00000000-0005-0000-0000-000007240000}"/>
    <cellStyle name="Percent 80 2" xfId="9481" xr:uid="{00000000-0005-0000-0000-000008240000}"/>
    <cellStyle name="Percent 80 2 3" xfId="34" xr:uid="{00000000-0005-0000-0000-000009240000}"/>
    <cellStyle name="Percent 81" xfId="9186" xr:uid="{00000000-0005-0000-0000-00000A240000}"/>
    <cellStyle name="Percent 82" xfId="9187" xr:uid="{00000000-0005-0000-0000-00000B240000}"/>
    <cellStyle name="Percent 83" xfId="9188" xr:uid="{00000000-0005-0000-0000-00000C240000}"/>
    <cellStyle name="Percent 84" xfId="9189" xr:uid="{00000000-0005-0000-0000-00000D240000}"/>
    <cellStyle name="Percent 85" xfId="9190" xr:uid="{00000000-0005-0000-0000-00000E240000}"/>
    <cellStyle name="Percent 86" xfId="9191" xr:uid="{00000000-0005-0000-0000-00000F240000}"/>
    <cellStyle name="Percent 87" xfId="9416" xr:uid="{00000000-0005-0000-0000-000010240000}"/>
    <cellStyle name="Percent 88" xfId="9418" xr:uid="{00000000-0005-0000-0000-000011240000}"/>
    <cellStyle name="Percent 88 2" xfId="9430" xr:uid="{00000000-0005-0000-0000-000012240000}"/>
    <cellStyle name="Percent 89" xfId="9419" xr:uid="{00000000-0005-0000-0000-000013240000}"/>
    <cellStyle name="Percent 9" xfId="9192" xr:uid="{00000000-0005-0000-0000-000014240000}"/>
    <cellStyle name="Percent 9 2" xfId="9193" xr:uid="{00000000-0005-0000-0000-000015240000}"/>
    <cellStyle name="Percent 9 3" xfId="9194" xr:uid="{00000000-0005-0000-0000-000016240000}"/>
    <cellStyle name="Percent 90" xfId="9422" xr:uid="{00000000-0005-0000-0000-000017240000}"/>
    <cellStyle name="Percent 90 2" xfId="9428" xr:uid="{00000000-0005-0000-0000-000018240000}"/>
    <cellStyle name="Percent 91" xfId="9423" xr:uid="{00000000-0005-0000-0000-000019240000}"/>
    <cellStyle name="Percent 92" xfId="9435" xr:uid="{00000000-0005-0000-0000-00001A240000}"/>
    <cellStyle name="Percent 93" xfId="9438" xr:uid="{00000000-0005-0000-0000-00001B240000}"/>
    <cellStyle name="Percent 94" xfId="9443" xr:uid="{00000000-0005-0000-0000-00001C240000}"/>
    <cellStyle name="Percent 94 2" xfId="9440" xr:uid="{00000000-0005-0000-0000-00001D240000}"/>
    <cellStyle name="Percent 94 2 2" xfId="9476" xr:uid="{00000000-0005-0000-0000-00001E240000}"/>
    <cellStyle name="Percent 94 2 2 2" xfId="23" xr:uid="{00000000-0005-0000-0000-00001F240000}"/>
    <cellStyle name="Percent 95" xfId="52" xr:uid="{00000000-0005-0000-0000-000020240000}"/>
    <cellStyle name="Percent 95 2" xfId="9468" xr:uid="{00000000-0005-0000-0000-000021240000}"/>
    <cellStyle name="Percent 95 2 2 2" xfId="9491" xr:uid="{26755A59-6063-40F8-99B7-2881A47302EF}"/>
    <cellStyle name="Percent 96" xfId="9479" xr:uid="{00000000-0005-0000-0000-000022240000}"/>
    <cellStyle name="PRINTFONT" xfId="9195" xr:uid="{00000000-0005-0000-0000-000023240000}"/>
    <cellStyle name="PSChar" xfId="9196" xr:uid="{00000000-0005-0000-0000-000024240000}"/>
    <cellStyle name="PSDate" xfId="9197" xr:uid="{00000000-0005-0000-0000-000025240000}"/>
    <cellStyle name="PSDec" xfId="9198" xr:uid="{00000000-0005-0000-0000-000026240000}"/>
    <cellStyle name="PSHeading" xfId="9199" xr:uid="{00000000-0005-0000-0000-000027240000}"/>
    <cellStyle name="PSHeading 2" xfId="9446" xr:uid="{00000000-0005-0000-0000-000028240000}"/>
    <cellStyle name="PSInt" xfId="9200" xr:uid="{00000000-0005-0000-0000-000029240000}"/>
    <cellStyle name="PSSpacer" xfId="9201" xr:uid="{00000000-0005-0000-0000-00002A240000}"/>
    <cellStyle name="RangeBelow" xfId="9202" xr:uid="{00000000-0005-0000-0000-00002B240000}"/>
    <cellStyle name="Reset  - Style4" xfId="9203" xr:uid="{00000000-0005-0000-0000-00002C240000}"/>
    <cellStyle name="Reset  - Style7" xfId="9204" xr:uid="{00000000-0005-0000-0000-00002D240000}"/>
    <cellStyle name="STD" xfId="9205" xr:uid="{00000000-0005-0000-0000-00002E240000}"/>
    <cellStyle name="Style 21" xfId="9206" xr:uid="{00000000-0005-0000-0000-00002F240000}"/>
    <cellStyle name="Style 21 2" xfId="9207" xr:uid="{00000000-0005-0000-0000-000030240000}"/>
    <cellStyle name="Style 21 3" xfId="9208" xr:uid="{00000000-0005-0000-0000-000031240000}"/>
    <cellStyle name="Style 21 4" xfId="9209" xr:uid="{00000000-0005-0000-0000-000032240000}"/>
    <cellStyle name="Style 21 5" xfId="9210" xr:uid="{00000000-0005-0000-0000-000033240000}"/>
    <cellStyle name="Style 22" xfId="58" xr:uid="{00000000-0005-0000-0000-000034240000}"/>
    <cellStyle name="Style 22 2" xfId="9211" xr:uid="{00000000-0005-0000-0000-000035240000}"/>
    <cellStyle name="Style 22 3" xfId="9212" xr:uid="{00000000-0005-0000-0000-000036240000}"/>
    <cellStyle name="Style 22 4" xfId="9213" xr:uid="{00000000-0005-0000-0000-000037240000}"/>
    <cellStyle name="Style 22 5" xfId="9214" xr:uid="{00000000-0005-0000-0000-000038240000}"/>
    <cellStyle name="Style 23" xfId="9215" xr:uid="{00000000-0005-0000-0000-000039240000}"/>
    <cellStyle name="Style 23 2" xfId="9216" xr:uid="{00000000-0005-0000-0000-00003A240000}"/>
    <cellStyle name="Style 23 3" xfId="9217" xr:uid="{00000000-0005-0000-0000-00003B240000}"/>
    <cellStyle name="Style 23 4" xfId="9218" xr:uid="{00000000-0005-0000-0000-00003C240000}"/>
    <cellStyle name="Style 23 5" xfId="9219" xr:uid="{00000000-0005-0000-0000-00003D240000}"/>
    <cellStyle name="Style 24" xfId="59" xr:uid="{00000000-0005-0000-0000-00003E240000}"/>
    <cellStyle name="Style 24 2" xfId="9220" xr:uid="{00000000-0005-0000-0000-00003F240000}"/>
    <cellStyle name="Style 24 3" xfId="9221" xr:uid="{00000000-0005-0000-0000-000040240000}"/>
    <cellStyle name="Style 24 4" xfId="9222" xr:uid="{00000000-0005-0000-0000-000041240000}"/>
    <cellStyle name="Style 24 5" xfId="9223" xr:uid="{00000000-0005-0000-0000-000042240000}"/>
    <cellStyle name="Style 25" xfId="9224" xr:uid="{00000000-0005-0000-0000-000043240000}"/>
    <cellStyle name="Style 25 10" xfId="9225" xr:uid="{00000000-0005-0000-0000-000044240000}"/>
    <cellStyle name="Style 25 2" xfId="9226" xr:uid="{00000000-0005-0000-0000-000045240000}"/>
    <cellStyle name="Style 25 3" xfId="9227" xr:uid="{00000000-0005-0000-0000-000046240000}"/>
    <cellStyle name="Style 25 4" xfId="9228" xr:uid="{00000000-0005-0000-0000-000047240000}"/>
    <cellStyle name="Style 25 5" xfId="9229" xr:uid="{00000000-0005-0000-0000-000048240000}"/>
    <cellStyle name="Style 25 6" xfId="9230" xr:uid="{00000000-0005-0000-0000-000049240000}"/>
    <cellStyle name="Style 25 7" xfId="9231" xr:uid="{00000000-0005-0000-0000-00004A240000}"/>
    <cellStyle name="Style 25 8" xfId="9232" xr:uid="{00000000-0005-0000-0000-00004B240000}"/>
    <cellStyle name="Style 25 9" xfId="9233" xr:uid="{00000000-0005-0000-0000-00004C240000}"/>
    <cellStyle name="Style 26" xfId="9234" xr:uid="{00000000-0005-0000-0000-00004D240000}"/>
    <cellStyle name="Style 26 2" xfId="9235" xr:uid="{00000000-0005-0000-0000-00004E240000}"/>
    <cellStyle name="Style 26 2 2" xfId="9236" xr:uid="{00000000-0005-0000-0000-00004F240000}"/>
    <cellStyle name="Style 26 3" xfId="9237" xr:uid="{00000000-0005-0000-0000-000050240000}"/>
    <cellStyle name="Style 26 3 2" xfId="9238" xr:uid="{00000000-0005-0000-0000-000051240000}"/>
    <cellStyle name="Style 26 4" xfId="9239" xr:uid="{00000000-0005-0000-0000-000052240000}"/>
    <cellStyle name="Style 26 5" xfId="9240" xr:uid="{00000000-0005-0000-0000-000053240000}"/>
    <cellStyle name="Style 26 6" xfId="9241" xr:uid="{00000000-0005-0000-0000-000054240000}"/>
    <cellStyle name="Style 26 7" xfId="9242" xr:uid="{00000000-0005-0000-0000-000055240000}"/>
    <cellStyle name="Style 27" xfId="9243" xr:uid="{00000000-0005-0000-0000-000056240000}"/>
    <cellStyle name="Style 27 2" xfId="9244" xr:uid="{00000000-0005-0000-0000-000057240000}"/>
    <cellStyle name="Style 27 3" xfId="9245" xr:uid="{00000000-0005-0000-0000-000058240000}"/>
    <cellStyle name="Style 27 4" xfId="9246" xr:uid="{00000000-0005-0000-0000-000059240000}"/>
    <cellStyle name="Style 27 5" xfId="9247" xr:uid="{00000000-0005-0000-0000-00005A240000}"/>
    <cellStyle name="Style 28" xfId="9248" xr:uid="{00000000-0005-0000-0000-00005B240000}"/>
    <cellStyle name="Style 28 2" xfId="9249" xr:uid="{00000000-0005-0000-0000-00005C240000}"/>
    <cellStyle name="Style 28 3" xfId="9250" xr:uid="{00000000-0005-0000-0000-00005D240000}"/>
    <cellStyle name="Style 28 4" xfId="9251" xr:uid="{00000000-0005-0000-0000-00005E240000}"/>
    <cellStyle name="Style 28 5" xfId="9252" xr:uid="{00000000-0005-0000-0000-00005F240000}"/>
    <cellStyle name="Style 29" xfId="9253" xr:uid="{00000000-0005-0000-0000-000060240000}"/>
    <cellStyle name="Style 29 10" xfId="9254" xr:uid="{00000000-0005-0000-0000-000061240000}"/>
    <cellStyle name="Style 29 11" xfId="9255" xr:uid="{00000000-0005-0000-0000-000062240000}"/>
    <cellStyle name="Style 29 12" xfId="9256" xr:uid="{00000000-0005-0000-0000-000063240000}"/>
    <cellStyle name="Style 29 13" xfId="9257" xr:uid="{00000000-0005-0000-0000-000064240000}"/>
    <cellStyle name="Style 29 14" xfId="9258" xr:uid="{00000000-0005-0000-0000-000065240000}"/>
    <cellStyle name="Style 29 15" xfId="9259" xr:uid="{00000000-0005-0000-0000-000066240000}"/>
    <cellStyle name="Style 29 16" xfId="9260" xr:uid="{00000000-0005-0000-0000-000067240000}"/>
    <cellStyle name="Style 29 2" xfId="9261" xr:uid="{00000000-0005-0000-0000-000068240000}"/>
    <cellStyle name="Style 29 3" xfId="9262" xr:uid="{00000000-0005-0000-0000-000069240000}"/>
    <cellStyle name="Style 29 4" xfId="9263" xr:uid="{00000000-0005-0000-0000-00006A240000}"/>
    <cellStyle name="Style 29 5" xfId="9264" xr:uid="{00000000-0005-0000-0000-00006B240000}"/>
    <cellStyle name="Style 29 6" xfId="9265" xr:uid="{00000000-0005-0000-0000-00006C240000}"/>
    <cellStyle name="Style 29 7" xfId="9266" xr:uid="{00000000-0005-0000-0000-00006D240000}"/>
    <cellStyle name="Style 29 8" xfId="9267" xr:uid="{00000000-0005-0000-0000-00006E240000}"/>
    <cellStyle name="Style 29 9" xfId="9268" xr:uid="{00000000-0005-0000-0000-00006F240000}"/>
    <cellStyle name="Style 30" xfId="9269" xr:uid="{00000000-0005-0000-0000-000070240000}"/>
    <cellStyle name="Style 30 10" xfId="9270" xr:uid="{00000000-0005-0000-0000-000071240000}"/>
    <cellStyle name="Style 30 11" xfId="9271" xr:uid="{00000000-0005-0000-0000-000072240000}"/>
    <cellStyle name="Style 30 12" xfId="9272" xr:uid="{00000000-0005-0000-0000-000073240000}"/>
    <cellStyle name="Style 30 13" xfId="9273" xr:uid="{00000000-0005-0000-0000-000074240000}"/>
    <cellStyle name="Style 30 14" xfId="9274" xr:uid="{00000000-0005-0000-0000-000075240000}"/>
    <cellStyle name="Style 30 15" xfId="9275" xr:uid="{00000000-0005-0000-0000-000076240000}"/>
    <cellStyle name="Style 30 16" xfId="9276" xr:uid="{00000000-0005-0000-0000-000077240000}"/>
    <cellStyle name="Style 30 2" xfId="9277" xr:uid="{00000000-0005-0000-0000-000078240000}"/>
    <cellStyle name="Style 30 3" xfId="9278" xr:uid="{00000000-0005-0000-0000-000079240000}"/>
    <cellStyle name="Style 30 4" xfId="9279" xr:uid="{00000000-0005-0000-0000-00007A240000}"/>
    <cellStyle name="Style 30 5" xfId="9280" xr:uid="{00000000-0005-0000-0000-00007B240000}"/>
    <cellStyle name="Style 30 6" xfId="9281" xr:uid="{00000000-0005-0000-0000-00007C240000}"/>
    <cellStyle name="Style 30 7" xfId="9282" xr:uid="{00000000-0005-0000-0000-00007D240000}"/>
    <cellStyle name="Style 30 8" xfId="9283" xr:uid="{00000000-0005-0000-0000-00007E240000}"/>
    <cellStyle name="Style 30 9" xfId="9284" xr:uid="{00000000-0005-0000-0000-00007F240000}"/>
    <cellStyle name="Style 31" xfId="9285" xr:uid="{00000000-0005-0000-0000-000080240000}"/>
    <cellStyle name="Style 31 2" xfId="9286" xr:uid="{00000000-0005-0000-0000-000081240000}"/>
    <cellStyle name="Style 31 3" xfId="9287" xr:uid="{00000000-0005-0000-0000-000082240000}"/>
    <cellStyle name="Style 31 4" xfId="9288" xr:uid="{00000000-0005-0000-0000-000083240000}"/>
    <cellStyle name="Style 31 5" xfId="9289" xr:uid="{00000000-0005-0000-0000-000084240000}"/>
    <cellStyle name="Style 32" xfId="9290" xr:uid="{00000000-0005-0000-0000-000085240000}"/>
    <cellStyle name="Style 32 2" xfId="9291" xr:uid="{00000000-0005-0000-0000-000086240000}"/>
    <cellStyle name="Style 32 3" xfId="9292" xr:uid="{00000000-0005-0000-0000-000087240000}"/>
    <cellStyle name="Style 32 4" xfId="9293" xr:uid="{00000000-0005-0000-0000-000088240000}"/>
    <cellStyle name="Style 32 5" xfId="9294" xr:uid="{00000000-0005-0000-0000-000089240000}"/>
    <cellStyle name="Style 32 6" xfId="9295" xr:uid="{00000000-0005-0000-0000-00008A240000}"/>
    <cellStyle name="Style 32 7" xfId="9296" xr:uid="{00000000-0005-0000-0000-00008B240000}"/>
    <cellStyle name="Style 32 8" xfId="9297" xr:uid="{00000000-0005-0000-0000-00008C240000}"/>
    <cellStyle name="Style 33" xfId="9298" xr:uid="{00000000-0005-0000-0000-00008D240000}"/>
    <cellStyle name="Style 33 10" xfId="9299" xr:uid="{00000000-0005-0000-0000-00008E240000}"/>
    <cellStyle name="Style 33 11" xfId="9300" xr:uid="{00000000-0005-0000-0000-00008F240000}"/>
    <cellStyle name="Style 33 12" xfId="9301" xr:uid="{00000000-0005-0000-0000-000090240000}"/>
    <cellStyle name="Style 33 13" xfId="9302" xr:uid="{00000000-0005-0000-0000-000091240000}"/>
    <cellStyle name="Style 33 14" xfId="9303" xr:uid="{00000000-0005-0000-0000-000092240000}"/>
    <cellStyle name="Style 33 15" xfId="9304" xr:uid="{00000000-0005-0000-0000-000093240000}"/>
    <cellStyle name="Style 33 16" xfId="9305" xr:uid="{00000000-0005-0000-0000-000094240000}"/>
    <cellStyle name="Style 33 2" xfId="9306" xr:uid="{00000000-0005-0000-0000-000095240000}"/>
    <cellStyle name="Style 33 3" xfId="9307" xr:uid="{00000000-0005-0000-0000-000096240000}"/>
    <cellStyle name="Style 33 4" xfId="9308" xr:uid="{00000000-0005-0000-0000-000097240000}"/>
    <cellStyle name="Style 33 5" xfId="9309" xr:uid="{00000000-0005-0000-0000-000098240000}"/>
    <cellStyle name="Style 33 6" xfId="9310" xr:uid="{00000000-0005-0000-0000-000099240000}"/>
    <cellStyle name="Style 33 7" xfId="9311" xr:uid="{00000000-0005-0000-0000-00009A240000}"/>
    <cellStyle name="Style 33 8" xfId="9312" xr:uid="{00000000-0005-0000-0000-00009B240000}"/>
    <cellStyle name="Style 33 9" xfId="9313" xr:uid="{00000000-0005-0000-0000-00009C240000}"/>
    <cellStyle name="Style 34" xfId="9314" xr:uid="{00000000-0005-0000-0000-00009D240000}"/>
    <cellStyle name="Style 34 10" xfId="9315" xr:uid="{00000000-0005-0000-0000-00009E240000}"/>
    <cellStyle name="Style 34 11" xfId="9316" xr:uid="{00000000-0005-0000-0000-00009F240000}"/>
    <cellStyle name="Style 34 12" xfId="9317" xr:uid="{00000000-0005-0000-0000-0000A0240000}"/>
    <cellStyle name="Style 34 13" xfId="9318" xr:uid="{00000000-0005-0000-0000-0000A1240000}"/>
    <cellStyle name="Style 34 14" xfId="9319" xr:uid="{00000000-0005-0000-0000-0000A2240000}"/>
    <cellStyle name="Style 34 15" xfId="9320" xr:uid="{00000000-0005-0000-0000-0000A3240000}"/>
    <cellStyle name="Style 34 16" xfId="9321" xr:uid="{00000000-0005-0000-0000-0000A4240000}"/>
    <cellStyle name="Style 34 2" xfId="9322" xr:uid="{00000000-0005-0000-0000-0000A5240000}"/>
    <cellStyle name="Style 34 3" xfId="9323" xr:uid="{00000000-0005-0000-0000-0000A6240000}"/>
    <cellStyle name="Style 34 4" xfId="9324" xr:uid="{00000000-0005-0000-0000-0000A7240000}"/>
    <cellStyle name="Style 34 5" xfId="9325" xr:uid="{00000000-0005-0000-0000-0000A8240000}"/>
    <cellStyle name="Style 34 6" xfId="9326" xr:uid="{00000000-0005-0000-0000-0000A9240000}"/>
    <cellStyle name="Style 34 7" xfId="9327" xr:uid="{00000000-0005-0000-0000-0000AA240000}"/>
    <cellStyle name="Style 34 8" xfId="9328" xr:uid="{00000000-0005-0000-0000-0000AB240000}"/>
    <cellStyle name="Style 34 9" xfId="9329" xr:uid="{00000000-0005-0000-0000-0000AC240000}"/>
    <cellStyle name="Style 35" xfId="9330" xr:uid="{00000000-0005-0000-0000-0000AD240000}"/>
    <cellStyle name="Style 35 10" xfId="9331" xr:uid="{00000000-0005-0000-0000-0000AE240000}"/>
    <cellStyle name="Style 35 11" xfId="9332" xr:uid="{00000000-0005-0000-0000-0000AF240000}"/>
    <cellStyle name="Style 35 12" xfId="9333" xr:uid="{00000000-0005-0000-0000-0000B0240000}"/>
    <cellStyle name="Style 35 13" xfId="9334" xr:uid="{00000000-0005-0000-0000-0000B1240000}"/>
    <cellStyle name="Style 35 14" xfId="9335" xr:uid="{00000000-0005-0000-0000-0000B2240000}"/>
    <cellStyle name="Style 35 15" xfId="9336" xr:uid="{00000000-0005-0000-0000-0000B3240000}"/>
    <cellStyle name="Style 35 16" xfId="9337" xr:uid="{00000000-0005-0000-0000-0000B4240000}"/>
    <cellStyle name="Style 35 2" xfId="9338" xr:uid="{00000000-0005-0000-0000-0000B5240000}"/>
    <cellStyle name="Style 35 3" xfId="9339" xr:uid="{00000000-0005-0000-0000-0000B6240000}"/>
    <cellStyle name="Style 35 4" xfId="9340" xr:uid="{00000000-0005-0000-0000-0000B7240000}"/>
    <cellStyle name="Style 35 5" xfId="9341" xr:uid="{00000000-0005-0000-0000-0000B8240000}"/>
    <cellStyle name="Style 35 6" xfId="9342" xr:uid="{00000000-0005-0000-0000-0000B9240000}"/>
    <cellStyle name="Style 35 7" xfId="9343" xr:uid="{00000000-0005-0000-0000-0000BA240000}"/>
    <cellStyle name="Style 35 8" xfId="9344" xr:uid="{00000000-0005-0000-0000-0000BB240000}"/>
    <cellStyle name="Style 35 9" xfId="9345" xr:uid="{00000000-0005-0000-0000-0000BC240000}"/>
    <cellStyle name="Style 36" xfId="9346" xr:uid="{00000000-0005-0000-0000-0000BD240000}"/>
    <cellStyle name="Style 36 10" xfId="9347" xr:uid="{00000000-0005-0000-0000-0000BE240000}"/>
    <cellStyle name="Style 36 11" xfId="9348" xr:uid="{00000000-0005-0000-0000-0000BF240000}"/>
    <cellStyle name="Style 36 12" xfId="9349" xr:uid="{00000000-0005-0000-0000-0000C0240000}"/>
    <cellStyle name="Style 36 13" xfId="9350" xr:uid="{00000000-0005-0000-0000-0000C1240000}"/>
    <cellStyle name="Style 36 14" xfId="9351" xr:uid="{00000000-0005-0000-0000-0000C2240000}"/>
    <cellStyle name="Style 36 15" xfId="9352" xr:uid="{00000000-0005-0000-0000-0000C3240000}"/>
    <cellStyle name="Style 36 16" xfId="9353" xr:uid="{00000000-0005-0000-0000-0000C4240000}"/>
    <cellStyle name="Style 36 2" xfId="9354" xr:uid="{00000000-0005-0000-0000-0000C5240000}"/>
    <cellStyle name="Style 36 3" xfId="9355" xr:uid="{00000000-0005-0000-0000-0000C6240000}"/>
    <cellStyle name="Style 36 4" xfId="9356" xr:uid="{00000000-0005-0000-0000-0000C7240000}"/>
    <cellStyle name="Style 36 5" xfId="9357" xr:uid="{00000000-0005-0000-0000-0000C8240000}"/>
    <cellStyle name="Style 36 6" xfId="9358" xr:uid="{00000000-0005-0000-0000-0000C9240000}"/>
    <cellStyle name="Style 36 7" xfId="9359" xr:uid="{00000000-0005-0000-0000-0000CA240000}"/>
    <cellStyle name="Style 36 8" xfId="9360" xr:uid="{00000000-0005-0000-0000-0000CB240000}"/>
    <cellStyle name="Style 36 9" xfId="9361" xr:uid="{00000000-0005-0000-0000-0000CC240000}"/>
    <cellStyle name="Style 39" xfId="9362" xr:uid="{00000000-0005-0000-0000-0000CD240000}"/>
    <cellStyle name="Style 39 10" xfId="9363" xr:uid="{00000000-0005-0000-0000-0000CE240000}"/>
    <cellStyle name="Style 39 10 2" xfId="9451" xr:uid="{00000000-0005-0000-0000-0000CF240000}"/>
    <cellStyle name="Style 39 11" xfId="9364" xr:uid="{00000000-0005-0000-0000-0000D0240000}"/>
    <cellStyle name="Style 39 11 2" xfId="9452" xr:uid="{00000000-0005-0000-0000-0000D1240000}"/>
    <cellStyle name="Style 39 12" xfId="9365" xr:uid="{00000000-0005-0000-0000-0000D2240000}"/>
    <cellStyle name="Style 39 12 2" xfId="9453" xr:uid="{00000000-0005-0000-0000-0000D3240000}"/>
    <cellStyle name="Style 39 13" xfId="9366" xr:uid="{00000000-0005-0000-0000-0000D4240000}"/>
    <cellStyle name="Style 39 13 2" xfId="9454" xr:uid="{00000000-0005-0000-0000-0000D5240000}"/>
    <cellStyle name="Style 39 14" xfId="9367" xr:uid="{00000000-0005-0000-0000-0000D6240000}"/>
    <cellStyle name="Style 39 14 2" xfId="9455" xr:uid="{00000000-0005-0000-0000-0000D7240000}"/>
    <cellStyle name="Style 39 15" xfId="9368" xr:uid="{00000000-0005-0000-0000-0000D8240000}"/>
    <cellStyle name="Style 39 15 2" xfId="9456" xr:uid="{00000000-0005-0000-0000-0000D9240000}"/>
    <cellStyle name="Style 39 16" xfId="9369" xr:uid="{00000000-0005-0000-0000-0000DA240000}"/>
    <cellStyle name="Style 39 16 2" xfId="9457" xr:uid="{00000000-0005-0000-0000-0000DB240000}"/>
    <cellStyle name="Style 39 17" xfId="9370" xr:uid="{00000000-0005-0000-0000-0000DC240000}"/>
    <cellStyle name="Style 39 17 2" xfId="9458" xr:uid="{00000000-0005-0000-0000-0000DD240000}"/>
    <cellStyle name="Style 39 18" xfId="9450" xr:uid="{00000000-0005-0000-0000-0000DE240000}"/>
    <cellStyle name="Style 39 2" xfId="9371" xr:uid="{00000000-0005-0000-0000-0000DF240000}"/>
    <cellStyle name="Style 39 2 2" xfId="9459" xr:uid="{00000000-0005-0000-0000-0000E0240000}"/>
    <cellStyle name="Style 39 3" xfId="9372" xr:uid="{00000000-0005-0000-0000-0000E1240000}"/>
    <cellStyle name="Style 39 3 2" xfId="9460" xr:uid="{00000000-0005-0000-0000-0000E2240000}"/>
    <cellStyle name="Style 39 4" xfId="9373" xr:uid="{00000000-0005-0000-0000-0000E3240000}"/>
    <cellStyle name="Style 39 4 2" xfId="9461" xr:uid="{00000000-0005-0000-0000-0000E4240000}"/>
    <cellStyle name="Style 39 5" xfId="9374" xr:uid="{00000000-0005-0000-0000-0000E5240000}"/>
    <cellStyle name="Style 39 5 2" xfId="9462" xr:uid="{00000000-0005-0000-0000-0000E6240000}"/>
    <cellStyle name="Style 39 6" xfId="9375" xr:uid="{00000000-0005-0000-0000-0000E7240000}"/>
    <cellStyle name="Style 39 6 2" xfId="9463" xr:uid="{00000000-0005-0000-0000-0000E8240000}"/>
    <cellStyle name="Style 39 7" xfId="9376" xr:uid="{00000000-0005-0000-0000-0000E9240000}"/>
    <cellStyle name="Style 39 7 2" xfId="9464" xr:uid="{00000000-0005-0000-0000-0000EA240000}"/>
    <cellStyle name="Style 39 8" xfId="9377" xr:uid="{00000000-0005-0000-0000-0000EB240000}"/>
    <cellStyle name="Style 39 8 2" xfId="9465" xr:uid="{00000000-0005-0000-0000-0000EC240000}"/>
    <cellStyle name="Style 39 9" xfId="9378" xr:uid="{00000000-0005-0000-0000-0000ED240000}"/>
    <cellStyle name="Style 39 9 2" xfId="9466" xr:uid="{00000000-0005-0000-0000-0000EE240000}"/>
    <cellStyle name="SubRoutine" xfId="9379" xr:uid="{00000000-0005-0000-0000-0000EF240000}"/>
    <cellStyle name="Table  - Style5" xfId="9380" xr:uid="{00000000-0005-0000-0000-0000F0240000}"/>
    <cellStyle name="Table  - Style6" xfId="9381" xr:uid="{00000000-0005-0000-0000-0000F1240000}"/>
    <cellStyle name="Text B &amp; U" xfId="9382" xr:uid="{00000000-0005-0000-0000-0000F2240000}"/>
    <cellStyle name="Text STD 1" xfId="9383" xr:uid="{00000000-0005-0000-0000-0000F3240000}"/>
    <cellStyle name="Text STD 2" xfId="9384" xr:uid="{00000000-0005-0000-0000-0000F4240000}"/>
    <cellStyle name="Text STD 3" xfId="9385" xr:uid="{00000000-0005-0000-0000-0000F5240000}"/>
    <cellStyle name="Text Under 0" xfId="9386" xr:uid="{00000000-0005-0000-0000-0000F6240000}"/>
    <cellStyle name="Text Under 1" xfId="9387" xr:uid="{00000000-0005-0000-0000-0000F7240000}"/>
    <cellStyle name="Text Wrap" xfId="9388" xr:uid="{00000000-0005-0000-0000-0000F8240000}"/>
    <cellStyle name="TextNormal" xfId="9389" xr:uid="{00000000-0005-0000-0000-0000F9240000}"/>
    <cellStyle name="þ(Î'_x000c_ïþ÷_x000c_âþÖ_x0006__x0002_Þ”_x0013__x0007__x0001__x0001_" xfId="9390" xr:uid="{00000000-0005-0000-0000-0000FA240000}"/>
    <cellStyle name="Title  - Style1" xfId="9391" xr:uid="{00000000-0005-0000-0000-0000FB240000}"/>
    <cellStyle name="Title  - Style6" xfId="9392" xr:uid="{00000000-0005-0000-0000-0000FC240000}"/>
    <cellStyle name="Title 2" xfId="9393" xr:uid="{00000000-0005-0000-0000-0000FD240000}"/>
    <cellStyle name="Title 3" xfId="9394" xr:uid="{00000000-0005-0000-0000-0000FE240000}"/>
    <cellStyle name="Title 4" xfId="9395" xr:uid="{00000000-0005-0000-0000-0000FF240000}"/>
    <cellStyle name="Title 5" xfId="9396" xr:uid="{00000000-0005-0000-0000-000000250000}"/>
    <cellStyle name="Title: Worksheet" xfId="9397" xr:uid="{00000000-0005-0000-0000-000001250000}"/>
    <cellStyle name="Total 2" xfId="9398" xr:uid="{00000000-0005-0000-0000-000002250000}"/>
    <cellStyle name="Total 3" xfId="9399" xr:uid="{00000000-0005-0000-0000-000003250000}"/>
    <cellStyle name="Total 4" xfId="9400" xr:uid="{00000000-0005-0000-0000-000004250000}"/>
    <cellStyle name="Total 5" xfId="9401" xr:uid="{00000000-0005-0000-0000-000005250000}"/>
    <cellStyle name="Total 6" xfId="9402" xr:uid="{00000000-0005-0000-0000-000006250000}"/>
    <cellStyle name="Total 7" xfId="9403" xr:uid="{00000000-0005-0000-0000-000007250000}"/>
    <cellStyle name="TotCol - Style5" xfId="9404" xr:uid="{00000000-0005-0000-0000-000008250000}"/>
    <cellStyle name="TotCol - Style7" xfId="9405" xr:uid="{00000000-0005-0000-0000-000009250000}"/>
    <cellStyle name="TotRow - Style4" xfId="9406" xr:uid="{00000000-0005-0000-0000-00000A250000}"/>
    <cellStyle name="TotRow - Style8" xfId="9407" xr:uid="{00000000-0005-0000-0000-00000B250000}"/>
    <cellStyle name="Undefined" xfId="9408" xr:uid="{00000000-0005-0000-0000-00000C250000}"/>
    <cellStyle name="UnDERLINED" xfId="9409" xr:uid="{00000000-0005-0000-0000-00000D250000}"/>
    <cellStyle name="Warning Text 2" xfId="9410" xr:uid="{00000000-0005-0000-0000-00000E250000}"/>
    <cellStyle name="Warning Text 3" xfId="9411" xr:uid="{00000000-0005-0000-0000-00000F250000}"/>
    <cellStyle name="Warning Text 4" xfId="9412" xr:uid="{00000000-0005-0000-0000-000010250000}"/>
    <cellStyle name="Warning Text 5" xfId="9413" xr:uid="{00000000-0005-0000-0000-000011250000}"/>
    <cellStyle name="Warning Text 6" xfId="9414" xr:uid="{00000000-0005-0000-0000-000012250000}"/>
  </cellStyles>
  <dxfs count="16">
    <dxf>
      <fill>
        <patternFill>
          <bgColor theme="5" tint="0.39994506668294322"/>
        </patternFill>
      </fill>
    </dxf>
    <dxf>
      <fill>
        <patternFill>
          <bgColor theme="5" tint="0.59996337778862885"/>
        </patternFill>
      </fill>
    </dxf>
    <dxf>
      <fill>
        <patternFill>
          <bgColor theme="5" tint="0.39994506668294322"/>
        </patternFill>
      </fill>
    </dxf>
    <dxf>
      <fill>
        <patternFill>
          <bgColor theme="5" tint="0.59996337778862885"/>
        </patternFill>
      </fill>
    </dxf>
    <dxf>
      <fill>
        <patternFill>
          <bgColor theme="5" tint="0.39994506668294322"/>
        </patternFill>
      </fill>
    </dxf>
    <dxf>
      <fill>
        <patternFill>
          <bgColor theme="5" tint="0.59996337778862885"/>
        </patternFill>
      </fill>
    </dxf>
    <dxf>
      <fill>
        <patternFill>
          <bgColor rgb="FFFFC000"/>
        </patternFill>
      </fill>
    </dxf>
    <dxf>
      <font>
        <b/>
        <i val="0"/>
      </font>
    </dxf>
    <dxf>
      <font>
        <b/>
        <i val="0"/>
      </font>
    </dxf>
    <dxf>
      <font>
        <b/>
        <i val="0"/>
      </font>
    </dxf>
    <dxf>
      <font>
        <b/>
        <i val="0"/>
      </font>
    </dxf>
    <dxf>
      <font>
        <b/>
        <i val="0"/>
      </font>
    </dxf>
    <dxf>
      <font>
        <b/>
        <i val="0"/>
      </font>
    </dxf>
    <dxf>
      <font>
        <b/>
        <i val="0"/>
      </font>
    </dxf>
    <dxf>
      <fill>
        <patternFill>
          <bgColor theme="5" tint="0.39994506668294322"/>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145654938439875E-2"/>
          <c:y val="5.3153263606613037E-2"/>
          <c:w val="0.90801958413493755"/>
          <c:h val="0.89534282300833379"/>
        </c:manualLayout>
      </c:layout>
      <c:scatterChart>
        <c:scatterStyle val="lineMarker"/>
        <c:varyColors val="0"/>
        <c:ser>
          <c:idx val="1"/>
          <c:order val="0"/>
          <c:tx>
            <c:strRef>
              <c:f>'AEB-2 Summ'!#REF!</c:f>
              <c:strCache>
                <c:ptCount val="1"/>
                <c:pt idx="0">
                  <c:v>#REF!</c:v>
                </c:pt>
              </c:strCache>
            </c:strRef>
          </c:tx>
          <c:spPr>
            <a:ln w="19050" cap="rnd">
              <a:solidFill>
                <a:schemeClr val="accent2"/>
              </a:solidFill>
              <a:round/>
            </a:ln>
            <a:effectLst/>
          </c:spPr>
          <c:marker>
            <c:symbol val="none"/>
          </c:marker>
          <c:xVal>
            <c:numRef>
              <c:f>'AEB-2 Summ'!#REF!</c:f>
            </c:numRef>
          </c:xVal>
          <c:yVal>
            <c:numRef>
              <c:f>'AEB-2 Summ'!#REF!</c:f>
              <c:numCache>
                <c:formatCode>General</c:formatCode>
                <c:ptCount val="1"/>
                <c:pt idx="0">
                  <c:v>1</c:v>
                </c:pt>
              </c:numCache>
            </c:numRef>
          </c:yVal>
          <c:smooth val="0"/>
          <c:extLst>
            <c:ext xmlns:c16="http://schemas.microsoft.com/office/drawing/2014/chart" uri="{C3380CC4-5D6E-409C-BE32-E72D297353CC}">
              <c16:uniqueId val="{00000000-9E7D-427C-B1EB-6510C57E2588}"/>
            </c:ext>
          </c:extLst>
        </c:ser>
        <c:ser>
          <c:idx val="7"/>
          <c:order val="1"/>
          <c:tx>
            <c:strRef>
              <c:f>'AEB-2 Summary'!$K$5</c:f>
              <c:strCache>
                <c:ptCount val="1"/>
                <c:pt idx="0">
                  <c:v>Constant Growth Median DCF</c:v>
                </c:pt>
              </c:strCache>
            </c:strRef>
          </c:tx>
          <c:spPr>
            <a:ln w="19050" cap="rnd">
              <a:solidFill>
                <a:schemeClr val="tx1"/>
              </a:solidFill>
              <a:round/>
            </a:ln>
            <a:effectLst/>
          </c:spPr>
          <c:marker>
            <c:symbol val="none"/>
          </c:marker>
          <c:xVal>
            <c:numRef>
              <c:f>'AEB-2 Summary'!$L$5:$L$7</c:f>
              <c:numCache>
                <c:formatCode>0.00%</c:formatCode>
                <c:ptCount val="3"/>
                <c:pt idx="0">
                  <c:v>9.6680722436573829E-2</c:v>
                </c:pt>
                <c:pt idx="1">
                  <c:v>0.10623686617187585</c:v>
                </c:pt>
                <c:pt idx="2">
                  <c:v>0.11648152992630822</c:v>
                </c:pt>
              </c:numCache>
            </c:numRef>
          </c:xVal>
          <c:yVal>
            <c:numRef>
              <c:f>'AEB-2 Summary'!$M$5:$M$7</c:f>
              <c:numCache>
                <c:formatCode>0.0</c:formatCode>
                <c:ptCount val="3"/>
                <c:pt idx="0">
                  <c:v>7</c:v>
                </c:pt>
                <c:pt idx="1">
                  <c:v>7</c:v>
                </c:pt>
                <c:pt idx="2">
                  <c:v>7</c:v>
                </c:pt>
              </c:numCache>
            </c:numRef>
          </c:yVal>
          <c:smooth val="0"/>
          <c:extLst>
            <c:ext xmlns:c16="http://schemas.microsoft.com/office/drawing/2014/chart" uri="{C3380CC4-5D6E-409C-BE32-E72D297353CC}">
              <c16:uniqueId val="{00000001-9E7D-427C-B1EB-6510C57E2588}"/>
            </c:ext>
          </c:extLst>
        </c:ser>
        <c:ser>
          <c:idx val="4"/>
          <c:order val="2"/>
          <c:tx>
            <c:strRef>
              <c:f>'AEB-2 Summary'!$K$8</c:f>
              <c:strCache>
                <c:ptCount val="1"/>
                <c:pt idx="0">
                  <c:v>CAPM </c:v>
                </c:pt>
              </c:strCache>
            </c:strRef>
          </c:tx>
          <c:spPr>
            <a:ln w="19050" cap="rnd">
              <a:solidFill>
                <a:schemeClr val="tx1"/>
              </a:solidFill>
              <a:round/>
            </a:ln>
            <a:effectLst/>
          </c:spPr>
          <c:marker>
            <c:symbol val="none"/>
          </c:marker>
          <c:xVal>
            <c:numRef>
              <c:f>'AEB-2 Summary'!$L$8:$L$9</c:f>
              <c:numCache>
                <c:formatCode>0.00%</c:formatCode>
                <c:ptCount val="2"/>
                <c:pt idx="0">
                  <c:v>0.11194128828474972</c:v>
                </c:pt>
                <c:pt idx="1">
                  <c:v>0.11313363793822215</c:v>
                </c:pt>
              </c:numCache>
            </c:numRef>
          </c:xVal>
          <c:yVal>
            <c:numRef>
              <c:f>'AEB-2 Summary'!$M$8:$M$9</c:f>
              <c:numCache>
                <c:formatCode>0.0</c:formatCode>
                <c:ptCount val="2"/>
                <c:pt idx="0">
                  <c:v>5</c:v>
                </c:pt>
                <c:pt idx="1">
                  <c:v>5</c:v>
                </c:pt>
              </c:numCache>
            </c:numRef>
          </c:yVal>
          <c:smooth val="0"/>
          <c:extLst>
            <c:ext xmlns:c16="http://schemas.microsoft.com/office/drawing/2014/chart" uri="{C3380CC4-5D6E-409C-BE32-E72D297353CC}">
              <c16:uniqueId val="{00000002-9E7D-427C-B1EB-6510C57E2588}"/>
            </c:ext>
          </c:extLst>
        </c:ser>
        <c:ser>
          <c:idx val="0"/>
          <c:order val="3"/>
          <c:tx>
            <c:v>ECAPM</c:v>
          </c:tx>
          <c:spPr>
            <a:ln w="19050" cap="rnd">
              <a:solidFill>
                <a:schemeClr val="tx1"/>
              </a:solidFill>
              <a:round/>
            </a:ln>
            <a:effectLst/>
          </c:spPr>
          <c:marker>
            <c:symbol val="none"/>
          </c:marker>
          <c:xVal>
            <c:numRef>
              <c:f>'AEB-2 Summary'!$L$10:$L$11</c:f>
              <c:numCache>
                <c:formatCode>0.00%</c:formatCode>
                <c:ptCount val="2"/>
                <c:pt idx="0">
                  <c:v>0.11735306230847888</c:v>
                </c:pt>
                <c:pt idx="1">
                  <c:v>0.11824732454858319</c:v>
                </c:pt>
              </c:numCache>
            </c:numRef>
          </c:xVal>
          <c:yVal>
            <c:numRef>
              <c:f>'AEB-2 Summary'!$M$10:$M$11</c:f>
              <c:numCache>
                <c:formatCode>0.0</c:formatCode>
                <c:ptCount val="2"/>
                <c:pt idx="0">
                  <c:v>2</c:v>
                </c:pt>
                <c:pt idx="1">
                  <c:v>2</c:v>
                </c:pt>
              </c:numCache>
            </c:numRef>
          </c:yVal>
          <c:smooth val="0"/>
          <c:extLst>
            <c:ext xmlns:c16="http://schemas.microsoft.com/office/drawing/2014/chart" uri="{C3380CC4-5D6E-409C-BE32-E72D297353CC}">
              <c16:uniqueId val="{00000000-595E-4E72-A585-CE40A146ACA3}"/>
            </c:ext>
          </c:extLst>
        </c:ser>
        <c:ser>
          <c:idx val="2"/>
          <c:order val="4"/>
          <c:tx>
            <c:strRef>
              <c:f>'AEB-2 Summary'!$K$12</c:f>
              <c:strCache>
                <c:ptCount val="1"/>
                <c:pt idx="0">
                  <c:v>Risk Premium</c:v>
                </c:pt>
              </c:strCache>
            </c:strRef>
          </c:tx>
          <c:spPr>
            <a:ln w="19050" cap="rnd">
              <a:solidFill>
                <a:schemeClr val="tx1"/>
              </a:solidFill>
              <a:round/>
            </a:ln>
            <a:effectLst/>
          </c:spPr>
          <c:marker>
            <c:symbol val="none"/>
          </c:marker>
          <c:xVal>
            <c:numRef>
              <c:f>'AEB-2 Summary'!$L$12:$L$13</c:f>
              <c:numCache>
                <c:formatCode>0.00%</c:formatCode>
                <c:ptCount val="2"/>
                <c:pt idx="0">
                  <c:v>0.10535151679851418</c:v>
                </c:pt>
                <c:pt idx="1">
                  <c:v>0.10698095778353162</c:v>
                </c:pt>
              </c:numCache>
            </c:numRef>
          </c:xVal>
          <c:yVal>
            <c:numRef>
              <c:f>'AEB-2 Summary'!$M$12:$M$13</c:f>
              <c:numCache>
                <c:formatCode>0.0</c:formatCode>
                <c:ptCount val="2"/>
                <c:pt idx="0">
                  <c:v>1</c:v>
                </c:pt>
                <c:pt idx="1">
                  <c:v>1</c:v>
                </c:pt>
              </c:numCache>
            </c:numRef>
          </c:yVal>
          <c:smooth val="0"/>
          <c:extLst>
            <c:ext xmlns:c16="http://schemas.microsoft.com/office/drawing/2014/chart" uri="{C3380CC4-5D6E-409C-BE32-E72D297353CC}">
              <c16:uniqueId val="{00000000-5E18-40B7-8878-2A473E67B04B}"/>
            </c:ext>
          </c:extLst>
        </c:ser>
        <c:ser>
          <c:idx val="3"/>
          <c:order val="5"/>
          <c:tx>
            <c:strRef>
              <c:f>'AEB-2 Summary'!$K$14</c:f>
              <c:strCache>
                <c:ptCount val="1"/>
                <c:pt idx="0">
                  <c:v>Low End ROE Range</c:v>
                </c:pt>
              </c:strCache>
            </c:strRef>
          </c:tx>
          <c:spPr>
            <a:ln w="19050" cap="rnd">
              <a:solidFill>
                <a:schemeClr val="tx1"/>
              </a:solidFill>
              <a:prstDash val="dashDot"/>
              <a:round/>
            </a:ln>
            <a:effectLst/>
          </c:spPr>
          <c:marker>
            <c:symbol val="none"/>
          </c:marker>
          <c:xVal>
            <c:numRef>
              <c:f>'AEB-2 Summary'!$L$14:$L$15</c:f>
              <c:numCache>
                <c:formatCode>0.00%</c:formatCode>
                <c:ptCount val="2"/>
                <c:pt idx="0">
                  <c:v>0.10249999999999999</c:v>
                </c:pt>
                <c:pt idx="1">
                  <c:v>0.10249999999999999</c:v>
                </c:pt>
              </c:numCache>
            </c:numRef>
          </c:xVal>
          <c:yVal>
            <c:numRef>
              <c:f>'AEB-2 Summary'!$M$14:$M$15</c:f>
              <c:numCache>
                <c:formatCode>0.0</c:formatCode>
                <c:ptCount val="2"/>
                <c:pt idx="0">
                  <c:v>0</c:v>
                </c:pt>
                <c:pt idx="1">
                  <c:v>9</c:v>
                </c:pt>
              </c:numCache>
            </c:numRef>
          </c:yVal>
          <c:smooth val="0"/>
          <c:extLst>
            <c:ext xmlns:c16="http://schemas.microsoft.com/office/drawing/2014/chart" uri="{C3380CC4-5D6E-409C-BE32-E72D297353CC}">
              <c16:uniqueId val="{00000001-5E18-40B7-8878-2A473E67B04B}"/>
            </c:ext>
          </c:extLst>
        </c:ser>
        <c:ser>
          <c:idx val="5"/>
          <c:order val="6"/>
          <c:tx>
            <c:strRef>
              <c:f>'AEB-2 Summary'!$K$16</c:f>
              <c:strCache>
                <c:ptCount val="1"/>
                <c:pt idx="0">
                  <c:v>High End ROE Range</c:v>
                </c:pt>
              </c:strCache>
            </c:strRef>
          </c:tx>
          <c:spPr>
            <a:ln w="19050" cap="rnd">
              <a:solidFill>
                <a:schemeClr val="tx1"/>
              </a:solidFill>
              <a:prstDash val="dashDot"/>
              <a:round/>
            </a:ln>
            <a:effectLst/>
          </c:spPr>
          <c:marker>
            <c:symbol val="none"/>
          </c:marker>
          <c:xVal>
            <c:numRef>
              <c:f>'AEB-2 Summary'!$L$16:$L$17</c:f>
              <c:numCache>
                <c:formatCode>0.00%</c:formatCode>
                <c:ptCount val="2"/>
                <c:pt idx="0">
                  <c:v>0.1125</c:v>
                </c:pt>
                <c:pt idx="1">
                  <c:v>0.1125</c:v>
                </c:pt>
              </c:numCache>
            </c:numRef>
          </c:xVal>
          <c:yVal>
            <c:numRef>
              <c:f>'AEB-2 Summary'!$M$16:$M$17</c:f>
              <c:numCache>
                <c:formatCode>0.0</c:formatCode>
                <c:ptCount val="2"/>
                <c:pt idx="0">
                  <c:v>0</c:v>
                </c:pt>
                <c:pt idx="1">
                  <c:v>9</c:v>
                </c:pt>
              </c:numCache>
            </c:numRef>
          </c:yVal>
          <c:smooth val="0"/>
          <c:extLst>
            <c:ext xmlns:c16="http://schemas.microsoft.com/office/drawing/2014/chart" uri="{C3380CC4-5D6E-409C-BE32-E72D297353CC}">
              <c16:uniqueId val="{00000002-5E18-40B7-8878-2A473E67B04B}"/>
            </c:ext>
          </c:extLst>
        </c:ser>
        <c:ser>
          <c:idx val="6"/>
          <c:order val="7"/>
          <c:tx>
            <c:strRef>
              <c:f>'AEB-2 Summary'!$K$18</c:f>
              <c:strCache>
                <c:ptCount val="1"/>
                <c:pt idx="0">
                  <c:v>Requested ROE</c:v>
                </c:pt>
              </c:strCache>
              <c:extLst xmlns:c15="http://schemas.microsoft.com/office/drawing/2012/chart"/>
            </c:strRef>
          </c:tx>
          <c:spPr>
            <a:ln w="19050" cap="rnd">
              <a:noFill/>
              <a:round/>
            </a:ln>
            <a:effectLst/>
          </c:spPr>
          <c:marker>
            <c:symbol val="diamond"/>
            <c:size val="10"/>
            <c:spPr>
              <a:solidFill>
                <a:schemeClr val="tx1"/>
              </a:solidFill>
              <a:ln w="9525">
                <a:noFill/>
              </a:ln>
              <a:effectLst/>
            </c:spPr>
          </c:marker>
          <c:xVal>
            <c:numRef>
              <c:f>'AEB-2 Summary'!$L$18</c:f>
              <c:numCache>
                <c:formatCode>0.00%</c:formatCode>
                <c:ptCount val="1"/>
                <c:pt idx="0">
                  <c:v>0.105</c:v>
                </c:pt>
              </c:numCache>
              <c:extLst xmlns:c15="http://schemas.microsoft.com/office/drawing/2012/chart"/>
            </c:numRef>
          </c:xVal>
          <c:yVal>
            <c:numRef>
              <c:f>'AEB-2 Summary'!$M$18</c:f>
              <c:numCache>
                <c:formatCode>0.0</c:formatCode>
                <c:ptCount val="1"/>
                <c:pt idx="0">
                  <c:v>3</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3-5E18-40B7-8878-2A473E67B04B}"/>
            </c:ext>
          </c:extLst>
        </c:ser>
        <c:dLbls>
          <c:showLegendKey val="0"/>
          <c:showVal val="0"/>
          <c:showCatName val="0"/>
          <c:showSerName val="0"/>
          <c:showPercent val="0"/>
          <c:showBubbleSize val="0"/>
        </c:dLbls>
        <c:axId val="238422656"/>
        <c:axId val="238432640"/>
        <c:extLst/>
      </c:scatterChart>
      <c:valAx>
        <c:axId val="238422656"/>
        <c:scaling>
          <c:orientation val="minMax"/>
          <c:max val="0.12000000000000001"/>
          <c:min val="9.5000000000000029E-2"/>
        </c:scaling>
        <c:delete val="0"/>
        <c:axPos val="b"/>
        <c:numFmt formatCode="0.00%" sourceLinked="1"/>
        <c:majorTickMark val="in"/>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38432640"/>
        <c:crosses val="autoZero"/>
        <c:crossBetween val="midCat"/>
        <c:majorUnit val="5.0000000000000027E-3"/>
      </c:valAx>
      <c:valAx>
        <c:axId val="238432640"/>
        <c:scaling>
          <c:orientation val="minMax"/>
          <c:max val="9"/>
        </c:scaling>
        <c:delete val="1"/>
        <c:axPos val="l"/>
        <c:majorGridlines>
          <c:spPr>
            <a:ln w="9525" cap="flat" cmpd="sng" algn="ctr">
              <a:noFill/>
              <a:round/>
            </a:ln>
            <a:effectLst/>
          </c:spPr>
        </c:majorGridlines>
        <c:numFmt formatCode="General" sourceLinked="1"/>
        <c:majorTickMark val="out"/>
        <c:minorTickMark val="none"/>
        <c:tickLblPos val="nextTo"/>
        <c:crossAx val="238422656"/>
        <c:crossesAt val="0.1"/>
        <c:crossBetween val="midCat"/>
        <c:majorUnit val="1"/>
      </c:valAx>
      <c:spPr>
        <a:noFill/>
        <a:ln>
          <a:solidFill>
            <a:sysClr val="windowText" lastClr="000000"/>
          </a:solid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000000000000022" l="0.70000000000000018" r="0.70000000000000018" t="0.75000000000000022" header="0.3000000000000001" footer="0.3000000000000001"/>
    <c:pageSetup orientation="portrait"/>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spPr>
            <a:ln w="19050" cap="rnd">
              <a:noFill/>
              <a:round/>
            </a:ln>
            <a:effectLst/>
          </c:spPr>
          <c:marker>
            <c:symbol val="diamond"/>
            <c:size val="7"/>
            <c:spPr>
              <a:solidFill>
                <a:schemeClr val="tx1"/>
              </a:solidFill>
              <a:ln w="9525">
                <a:solidFill>
                  <a:schemeClr val="tx1"/>
                </a:solidFill>
              </a:ln>
              <a:effectLst/>
            </c:spPr>
          </c:marker>
          <c:trendline>
            <c:spPr>
              <a:ln w="12700" cap="rnd">
                <a:solidFill>
                  <a:schemeClr val="tx1"/>
                </a:solidFill>
                <a:prstDash val="solid"/>
              </a:ln>
              <a:effectLst/>
            </c:spPr>
            <c:trendlineType val="linear"/>
            <c:dispRSqr val="1"/>
            <c:dispEq val="1"/>
            <c:trendlineLbl>
              <c:layout>
                <c:manualLayout>
                  <c:x val="-7.0719761354249316E-2"/>
                  <c:y val="-0.63853298942255232"/>
                </c:manualLayout>
              </c:layout>
              <c:numFmt formatCode="General" sourceLinked="0"/>
              <c:spPr>
                <a:solidFill>
                  <a:schemeClr val="bg1"/>
                </a:solidFill>
                <a:ln>
                  <a:solidFill>
                    <a:sysClr val="windowText" lastClr="000000"/>
                  </a:solidFill>
                </a:ln>
                <a:effectLst/>
              </c:spPr>
              <c:txPr>
                <a:bodyPr rot="0" spcFirstLastPara="1" vertOverflow="ellipsis" vert="horz" wrap="square" anchor="ctr" anchorCtr="1"/>
                <a:lstStyle/>
                <a:p>
                  <a:pPr>
                    <a:defRPr sz="12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rendlineLbl>
          </c:trendline>
          <c:xVal>
            <c:numRef>
              <c:f>'AEB-8 RiskPrem'!$D$8:$D$189</c:f>
              <c:numCache>
                <c:formatCode>0.00%</c:formatCode>
                <c:ptCount val="182"/>
                <c:pt idx="0">
                  <c:v>0.11657096774193544</c:v>
                </c:pt>
                <c:pt idx="1">
                  <c:v>0.10524920634920633</c:v>
                </c:pt>
                <c:pt idx="2">
                  <c:v>0.1085</c:v>
                </c:pt>
                <c:pt idx="3">
                  <c:v>0.12096229508196724</c:v>
                </c:pt>
                <c:pt idx="4">
                  <c:v>0.12533278688524591</c:v>
                </c:pt>
                <c:pt idx="5">
                  <c:v>0.13242857142857142</c:v>
                </c:pt>
                <c:pt idx="6">
                  <c:v>0.14132343749999998</c:v>
                </c:pt>
                <c:pt idx="7">
                  <c:v>0.13847868852459014</c:v>
                </c:pt>
                <c:pt idx="8">
                  <c:v>0.13962131147540985</c:v>
                </c:pt>
                <c:pt idx="9">
                  <c:v>0.13521904761904768</c:v>
                </c:pt>
                <c:pt idx="10">
                  <c:v>0.12794375000000005</c:v>
                </c:pt>
                <c:pt idx="11">
                  <c:v>0.10746229508196721</c:v>
                </c:pt>
                <c:pt idx="12">
                  <c:v>0.10706825396825397</c:v>
                </c:pt>
                <c:pt idx="13">
                  <c:v>0.10653174603174603</c:v>
                </c:pt>
                <c:pt idx="14">
                  <c:v>0.11624531249999998</c:v>
                </c:pt>
                <c:pt idx="15">
                  <c:v>0.11737</c:v>
                </c:pt>
                <c:pt idx="16">
                  <c:v>0.12036290322580651</c:v>
                </c:pt>
                <c:pt idx="17">
                  <c:v>0.13183968253968248</c:v>
                </c:pt>
                <c:pt idx="18">
                  <c:v>0.12689047619047616</c:v>
                </c:pt>
                <c:pt idx="19">
                  <c:v>0.11698852459016393</c:v>
                </c:pt>
                <c:pt idx="20">
                  <c:v>0.11584000000000001</c:v>
                </c:pt>
                <c:pt idx="21">
                  <c:v>0.10995873015873014</c:v>
                </c:pt>
                <c:pt idx="22">
                  <c:v>0.10553015873015874</c:v>
                </c:pt>
                <c:pt idx="23">
                  <c:v>0.10039838709677419</c:v>
                </c:pt>
                <c:pt idx="24">
                  <c:v>8.7693333333333318E-2</c:v>
                </c:pt>
                <c:pt idx="25">
                  <c:v>7.4906250000000008E-2</c:v>
                </c:pt>
                <c:pt idx="26">
                  <c:v>7.4042187499999995E-2</c:v>
                </c:pt>
                <c:pt idx="27">
                  <c:v>7.5280645161290308E-2</c:v>
                </c:pt>
                <c:pt idx="28">
                  <c:v>7.4936065573770486E-2</c:v>
                </c:pt>
                <c:pt idx="29">
                  <c:v>8.5306349206349191E-2</c:v>
                </c:pt>
                <c:pt idx="30">
                  <c:v>9.0592187499999977E-2</c:v>
                </c:pt>
                <c:pt idx="31">
                  <c:v>9.2301538461538449E-2</c:v>
                </c:pt>
                <c:pt idx="32">
                  <c:v>8.6266129032258082E-2</c:v>
                </c:pt>
                <c:pt idx="33">
                  <c:v>9.0614285714285744E-2</c:v>
                </c:pt>
                <c:pt idx="34">
                  <c:v>9.1754687500000043E-2</c:v>
                </c:pt>
                <c:pt idx="35">
                  <c:v>8.9730158730158771E-2</c:v>
                </c:pt>
                <c:pt idx="36">
                  <c:v>9.036129032258064E-2</c:v>
                </c:pt>
                <c:pt idx="37">
                  <c:v>8.69796875E-2</c:v>
                </c:pt>
                <c:pt idx="38">
                  <c:v>8.1187301587301586E-2</c:v>
                </c:pt>
                <c:pt idx="39">
                  <c:v>7.9334374999999999E-2</c:v>
                </c:pt>
                <c:pt idx="40">
                  <c:v>8.4376190476190494E-2</c:v>
                </c:pt>
                <c:pt idx="41">
                  <c:v>8.6479365079365086E-2</c:v>
                </c:pt>
                <c:pt idx="42">
                  <c:v>8.7915873015873003E-2</c:v>
                </c:pt>
                <c:pt idx="43">
                  <c:v>8.557846153846152E-2</c:v>
                </c:pt>
                <c:pt idx="44">
                  <c:v>8.2024193548387081E-2</c:v>
                </c:pt>
                <c:pt idx="45">
                  <c:v>8.3114062500000016E-2</c:v>
                </c:pt>
                <c:pt idx="46">
                  <c:v>8.1885937500000019E-2</c:v>
                </c:pt>
                <c:pt idx="47">
                  <c:v>7.8533846153846162E-2</c:v>
                </c:pt>
                <c:pt idx="48">
                  <c:v>7.8050793650793662E-2</c:v>
                </c:pt>
                <c:pt idx="49">
                  <c:v>7.8976190476190478E-2</c:v>
                </c:pt>
                <c:pt idx="50">
                  <c:v>7.4456250000000002E-2</c:v>
                </c:pt>
                <c:pt idx="51">
                  <c:v>7.5235937499999989E-2</c:v>
                </c:pt>
                <c:pt idx="52">
                  <c:v>7.0716129032258074E-2</c:v>
                </c:pt>
                <c:pt idx="53">
                  <c:v>6.8584126984127011E-2</c:v>
                </c:pt>
                <c:pt idx="54">
                  <c:v>6.3154687500000015E-2</c:v>
                </c:pt>
                <c:pt idx="55">
                  <c:v>6.1351562500000012E-2</c:v>
                </c:pt>
                <c:pt idx="56">
                  <c:v>6.5758730158730155E-2</c:v>
                </c:pt>
                <c:pt idx="57">
                  <c:v>7.3622580645161306E-2</c:v>
                </c:pt>
                <c:pt idx="58">
                  <c:v>7.5893750000000024E-2</c:v>
                </c:pt>
                <c:pt idx="59">
                  <c:v>7.9633333333333334E-2</c:v>
                </c:pt>
                <c:pt idx="60">
                  <c:v>6.9422222222222191E-2</c:v>
                </c:pt>
                <c:pt idx="61">
                  <c:v>6.7173015873015857E-2</c:v>
                </c:pt>
                <c:pt idx="62">
                  <c:v>6.2390476190476205E-2</c:v>
                </c:pt>
                <c:pt idx="63">
                  <c:v>6.2916923076923065E-2</c:v>
                </c:pt>
                <c:pt idx="64">
                  <c:v>6.9215384615384609E-2</c:v>
                </c:pt>
                <c:pt idx="65">
                  <c:v>6.9672727272727275E-2</c:v>
                </c:pt>
                <c:pt idx="66">
                  <c:v>6.6199999999999995E-2</c:v>
                </c:pt>
                <c:pt idx="67">
                  <c:v>6.8153124999999995E-2</c:v>
                </c:pt>
                <c:pt idx="68">
                  <c:v>6.9369230769230752E-2</c:v>
                </c:pt>
                <c:pt idx="69">
                  <c:v>6.5304545454545448E-2</c:v>
                </c:pt>
                <c:pt idx="70">
                  <c:v>6.1478125000000015E-2</c:v>
                </c:pt>
                <c:pt idx="71">
                  <c:v>5.8490769230769207E-2</c:v>
                </c:pt>
                <c:pt idx="72">
                  <c:v>5.4762121212121241E-2</c:v>
                </c:pt>
                <c:pt idx="73">
                  <c:v>5.1071212121212115E-2</c:v>
                </c:pt>
                <c:pt idx="74">
                  <c:v>5.3734374999999994E-2</c:v>
                </c:pt>
                <c:pt idx="75">
                  <c:v>5.7987692307692289E-2</c:v>
                </c:pt>
                <c:pt idx="76">
                  <c:v>6.2559090909090911E-2</c:v>
                </c:pt>
                <c:pt idx="77">
                  <c:v>6.2958461538461505E-2</c:v>
                </c:pt>
                <c:pt idx="78">
                  <c:v>5.9787692307692299E-2</c:v>
                </c:pt>
                <c:pt idx="79">
                  <c:v>5.7932307692307693E-2</c:v>
                </c:pt>
                <c:pt idx="80">
                  <c:v>5.6907692307692305E-2</c:v>
                </c:pt>
                <c:pt idx="81">
                  <c:v>5.4464615384615396E-2</c:v>
                </c:pt>
                <c:pt idx="82">
                  <c:v>5.7016923076923069E-2</c:v>
                </c:pt>
                <c:pt idx="83">
                  <c:v>5.3019696969696967E-2</c:v>
                </c:pt>
                <c:pt idx="84">
                  <c:v>5.51578125E-2</c:v>
                </c:pt>
                <c:pt idx="85">
                  <c:v>5.6164615384615389E-2</c:v>
                </c:pt>
                <c:pt idx="86">
                  <c:v>5.0868181818181826E-2</c:v>
                </c:pt>
                <c:pt idx="87">
                  <c:v>4.9322727272727268E-2</c:v>
                </c:pt>
                <c:pt idx="88">
                  <c:v>4.8518749999999999E-2</c:v>
                </c:pt>
                <c:pt idx="89">
                  <c:v>4.6032307692307678E-2</c:v>
                </c:pt>
                <c:pt idx="90">
                  <c:v>5.113939393939395E-2</c:v>
                </c:pt>
                <c:pt idx="91">
                  <c:v>5.1146969696969691E-2</c:v>
                </c:pt>
                <c:pt idx="92">
                  <c:v>4.8776923076923072E-2</c:v>
                </c:pt>
                <c:pt idx="93">
                  <c:v>5.3353846153846154E-2</c:v>
                </c:pt>
                <c:pt idx="94">
                  <c:v>5.1074242424242439E-2</c:v>
                </c:pt>
                <c:pt idx="95">
                  <c:v>4.9322727272727296E-2</c:v>
                </c:pt>
                <c:pt idx="96">
                  <c:v>4.7070312500000003E-2</c:v>
                </c:pt>
                <c:pt idx="97">
                  <c:v>4.4709230769230765E-2</c:v>
                </c:pt>
                <c:pt idx="98">
                  <c:v>4.4228787878787867E-2</c:v>
                </c:pt>
                <c:pt idx="99">
                  <c:v>4.6523076923076924E-2</c:v>
                </c:pt>
                <c:pt idx="100">
                  <c:v>4.6270769230769213E-2</c:v>
                </c:pt>
                <c:pt idx="101">
                  <c:v>5.1427692307692299E-2</c:v>
                </c:pt>
                <c:pt idx="102">
                  <c:v>4.9955384615384631E-2</c:v>
                </c:pt>
                <c:pt idx="103">
                  <c:v>4.7423076923076908E-2</c:v>
                </c:pt>
                <c:pt idx="104">
                  <c:v>4.7975384615384635E-2</c:v>
                </c:pt>
                <c:pt idx="105">
                  <c:v>4.9892307692307715E-2</c:v>
                </c:pt>
                <c:pt idx="106">
                  <c:v>4.9499999999999982E-2</c:v>
                </c:pt>
                <c:pt idx="107">
                  <c:v>4.6140000000000014E-2</c:v>
                </c:pt>
                <c:pt idx="108">
                  <c:v>4.409538461538462E-2</c:v>
                </c:pt>
                <c:pt idx="109">
                  <c:v>4.5739999999999996E-2</c:v>
                </c:pt>
                <c:pt idx="110">
                  <c:v>4.4501515151515146E-2</c:v>
                </c:pt>
                <c:pt idx="111">
                  <c:v>3.6437500000000005E-2</c:v>
                </c:pt>
                <c:pt idx="112">
                  <c:v>3.4393749999999994E-2</c:v>
                </c:pt>
                <c:pt idx="113">
                  <c:v>4.1692307692307695E-2</c:v>
                </c:pt>
                <c:pt idx="114">
                  <c:v>4.321666666666666E-2</c:v>
                </c:pt>
                <c:pt idx="115">
                  <c:v>4.3392187499999998E-2</c:v>
                </c:pt>
                <c:pt idx="116">
                  <c:v>4.6243749999999986E-2</c:v>
                </c:pt>
                <c:pt idx="117">
                  <c:v>4.3692307692307676E-2</c:v>
                </c:pt>
                <c:pt idx="118">
                  <c:v>3.8563636363636355E-2</c:v>
                </c:pt>
                <c:pt idx="119">
                  <c:v>4.1749230769230768E-2</c:v>
                </c:pt>
                <c:pt idx="120">
                  <c:v>4.5609374999999994E-2</c:v>
                </c:pt>
                <c:pt idx="121">
                  <c:v>4.3387692307692308E-2</c:v>
                </c:pt>
                <c:pt idx="122">
                  <c:v>3.6960606060606048E-2</c:v>
                </c:pt>
                <c:pt idx="123">
                  <c:v>3.0376190476190473E-2</c:v>
                </c:pt>
                <c:pt idx="124">
                  <c:v>3.1361538461538462E-2</c:v>
                </c:pt>
                <c:pt idx="125">
                  <c:v>2.9363076923076922E-2</c:v>
                </c:pt>
                <c:pt idx="126">
                  <c:v>2.7429230769230779E-2</c:v>
                </c:pt>
                <c:pt idx="127">
                  <c:v>2.8639062499999993E-2</c:v>
                </c:pt>
                <c:pt idx="128">
                  <c:v>3.1303125000000008E-2</c:v>
                </c:pt>
                <c:pt idx="129">
                  <c:v>3.1412307692307684E-2</c:v>
                </c:pt>
                <c:pt idx="130">
                  <c:v>3.7107575757575756E-2</c:v>
                </c:pt>
                <c:pt idx="131">
                  <c:v>3.7882812500000008E-2</c:v>
                </c:pt>
                <c:pt idx="132">
                  <c:v>3.6903125000000009E-2</c:v>
                </c:pt>
                <c:pt idx="133">
                  <c:v>3.4430769230769237E-2</c:v>
                </c:pt>
                <c:pt idx="134">
                  <c:v>3.2657575757575753E-2</c:v>
                </c:pt>
                <c:pt idx="135">
                  <c:v>2.9637499999999997E-2</c:v>
                </c:pt>
                <c:pt idx="136">
                  <c:v>2.5540625000000004E-2</c:v>
                </c:pt>
                <c:pt idx="137">
                  <c:v>2.8836923076923083E-2</c:v>
                </c:pt>
                <c:pt idx="138">
                  <c:v>2.9624242424242438E-2</c:v>
                </c:pt>
                <c:pt idx="139">
                  <c:v>2.9630303030303028E-2</c:v>
                </c:pt>
                <c:pt idx="140">
                  <c:v>2.7218461538461539E-2</c:v>
                </c:pt>
                <c:pt idx="141">
                  <c:v>2.5672307692307696E-2</c:v>
                </c:pt>
                <c:pt idx="142">
                  <c:v>2.2793939393939398E-2</c:v>
                </c:pt>
                <c:pt idx="143">
                  <c:v>2.8333846153846154E-2</c:v>
                </c:pt>
                <c:pt idx="144">
                  <c:v>3.0452307692307709E-2</c:v>
                </c:pt>
                <c:pt idx="145">
                  <c:v>2.8972307692307693E-2</c:v>
                </c:pt>
                <c:pt idx="146">
                  <c:v>2.8173846153846157E-2</c:v>
                </c:pt>
                <c:pt idx="147">
                  <c:v>2.817384615384615E-2</c:v>
                </c:pt>
                <c:pt idx="148">
                  <c:v>3.0235384615384615E-2</c:v>
                </c:pt>
                <c:pt idx="149">
                  <c:v>3.0853846153846162E-2</c:v>
                </c:pt>
                <c:pt idx="150">
                  <c:v>3.0607692307692315E-2</c:v>
                </c:pt>
                <c:pt idx="151">
                  <c:v>3.26939393939394E-2</c:v>
                </c:pt>
                <c:pt idx="152">
                  <c:v>3.0129687499999998E-2</c:v>
                </c:pt>
                <c:pt idx="153">
                  <c:v>2.7836923076923075E-2</c:v>
                </c:pt>
                <c:pt idx="154">
                  <c:v>2.2849999999999995E-2</c:v>
                </c:pt>
                <c:pt idx="155">
                  <c:v>2.2566666666666676E-2</c:v>
                </c:pt>
                <c:pt idx="156">
                  <c:v>1.8878461538461538E-2</c:v>
                </c:pt>
                <c:pt idx="157">
                  <c:v>1.3801538461538454E-2</c:v>
                </c:pt>
                <c:pt idx="158">
                  <c:v>1.3654545454545457E-2</c:v>
                </c:pt>
                <c:pt idx="159">
                  <c:v>1.6210606060606054E-2</c:v>
                </c:pt>
                <c:pt idx="160">
                  <c:v>2.0748437499999998E-2</c:v>
                </c:pt>
                <c:pt idx="161">
                  <c:v>2.2579999999999996E-2</c:v>
                </c:pt>
                <c:pt idx="162">
                  <c:v>1.9333333333333327E-2</c:v>
                </c:pt>
                <c:pt idx="163">
                  <c:v>1.9479687499999995E-2</c:v>
                </c:pt>
                <c:pt idx="164">
                  <c:v>2.2546031746031748E-2</c:v>
                </c:pt>
                <c:pt idx="165">
                  <c:v>3.0455384615384599E-2</c:v>
                </c:pt>
                <c:pt idx="166">
                  <c:v>3.2607575757575759E-2</c:v>
                </c:pt>
                <c:pt idx="167">
                  <c:v>3.8912500000000003E-2</c:v>
                </c:pt>
                <c:pt idx="168">
                  <c:v>3.7495384615384618E-2</c:v>
                </c:pt>
                <c:pt idx="169">
                  <c:v>3.808461538461537E-2</c:v>
                </c:pt>
                <c:pt idx="170">
                  <c:v>4.234461538461539E-2</c:v>
                </c:pt>
                <c:pt idx="171">
                  <c:v>4.5817187500000002E-2</c:v>
                </c:pt>
                <c:pt idx="172">
                  <c:v>4.3239062499999988E-2</c:v>
                </c:pt>
                <c:pt idx="173">
                  <c:v>4.5758461538461546E-2</c:v>
                </c:pt>
                <c:pt idx="174">
                  <c:v>4.2295454545454539E-2</c:v>
                </c:pt>
                <c:pt idx="175">
                  <c:v>4.4976562499999997E-2</c:v>
                </c:pt>
                <c:pt idx="176">
                  <c:v>4.7157812500000021E-2</c:v>
                </c:pt>
                <c:pt idx="177">
                  <c:v>4.838000000000002E-2</c:v>
                </c:pt>
                <c:pt idx="178">
                  <c:v>4.8458461538461534E-2</c:v>
                </c:pt>
                <c:pt idx="179">
                  <c:v>4.7139062500000016E-2</c:v>
                </c:pt>
                <c:pt idx="180">
                  <c:v>4.8157812500000008E-2</c:v>
                </c:pt>
                <c:pt idx="181">
                  <c:v>4.9606349206349182E-2</c:v>
                </c:pt>
              </c:numCache>
            </c:numRef>
          </c:xVal>
          <c:yVal>
            <c:numRef>
              <c:f>'AEB-8 RiskPrem'!$E$8:$E$189</c:f>
              <c:numCache>
                <c:formatCode>0.00%</c:formatCode>
                <c:ptCount val="182"/>
                <c:pt idx="0">
                  <c:v>1.7890570719603024E-2</c:v>
                </c:pt>
                <c:pt idx="1">
                  <c:v>3.8528571428571454E-2</c:v>
                </c:pt>
                <c:pt idx="2">
                  <c:v>3.0241666666666681E-2</c:v>
                </c:pt>
                <c:pt idx="3">
                  <c:v>2.2542052744119745E-2</c:v>
                </c:pt>
                <c:pt idx="4">
                  <c:v>2.17922131147541E-2</c:v>
                </c:pt>
                <c:pt idx="5">
                  <c:v>1.3641428571428582E-2</c:v>
                </c:pt>
                <c:pt idx="6">
                  <c:v>7.2376736111111339E-3</c:v>
                </c:pt>
                <c:pt idx="7">
                  <c:v>1.8569137562366389E-2</c:v>
                </c:pt>
                <c:pt idx="8">
                  <c:v>1.5905355191256826E-2</c:v>
                </c:pt>
                <c:pt idx="9">
                  <c:v>2.0993452380952293E-2</c:v>
                </c:pt>
                <c:pt idx="10">
                  <c:v>2.9713392857142834E-2</c:v>
                </c:pt>
                <c:pt idx="11">
                  <c:v>4.8857704918032749E-2</c:v>
                </c:pt>
                <c:pt idx="12">
                  <c:v>4.7071746031746006E-2</c:v>
                </c:pt>
                <c:pt idx="13">
                  <c:v>4.1861111111111127E-2</c:v>
                </c:pt>
                <c:pt idx="14">
                  <c:v>3.6192187500000028E-2</c:v>
                </c:pt>
                <c:pt idx="15">
                  <c:v>3.6640526315789457E-2</c:v>
                </c:pt>
                <c:pt idx="16">
                  <c:v>3.3487096774193509E-2</c:v>
                </c:pt>
                <c:pt idx="17">
                  <c:v>1.8874603174603266E-2</c:v>
                </c:pt>
                <c:pt idx="18">
                  <c:v>2.7745887445887463E-2</c:v>
                </c:pt>
                <c:pt idx="19">
                  <c:v>3.6319808743169396E-2</c:v>
                </c:pt>
                <c:pt idx="20">
                  <c:v>3.4484999999999974E-2</c:v>
                </c:pt>
                <c:pt idx="21">
                  <c:v>4.4466269841269862E-2</c:v>
                </c:pt>
                <c:pt idx="22">
                  <c:v>4.0836507936507907E-2</c:v>
                </c:pt>
                <c:pt idx="23">
                  <c:v>4.3284946236559138E-2</c:v>
                </c:pt>
                <c:pt idx="24">
                  <c:v>5.2806666666666696E-2</c:v>
                </c:pt>
                <c:pt idx="25">
                  <c:v>5.7860416666666664E-2</c:v>
                </c:pt>
                <c:pt idx="26">
                  <c:v>5.6857812500000021E-2</c:v>
                </c:pt>
                <c:pt idx="27">
                  <c:v>6.0933640552995424E-2</c:v>
                </c:pt>
                <c:pt idx="28">
                  <c:v>5.1149648711943788E-2</c:v>
                </c:pt>
                <c:pt idx="29">
                  <c:v>4.5068650793650827E-2</c:v>
                </c:pt>
                <c:pt idx="30">
                  <c:v>3.6407812500000025E-2</c:v>
                </c:pt>
                <c:pt idx="31">
                  <c:v>3.4565128205128207E-2</c:v>
                </c:pt>
                <c:pt idx="32">
                  <c:v>4.3133870967741933E-2</c:v>
                </c:pt>
                <c:pt idx="33">
                  <c:v>3.4135714285714255E-2</c:v>
                </c:pt>
                <c:pt idx="34">
                  <c:v>3.6123090277777742E-2</c:v>
                </c:pt>
                <c:pt idx="35">
                  <c:v>4.0042568542568491E-2</c:v>
                </c:pt>
                <c:pt idx="36">
                  <c:v>3.9563709677419373E-2</c:v>
                </c:pt>
                <c:pt idx="37">
                  <c:v>4.5520312500000007E-2</c:v>
                </c:pt>
                <c:pt idx="38">
                  <c:v>4.4384126984126998E-2</c:v>
                </c:pt>
                <c:pt idx="39">
                  <c:v>5.0034374999999978E-2</c:v>
                </c:pt>
                <c:pt idx="40">
                  <c:v>4.2423809523809503E-2</c:v>
                </c:pt>
                <c:pt idx="41">
                  <c:v>4.15920634920635E-2</c:v>
                </c:pt>
                <c:pt idx="42">
                  <c:v>3.5726984126984135E-2</c:v>
                </c:pt>
                <c:pt idx="43">
                  <c:v>4.2207252747252788E-2</c:v>
                </c:pt>
                <c:pt idx="44">
                  <c:v>4.4915806451612916E-2</c:v>
                </c:pt>
                <c:pt idx="45">
                  <c:v>4.2185937500000006E-2</c:v>
                </c:pt>
                <c:pt idx="46">
                  <c:v>4.2426562499999973E-2</c:v>
                </c:pt>
                <c:pt idx="47">
                  <c:v>4.4773846153846164E-2</c:v>
                </c:pt>
                <c:pt idx="48">
                  <c:v>4.6129206349206336E-2</c:v>
                </c:pt>
                <c:pt idx="49">
                  <c:v>4.0857142857142856E-2</c:v>
                </c:pt>
                <c:pt idx="50">
                  <c:v>4.4203749999999986E-2</c:v>
                </c:pt>
                <c:pt idx="51">
                  <c:v>4.4164062500000018E-2</c:v>
                </c:pt>
                <c:pt idx="52">
                  <c:v>4.678387096774192E-2</c:v>
                </c:pt>
                <c:pt idx="53">
                  <c:v>4.849920634920632E-2</c:v>
                </c:pt>
                <c:pt idx="54">
                  <c:v>5.0720312499999975E-2</c:v>
                </c:pt>
                <c:pt idx="55">
                  <c:v>5.0203993055555562E-2</c:v>
                </c:pt>
                <c:pt idx="56">
                  <c:v>4.5441269841269852E-2</c:v>
                </c:pt>
                <c:pt idx="57">
                  <c:v>3.4727419354838682E-2</c:v>
                </c:pt>
                <c:pt idx="58">
                  <c:v>3.2772916666666652E-2</c:v>
                </c:pt>
                <c:pt idx="59">
                  <c:v>3.5625000000000004E-2</c:v>
                </c:pt>
                <c:pt idx="60">
                  <c:v>4.057777777777781E-2</c:v>
                </c:pt>
                <c:pt idx="61">
                  <c:v>4.349365079365082E-2</c:v>
                </c:pt>
                <c:pt idx="62">
                  <c:v>5.3676190476190461E-2</c:v>
                </c:pt>
                <c:pt idx="63">
                  <c:v>5.1583076923076926E-2</c:v>
                </c:pt>
                <c:pt idx="64">
                  <c:v>3.953461538461539E-2</c:v>
                </c:pt>
                <c:pt idx="65">
                  <c:v>4.2827272727272728E-2</c:v>
                </c:pt>
                <c:pt idx="66">
                  <c:v>4.5742857142857155E-2</c:v>
                </c:pt>
                <c:pt idx="67">
                  <c:v>4.4918303571428578E-2</c:v>
                </c:pt>
                <c:pt idx="68">
                  <c:v>4.763076923076924E-2</c:v>
                </c:pt>
                <c:pt idx="69">
                  <c:v>5.4695454545454547E-2</c:v>
                </c:pt>
                <c:pt idx="70">
                  <c:v>4.768854166666666E-2</c:v>
                </c:pt>
                <c:pt idx="71">
                  <c:v>5.5175897435897445E-2</c:v>
                </c:pt>
                <c:pt idx="72">
                  <c:v>5.9337878787878752E-2</c:v>
                </c:pt>
                <c:pt idx="73">
                  <c:v>6.5828787878787889E-2</c:v>
                </c:pt>
                <c:pt idx="74">
                  <c:v>5.4432291666666681E-2</c:v>
                </c:pt>
                <c:pt idx="75">
                  <c:v>5.4512307692307714E-2</c:v>
                </c:pt>
                <c:pt idx="76">
                  <c:v>4.1190909090909084E-2</c:v>
                </c:pt>
                <c:pt idx="77">
                  <c:v>4.3591538461538501E-2</c:v>
                </c:pt>
                <c:pt idx="78">
                  <c:v>5.054564102564104E-2</c:v>
                </c:pt>
                <c:pt idx="79">
                  <c:v>5.5407692307692304E-2</c:v>
                </c:pt>
                <c:pt idx="80">
                  <c:v>6.4092307692307698E-2</c:v>
                </c:pt>
                <c:pt idx="81">
                  <c:v>5.9285384615384608E-2</c:v>
                </c:pt>
                <c:pt idx="82">
                  <c:v>5.0483076923076929E-2</c:v>
                </c:pt>
                <c:pt idx="83">
                  <c:v>5.3480303030303045E-2</c:v>
                </c:pt>
                <c:pt idx="84">
                  <c:v>5.1508854166666673E-2</c:v>
                </c:pt>
                <c:pt idx="85">
                  <c:v>6.0260384615384611E-2</c:v>
                </c:pt>
                <c:pt idx="86">
                  <c:v>6.4131818181818165E-2</c:v>
                </c:pt>
                <c:pt idx="87">
                  <c:v>6.0788383838383836E-2</c:v>
                </c:pt>
                <c:pt idx="88">
                  <c:v>6.5301249999999991E-2</c:v>
                </c:pt>
                <c:pt idx="89">
                  <c:v>6.7592692307692326E-2</c:v>
                </c:pt>
                <c:pt idx="90">
                  <c:v>5.498060606060607E-2</c:v>
                </c:pt>
                <c:pt idx="91">
                  <c:v>5.7271212121212139E-2</c:v>
                </c:pt>
                <c:pt idx="92">
                  <c:v>6.1823076923076918E-2</c:v>
                </c:pt>
                <c:pt idx="93">
                  <c:v>5.2379487179487191E-2</c:v>
                </c:pt>
                <c:pt idx="94">
                  <c:v>5.2613257575757549E-2</c:v>
                </c:pt>
                <c:pt idx="95">
                  <c:v>5.7260606060606026E-2</c:v>
                </c:pt>
                <c:pt idx="96">
                  <c:v>5.9429687500000009E-2</c:v>
                </c:pt>
                <c:pt idx="97">
                  <c:v>6.0650769230769244E-2</c:v>
                </c:pt>
                <c:pt idx="98">
                  <c:v>6.0491212121212126E-2</c:v>
                </c:pt>
                <c:pt idx="99">
                  <c:v>5.6641208791208798E-2</c:v>
                </c:pt>
                <c:pt idx="100">
                  <c:v>6.0529230769230793E-2</c:v>
                </c:pt>
                <c:pt idx="101">
                  <c:v>5.4572307692307698E-2</c:v>
                </c:pt>
                <c:pt idx="102">
                  <c:v>5.3419615384615364E-2</c:v>
                </c:pt>
                <c:pt idx="103">
                  <c:v>5.3996923076923088E-2</c:v>
                </c:pt>
                <c:pt idx="104">
                  <c:v>5.7206433566433547E-2</c:v>
                </c:pt>
                <c:pt idx="105">
                  <c:v>5.1374358974358943E-2</c:v>
                </c:pt>
                <c:pt idx="106">
                  <c:v>5.0762500000000009E-2</c:v>
                </c:pt>
                <c:pt idx="107">
                  <c:v>5.5036923076923053E-2</c:v>
                </c:pt>
                <c:pt idx="108">
                  <c:v>5.9661758241758248E-2</c:v>
                </c:pt>
                <c:pt idx="109">
                  <c:v>5.5926666666666687E-2</c:v>
                </c:pt>
                <c:pt idx="110">
                  <c:v>6.1009595959595965E-2</c:v>
                </c:pt>
                <c:pt idx="111">
                  <c:v>6.6947115384615369E-2</c:v>
                </c:pt>
                <c:pt idx="112">
                  <c:v>6.8031249999999988E-2</c:v>
                </c:pt>
                <c:pt idx="113">
                  <c:v>5.9382692307692303E-2</c:v>
                </c:pt>
                <c:pt idx="114">
                  <c:v>5.5583333333333339E-2</c:v>
                </c:pt>
                <c:pt idx="115">
                  <c:v>5.9657812500000032E-2</c:v>
                </c:pt>
                <c:pt idx="116">
                  <c:v>5.6122916666666675E-2</c:v>
                </c:pt>
                <c:pt idx="117">
                  <c:v>5.6162237762237784E-2</c:v>
                </c:pt>
                <c:pt idx="118">
                  <c:v>6.568636363636364E-2</c:v>
                </c:pt>
                <c:pt idx="119">
                  <c:v>5.9173846153846153E-2</c:v>
                </c:pt>
                <c:pt idx="120">
                  <c:v>5.5390625000000013E-2</c:v>
                </c:pt>
                <c:pt idx="121">
                  <c:v>5.5062307692307702E-2</c:v>
                </c:pt>
                <c:pt idx="122">
                  <c:v>5.9539393939393954E-2</c:v>
                </c:pt>
                <c:pt idx="123">
                  <c:v>6.8373809523809531E-2</c:v>
                </c:pt>
                <c:pt idx="124">
                  <c:v>6.495846153846152E-2</c:v>
                </c:pt>
                <c:pt idx="125">
                  <c:v>6.8949423076923061E-2</c:v>
                </c:pt>
                <c:pt idx="126">
                  <c:v>7.0070769230769228E-2</c:v>
                </c:pt>
                <c:pt idx="127">
                  <c:v>7.1910937500000008E-2</c:v>
                </c:pt>
                <c:pt idx="128">
                  <c:v>6.4363541666666663E-2</c:v>
                </c:pt>
                <c:pt idx="129">
                  <c:v>6.3271025641025644E-2</c:v>
                </c:pt>
                <c:pt idx="130">
                  <c:v>5.8892424242424246E-2</c:v>
                </c:pt>
                <c:pt idx="131">
                  <c:v>6.0408096590909073E-2</c:v>
                </c:pt>
                <c:pt idx="132">
                  <c:v>5.8513541666666655E-2</c:v>
                </c:pt>
                <c:pt idx="133">
                  <c:v>6.3931730769230755E-2</c:v>
                </c:pt>
                <c:pt idx="134">
                  <c:v>6.1842424242424261E-2</c:v>
                </c:pt>
                <c:pt idx="135">
                  <c:v>7.3195833333333335E-2</c:v>
                </c:pt>
                <c:pt idx="136">
                  <c:v>6.9126041666666665E-2</c:v>
                </c:pt>
                <c:pt idx="137">
                  <c:v>6.5496410256410259E-2</c:v>
                </c:pt>
                <c:pt idx="138">
                  <c:v>6.7875757575757562E-2</c:v>
                </c:pt>
                <c:pt idx="139">
                  <c:v>6.7147474747474734E-2</c:v>
                </c:pt>
                <c:pt idx="140">
                  <c:v>6.7614871794871786E-2</c:v>
                </c:pt>
                <c:pt idx="141">
                  <c:v>6.8477692307692295E-2</c:v>
                </c:pt>
                <c:pt idx="142">
                  <c:v>7.185606060606059E-2</c:v>
                </c:pt>
                <c:pt idx="143">
                  <c:v>6.8388376068376056E-2</c:v>
                </c:pt>
                <c:pt idx="144">
                  <c:v>6.5547692307692307E-2</c:v>
                </c:pt>
                <c:pt idx="145">
                  <c:v>6.5741978021978009E-2</c:v>
                </c:pt>
                <c:pt idx="146">
                  <c:v>7.3209487179487165E-2</c:v>
                </c:pt>
                <c:pt idx="147">
                  <c:v>6.8826153846153842E-2</c:v>
                </c:pt>
                <c:pt idx="148">
                  <c:v>6.6581282051282054E-2</c:v>
                </c:pt>
                <c:pt idx="149">
                  <c:v>6.343186813186813E-2</c:v>
                </c:pt>
                <c:pt idx="150">
                  <c:v>6.6500641025641016E-2</c:v>
                </c:pt>
                <c:pt idx="151">
                  <c:v>6.2613203463203454E-2</c:v>
                </c:pt>
                <c:pt idx="152">
                  <c:v>6.53703125E-2</c:v>
                </c:pt>
                <c:pt idx="153">
                  <c:v>6.9429743589743589E-2</c:v>
                </c:pt>
                <c:pt idx="154">
                  <c:v>7.665000000000001E-2</c:v>
                </c:pt>
                <c:pt idx="155">
                  <c:v>7.481969696969698E-2</c:v>
                </c:pt>
                <c:pt idx="156">
                  <c:v>7.5457902097902083E-2</c:v>
                </c:pt>
                <c:pt idx="157">
                  <c:v>8.1698461538461539E-2</c:v>
                </c:pt>
                <c:pt idx="158">
                  <c:v>8.1532954545454547E-2</c:v>
                </c:pt>
                <c:pt idx="159">
                  <c:v>7.865189393939398E-2</c:v>
                </c:pt>
                <c:pt idx="160">
                  <c:v>7.6734895833333358E-2</c:v>
                </c:pt>
                <c:pt idx="161">
                  <c:v>7.2203333333333342E-2</c:v>
                </c:pt>
                <c:pt idx="162">
                  <c:v>7.5424999999999992E-2</c:v>
                </c:pt>
                <c:pt idx="163">
                  <c:v>7.6457812500000027E-2</c:v>
                </c:pt>
                <c:pt idx="164">
                  <c:v>7.1203968253968242E-2</c:v>
                </c:pt>
                <c:pt idx="165">
                  <c:v>6.4704615384615388E-2</c:v>
                </c:pt>
                <c:pt idx="166">
                  <c:v>6.2770202020202004E-2</c:v>
                </c:pt>
                <c:pt idx="167">
                  <c:v>5.7543750000000018E-2</c:v>
                </c:pt>
                <c:pt idx="168">
                  <c:v>5.9104615384615374E-2</c:v>
                </c:pt>
                <c:pt idx="169">
                  <c:v>5.5915384615384631E-2</c:v>
                </c:pt>
                <c:pt idx="170">
                  <c:v>5.297205128205127E-2</c:v>
                </c:pt>
                <c:pt idx="171">
                  <c:v>5.0270312500000004E-2</c:v>
                </c:pt>
                <c:pt idx="172">
                  <c:v>5.2927604166666677E-2</c:v>
                </c:pt>
                <c:pt idx="173">
                  <c:v>5.3712967032967011E-2</c:v>
                </c:pt>
                <c:pt idx="174">
                  <c:v>5.3471212121212142E-2</c:v>
                </c:pt>
                <c:pt idx="175">
                  <c:v>5.2059801136363645E-2</c:v>
                </c:pt>
                <c:pt idx="176">
                  <c:v>5.0158854166666642E-2</c:v>
                </c:pt>
                <c:pt idx="177">
                  <c:v>4.8958461538461506E-2</c:v>
                </c:pt>
                <c:pt idx="178">
                  <c:v>4.7541538461538468E-2</c:v>
                </c:pt>
                <c:pt idx="179">
                  <c:v>4.9940937500000011E-2</c:v>
                </c:pt>
                <c:pt idx="180">
                  <c:v>4.8170758928571422E-2</c:v>
                </c:pt>
                <c:pt idx="181">
                  <c:v>4.3893650793650818E-2</c:v>
                </c:pt>
              </c:numCache>
            </c:numRef>
          </c:yVal>
          <c:smooth val="1"/>
          <c:extLst>
            <c:ext xmlns:c16="http://schemas.microsoft.com/office/drawing/2014/chart" uri="{C3380CC4-5D6E-409C-BE32-E72D297353CC}">
              <c16:uniqueId val="{00000000-0878-4FF9-AE28-4BEF64094C82}"/>
            </c:ext>
          </c:extLst>
        </c:ser>
        <c:dLbls>
          <c:showLegendKey val="0"/>
          <c:showVal val="0"/>
          <c:showCatName val="0"/>
          <c:showSerName val="0"/>
          <c:showPercent val="0"/>
          <c:showBubbleSize val="0"/>
        </c:dLbls>
        <c:axId val="1143795120"/>
        <c:axId val="1143802192"/>
      </c:scatterChart>
      <c:valAx>
        <c:axId val="1143795120"/>
        <c:scaling>
          <c:orientation val="minMax"/>
          <c:max val="0.15000000000000002"/>
          <c:min val="1.0000000000000002E-2"/>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U.S. Government 30-year Treasury Yield</a:t>
                </a:r>
              </a:p>
            </c:rich>
          </c:tx>
          <c:layout>
            <c:manualLayout>
              <c:xMode val="edge"/>
              <c:yMode val="edge"/>
              <c:x val="0.34729134419095042"/>
              <c:y val="0.9268066266780921"/>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0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143802192"/>
        <c:crosses val="autoZero"/>
        <c:crossBetween val="midCat"/>
      </c:valAx>
      <c:valAx>
        <c:axId val="1143802192"/>
        <c:scaling>
          <c:orientation val="minMax"/>
          <c:max val="9.0000000000000024E-2"/>
          <c:min val="1.0000000000000002E-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Risk Premium</a:t>
                </a:r>
              </a:p>
            </c:rich>
          </c:tx>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0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143795120"/>
        <c:crosses val="autoZero"/>
        <c:crossBetween val="midCat"/>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oddHeader>&amp;RExhibit AEB 1.1, Schedule 7
Page &amp;P of 1</c:oddHeader>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1"/>
          <c:spPr>
            <a:solidFill>
              <a:schemeClr val="tx1"/>
            </a:solidFill>
            <a:ln>
              <a:solidFill>
                <a:schemeClr val="tx1"/>
              </a:solidFill>
            </a:ln>
            <a:effectLst/>
          </c:spPr>
          <c:invertIfNegative val="0"/>
          <c:dPt>
            <c:idx val="0"/>
            <c:invertIfNegative val="0"/>
            <c:bubble3D val="0"/>
            <c:spPr>
              <a:solidFill>
                <a:schemeClr val="tx1"/>
              </a:solidFill>
              <a:ln>
                <a:solidFill>
                  <a:schemeClr val="tx1"/>
                </a:solidFill>
              </a:ln>
              <a:effectLst/>
            </c:spPr>
            <c:extLst>
              <c:ext xmlns:c16="http://schemas.microsoft.com/office/drawing/2014/chart" uri="{C3380CC4-5D6E-409C-BE32-E72D297353CC}">
                <c16:uniqueId val="{00000001-287E-4506-90A0-EDBA1A83F53E}"/>
              </c:ext>
            </c:extLst>
          </c:dPt>
          <c:dPt>
            <c:idx val="1"/>
            <c:invertIfNegative val="0"/>
            <c:bubble3D val="0"/>
            <c:spPr>
              <a:pattFill prst="wdUpDiag">
                <a:fgClr>
                  <a:schemeClr val="tx1"/>
                </a:fgClr>
                <a:bgClr>
                  <a:schemeClr val="bg1"/>
                </a:bgClr>
              </a:pattFill>
              <a:ln>
                <a:solidFill>
                  <a:schemeClr val="tx1"/>
                </a:solidFill>
              </a:ln>
              <a:effectLst/>
            </c:spPr>
            <c:extLst>
              <c:ext xmlns:c16="http://schemas.microsoft.com/office/drawing/2014/chart" uri="{C3380CC4-5D6E-409C-BE32-E72D297353CC}">
                <c16:uniqueId val="{00000003-287E-4506-90A0-EDBA1A83F53E}"/>
              </c:ext>
            </c:extLst>
          </c:dPt>
          <c:dPt>
            <c:idx val="2"/>
            <c:invertIfNegative val="0"/>
            <c:bubble3D val="0"/>
            <c:spPr>
              <a:solidFill>
                <a:schemeClr val="tx1"/>
              </a:solidFill>
              <a:ln>
                <a:solidFill>
                  <a:schemeClr val="tx1"/>
                </a:solidFill>
              </a:ln>
              <a:effectLst/>
            </c:spPr>
            <c:extLst>
              <c:ext xmlns:c16="http://schemas.microsoft.com/office/drawing/2014/chart" uri="{C3380CC4-5D6E-409C-BE32-E72D297353CC}">
                <c16:uniqueId val="{00000005-287E-4506-90A0-EDBA1A83F53E}"/>
              </c:ext>
            </c:extLst>
          </c:dPt>
          <c:dPt>
            <c:idx val="3"/>
            <c:invertIfNegative val="0"/>
            <c:bubble3D val="0"/>
            <c:spPr>
              <a:solidFill>
                <a:schemeClr val="tx1"/>
              </a:solidFill>
              <a:ln>
                <a:solidFill>
                  <a:schemeClr val="tx1"/>
                </a:solidFill>
              </a:ln>
              <a:effectLst/>
            </c:spPr>
            <c:extLst>
              <c:ext xmlns:c16="http://schemas.microsoft.com/office/drawing/2014/chart" uri="{C3380CC4-5D6E-409C-BE32-E72D297353CC}">
                <c16:uniqueId val="{00000007-287E-4506-90A0-EDBA1A83F53E}"/>
              </c:ext>
            </c:extLst>
          </c:dPt>
          <c:dPt>
            <c:idx val="4"/>
            <c:invertIfNegative val="0"/>
            <c:bubble3D val="0"/>
            <c:spPr>
              <a:solidFill>
                <a:schemeClr val="tx1"/>
              </a:solidFill>
              <a:ln>
                <a:solidFill>
                  <a:schemeClr val="tx1"/>
                </a:solidFill>
              </a:ln>
              <a:effectLst/>
            </c:spPr>
            <c:extLst>
              <c:ext xmlns:c16="http://schemas.microsoft.com/office/drawing/2014/chart" uri="{C3380CC4-5D6E-409C-BE32-E72D297353CC}">
                <c16:uniqueId val="{00000009-287E-4506-90A0-EDBA1A83F53E}"/>
              </c:ext>
            </c:extLst>
          </c:dPt>
          <c:dLbls>
            <c:dLbl>
              <c:idx val="0"/>
              <c:layout>
                <c:manualLayout>
                  <c:x val="1.973035287969143E-3"/>
                  <c:y val="6.12217801120762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7E-4506-90A0-EDBA1A83F53E}"/>
                </c:ext>
              </c:extLst>
            </c:dLbl>
            <c:dLbl>
              <c:idx val="1"/>
              <c:layout>
                <c:manualLayout>
                  <c:x val="1.6669833015021298E-3"/>
                  <c:y val="-6.44987034781464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87E-4506-90A0-EDBA1A83F53E}"/>
                </c:ext>
              </c:extLst>
            </c:dLbl>
            <c:dLbl>
              <c:idx val="2"/>
              <c:layout>
                <c:manualLayout>
                  <c:x val="-2.694191433050639E-4"/>
                  <c:y val="-4.98480368470480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87E-4506-90A0-EDBA1A83F53E}"/>
                </c:ext>
              </c:extLst>
            </c:dLbl>
            <c:dLbl>
              <c:idx val="3"/>
              <c:layout>
                <c:manualLayout>
                  <c:x val="5.8092073344216521E-3"/>
                  <c:y val="-1.92492723168787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87E-4506-90A0-EDBA1A83F53E}"/>
                </c:ext>
              </c:extLst>
            </c:dLbl>
            <c:dLbl>
              <c:idx val="4"/>
              <c:layout>
                <c:manualLayout>
                  <c:x val="7.7456097792286335E-3"/>
                  <c:y val="-1.15495633901272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87E-4506-90A0-EDBA1A83F53E}"/>
                </c:ext>
              </c:extLst>
            </c:dLbl>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'AEB-9 CapEx2'!$D$26:$D$31</c:f>
              <c:strCache>
                <c:ptCount val="6"/>
                <c:pt idx="0">
                  <c:v>SWX</c:v>
                </c:pt>
                <c:pt idx="1">
                  <c:v>MidAm</c:v>
                </c:pt>
                <c:pt idx="2">
                  <c:v>NI</c:v>
                </c:pt>
                <c:pt idx="3">
                  <c:v>OGS</c:v>
                </c:pt>
                <c:pt idx="4">
                  <c:v>NWN</c:v>
                </c:pt>
                <c:pt idx="5">
                  <c:v>ATO</c:v>
                </c:pt>
              </c:strCache>
            </c:strRef>
          </c:cat>
          <c:val>
            <c:numRef>
              <c:f>'AEB-9 CapEx2'!$E$26:$E$31</c:f>
              <c:numCache>
                <c:formatCode>0.00%</c:formatCode>
                <c:ptCount val="6"/>
                <c:pt idx="0">
                  <c:v>0.43759996547954672</c:v>
                </c:pt>
                <c:pt idx="1">
                  <c:v>0.46834724963548824</c:v>
                </c:pt>
                <c:pt idx="2">
                  <c:v>0.48812003276631344</c:v>
                </c:pt>
                <c:pt idx="3">
                  <c:v>0.552037993878296</c:v>
                </c:pt>
                <c:pt idx="4">
                  <c:v>0.57168227682005335</c:v>
                </c:pt>
                <c:pt idx="5">
                  <c:v>0.817570078677895</c:v>
                </c:pt>
              </c:numCache>
            </c:numRef>
          </c:val>
          <c:extLst>
            <c:ext xmlns:c16="http://schemas.microsoft.com/office/drawing/2014/chart" uri="{C3380CC4-5D6E-409C-BE32-E72D297353CC}">
              <c16:uniqueId val="{0000000A-287E-4506-90A0-EDBA1A83F53E}"/>
            </c:ext>
          </c:extLst>
        </c:ser>
        <c:dLbls>
          <c:showLegendKey val="0"/>
          <c:showVal val="0"/>
          <c:showCatName val="0"/>
          <c:showSerName val="0"/>
          <c:showPercent val="0"/>
          <c:showBubbleSize val="0"/>
        </c:dLbls>
        <c:gapWidth val="219"/>
        <c:overlap val="-27"/>
        <c:axId val="1065207263"/>
        <c:axId val="1065207679"/>
      </c:barChart>
      <c:scatterChart>
        <c:scatterStyle val="smoothMarker"/>
        <c:varyColors val="0"/>
        <c:ser>
          <c:idx val="1"/>
          <c:order val="0"/>
          <c:spPr>
            <a:ln w="28575" cap="rnd">
              <a:solidFill>
                <a:schemeClr val="accent2"/>
              </a:solidFill>
              <a:round/>
            </a:ln>
            <a:effectLst/>
          </c:spPr>
          <c:marker>
            <c:symbol val="circle"/>
            <c:size val="5"/>
            <c:spPr>
              <a:solidFill>
                <a:schemeClr val="accent2"/>
              </a:solidFill>
              <a:ln w="9525">
                <a:solidFill>
                  <a:schemeClr val="accent2"/>
                </a:solidFill>
              </a:ln>
              <a:effectLst/>
            </c:spPr>
          </c:marker>
          <c:dPt>
            <c:idx val="1"/>
            <c:marker>
              <c:symbol val="circle"/>
              <c:size val="5"/>
              <c:spPr>
                <a:solidFill>
                  <a:schemeClr val="accent2"/>
                </a:solidFill>
                <a:ln w="9525">
                  <a:solidFill>
                    <a:schemeClr val="accent2"/>
                  </a:solidFill>
                </a:ln>
                <a:effectLst/>
              </c:spPr>
            </c:marker>
            <c:bubble3D val="0"/>
            <c:spPr>
              <a:ln w="28575" cap="rnd">
                <a:solidFill>
                  <a:schemeClr val="tx1"/>
                </a:solidFill>
                <a:prstDash val="dash"/>
                <a:round/>
              </a:ln>
              <a:effectLst/>
            </c:spPr>
            <c:extLst>
              <c:ext xmlns:c16="http://schemas.microsoft.com/office/drawing/2014/chart" uri="{C3380CC4-5D6E-409C-BE32-E72D297353CC}">
                <c16:uniqueId val="{0000000C-287E-4506-90A0-EDBA1A83F53E}"/>
              </c:ext>
            </c:extLst>
          </c:dPt>
          <c:xVal>
            <c:numRef>
              <c:f>'AEB-9 CapEx2'!$C$40:$C$41</c:f>
              <c:numCache>
                <c:formatCode>General</c:formatCode>
                <c:ptCount val="2"/>
                <c:pt idx="0">
                  <c:v>0</c:v>
                </c:pt>
                <c:pt idx="1">
                  <c:v>11</c:v>
                </c:pt>
              </c:numCache>
            </c:numRef>
          </c:xVal>
          <c:yVal>
            <c:numRef>
              <c:f>'AEB-9 CapEx2'!$D$40:$D$41</c:f>
              <c:numCache>
                <c:formatCode>0.00%</c:formatCode>
                <c:ptCount val="2"/>
                <c:pt idx="0">
                  <c:v>0.56186013534917467</c:v>
                </c:pt>
                <c:pt idx="1">
                  <c:v>0.56186013534917467</c:v>
                </c:pt>
              </c:numCache>
            </c:numRef>
          </c:yVal>
          <c:smooth val="1"/>
          <c:extLst>
            <c:ext xmlns:c16="http://schemas.microsoft.com/office/drawing/2014/chart" uri="{C3380CC4-5D6E-409C-BE32-E72D297353CC}">
              <c16:uniqueId val="{0000000D-287E-4506-90A0-EDBA1A83F53E}"/>
            </c:ext>
          </c:extLst>
        </c:ser>
        <c:dLbls>
          <c:showLegendKey val="0"/>
          <c:showVal val="0"/>
          <c:showCatName val="0"/>
          <c:showSerName val="0"/>
          <c:showPercent val="0"/>
          <c:showBubbleSize val="0"/>
        </c:dLbls>
        <c:axId val="1895015248"/>
        <c:axId val="1895018992"/>
      </c:scatterChart>
      <c:catAx>
        <c:axId val="1065207263"/>
        <c:scaling>
          <c:orientation val="minMax"/>
        </c:scaling>
        <c:delete val="0"/>
        <c:axPos val="b"/>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065207679"/>
        <c:crosses val="autoZero"/>
        <c:auto val="1"/>
        <c:lblAlgn val="ctr"/>
        <c:lblOffset val="100"/>
        <c:noMultiLvlLbl val="0"/>
      </c:catAx>
      <c:valAx>
        <c:axId val="1065207679"/>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065207263"/>
        <c:crosses val="autoZero"/>
        <c:crossBetween val="between"/>
      </c:valAx>
      <c:valAx>
        <c:axId val="1895018992"/>
        <c:scaling>
          <c:orientation val="minMax"/>
        </c:scaling>
        <c:delete val="1"/>
        <c:axPos val="r"/>
        <c:numFmt formatCode="0.00%" sourceLinked="1"/>
        <c:majorTickMark val="out"/>
        <c:minorTickMark val="none"/>
        <c:tickLblPos val="nextTo"/>
        <c:crossAx val="1895015248"/>
        <c:crosses val="max"/>
        <c:crossBetween val="midCat"/>
      </c:valAx>
      <c:valAx>
        <c:axId val="1895015248"/>
        <c:scaling>
          <c:orientation val="minMax"/>
          <c:max val="10"/>
          <c:min val="1"/>
        </c:scaling>
        <c:delete val="0"/>
        <c:axPos val="t"/>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bg1"/>
                </a:solidFill>
                <a:latin typeface="Times New Roman" panose="02020603050405020304" pitchFamily="18" charset="0"/>
                <a:ea typeface="+mn-ea"/>
                <a:cs typeface="Times New Roman" panose="02020603050405020304" pitchFamily="18" charset="0"/>
              </a:defRPr>
            </a:pPr>
            <a:endParaRPr lang="en-US"/>
          </a:p>
        </c:txPr>
        <c:crossAx val="1895018992"/>
        <c:crosses val="max"/>
        <c:crossBetween val="midCat"/>
      </c:valAx>
      <c:spPr>
        <a:noFill/>
        <a:ln>
          <a:solidFill>
            <a:sysClr val="windowText" lastClr="000000"/>
          </a:solidFill>
        </a:ln>
        <a:effectLst/>
      </c:spPr>
    </c:plotArea>
    <c:plotVisOnly val="1"/>
    <c:dispBlanksAs val="gap"/>
    <c:showDLblsOverMax val="0"/>
  </c:chart>
  <c:spPr>
    <a:solidFill>
      <a:schemeClr val="bg1"/>
    </a:solidFill>
    <a:ln w="9525" cap="flat" cmpd="sng" algn="ctr">
      <a:noFill/>
      <a:round/>
    </a:ln>
    <a:effectLst/>
  </c:spPr>
  <c:txPr>
    <a:bodyPr/>
    <a:lstStyle/>
    <a:p>
      <a:pPr>
        <a:defRPr sz="1100" b="1">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13</xdr:col>
      <xdr:colOff>266700</xdr:colOff>
      <xdr:row>1</xdr:row>
      <xdr:rowOff>93133</xdr:rowOff>
    </xdr:from>
    <xdr:to>
      <xdr:col>25</xdr:col>
      <xdr:colOff>393699</xdr:colOff>
      <xdr:row>25</xdr:row>
      <xdr:rowOff>50800</xdr:rowOff>
    </xdr:to>
    <xdr:graphicFrame macro="">
      <xdr:nvGraphicFramePr>
        <xdr:cNvPr id="2" name="Chart 1">
          <a:extLst>
            <a:ext uri="{FF2B5EF4-FFF2-40B4-BE49-F238E27FC236}">
              <a16:creationId xmlns:a16="http://schemas.microsoft.com/office/drawing/2014/main" id="{546EE14A-01F5-4140-A19C-BF31367D71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523875</xdr:colOff>
      <xdr:row>16</xdr:row>
      <xdr:rowOff>120650</xdr:rowOff>
    </xdr:from>
    <xdr:to>
      <xdr:col>18</xdr:col>
      <xdr:colOff>142875</xdr:colOff>
      <xdr:row>16</xdr:row>
      <xdr:rowOff>120650</xdr:rowOff>
    </xdr:to>
    <xdr:cxnSp macro="">
      <xdr:nvCxnSpPr>
        <xdr:cNvPr id="4" name="Straight Arrow Connector 3">
          <a:extLst>
            <a:ext uri="{FF2B5EF4-FFF2-40B4-BE49-F238E27FC236}">
              <a16:creationId xmlns:a16="http://schemas.microsoft.com/office/drawing/2014/main" id="{175C71F0-C7C4-5482-27C2-0F2CB43626AD}"/>
            </a:ext>
          </a:extLst>
        </xdr:cNvPr>
        <xdr:cNvCxnSpPr/>
      </xdr:nvCxnSpPr>
      <xdr:spPr>
        <a:xfrm>
          <a:off x="12239625" y="3168650"/>
          <a:ext cx="838200"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c:userShapes xmlns:c="http://schemas.openxmlformats.org/drawingml/2006/chart">
  <cdr:relSizeAnchor xmlns:cdr="http://schemas.openxmlformats.org/drawingml/2006/chartDrawing">
    <cdr:from>
      <cdr:x>0.28076</cdr:x>
      <cdr:y>0.20954</cdr:y>
    </cdr:from>
    <cdr:to>
      <cdr:x>0.44149</cdr:x>
      <cdr:y>0.25519</cdr:y>
    </cdr:to>
    <cdr:sp macro="" textlink="">
      <cdr:nvSpPr>
        <cdr:cNvPr id="2" name="TextBox 1">
          <a:extLst xmlns:a="http://schemas.openxmlformats.org/drawingml/2006/main">
            <a:ext uri="{FF2B5EF4-FFF2-40B4-BE49-F238E27FC236}">
              <a16:creationId xmlns:a16="http://schemas.microsoft.com/office/drawing/2014/main" id="{0A457792-F7B5-4332-9C14-41224D22A084}"/>
            </a:ext>
          </a:extLst>
        </cdr:cNvPr>
        <cdr:cNvSpPr txBox="1"/>
      </cdr:nvSpPr>
      <cdr:spPr>
        <a:xfrm xmlns:a="http://schemas.openxmlformats.org/drawingml/2006/main">
          <a:off x="2058897" y="1202531"/>
          <a:ext cx="1178718" cy="26193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0.64812</cdr:x>
      <cdr:y>0.37655</cdr:y>
    </cdr:from>
    <cdr:to>
      <cdr:x>0.7569</cdr:x>
      <cdr:y>0.43672</cdr:y>
    </cdr:to>
    <cdr:sp macro="" textlink="">
      <cdr:nvSpPr>
        <cdr:cNvPr id="3" name="TextBox 2">
          <a:extLst xmlns:a="http://schemas.openxmlformats.org/drawingml/2006/main">
            <a:ext uri="{FF2B5EF4-FFF2-40B4-BE49-F238E27FC236}">
              <a16:creationId xmlns:a16="http://schemas.microsoft.com/office/drawing/2014/main" id="{7380ECD5-C799-4397-B109-C5E8D2582F0D}"/>
            </a:ext>
          </a:extLst>
        </cdr:cNvPr>
        <cdr:cNvSpPr txBox="1"/>
      </cdr:nvSpPr>
      <cdr:spPr>
        <a:xfrm xmlns:a="http://schemas.openxmlformats.org/drawingml/2006/main">
          <a:off x="4841431" y="1757801"/>
          <a:ext cx="812577" cy="28088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b="1">
              <a:latin typeface="Times New Roman" panose="02020603050405020304" pitchFamily="18" charset="0"/>
              <a:cs typeface="Times New Roman" panose="02020603050405020304" pitchFamily="18" charset="0"/>
            </a:rPr>
            <a:t>CAPM</a:t>
          </a:r>
        </a:p>
      </cdr:txBody>
    </cdr:sp>
  </cdr:relSizeAnchor>
  <cdr:relSizeAnchor xmlns:cdr="http://schemas.openxmlformats.org/drawingml/2006/chartDrawing">
    <cdr:from>
      <cdr:x>0.83938</cdr:x>
      <cdr:y>0.67715</cdr:y>
    </cdr:from>
    <cdr:to>
      <cdr:x>0.93971</cdr:x>
      <cdr:y>0.72723</cdr:y>
    </cdr:to>
    <cdr:sp macro="" textlink="">
      <cdr:nvSpPr>
        <cdr:cNvPr id="4" name="TextBox 1">
          <a:extLst xmlns:a="http://schemas.openxmlformats.org/drawingml/2006/main">
            <a:ext uri="{FF2B5EF4-FFF2-40B4-BE49-F238E27FC236}">
              <a16:creationId xmlns:a16="http://schemas.microsoft.com/office/drawing/2014/main" id="{5BEB9929-E302-4329-99E6-31AC07649BE9}"/>
            </a:ext>
          </a:extLst>
        </cdr:cNvPr>
        <cdr:cNvSpPr txBox="1"/>
      </cdr:nvSpPr>
      <cdr:spPr>
        <a:xfrm xmlns:a="http://schemas.openxmlformats.org/drawingml/2006/main">
          <a:off x="6270068" y="3161063"/>
          <a:ext cx="749456" cy="23378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b="1">
              <a:latin typeface="Times New Roman" panose="02020603050405020304" pitchFamily="18" charset="0"/>
              <a:cs typeface="Times New Roman" panose="02020603050405020304" pitchFamily="18" charset="0"/>
            </a:rPr>
            <a:t>ECAPM</a:t>
          </a:r>
        </a:p>
      </cdr:txBody>
    </cdr:sp>
  </cdr:relSizeAnchor>
  <cdr:relSizeAnchor xmlns:cdr="http://schemas.openxmlformats.org/drawingml/2006/chartDrawing">
    <cdr:from>
      <cdr:x>0.51301</cdr:x>
      <cdr:y>0.38559</cdr:y>
    </cdr:from>
    <cdr:to>
      <cdr:x>0.56984</cdr:x>
      <cdr:y>0.38559</cdr:y>
    </cdr:to>
    <cdr:cxnSp macro="">
      <cdr:nvCxnSpPr>
        <cdr:cNvPr id="10" name="Straight Arrow Connector 9">
          <a:extLst xmlns:a="http://schemas.openxmlformats.org/drawingml/2006/main">
            <a:ext uri="{FF2B5EF4-FFF2-40B4-BE49-F238E27FC236}">
              <a16:creationId xmlns:a16="http://schemas.microsoft.com/office/drawing/2014/main" id="{653CABBF-61E2-4E43-AA0A-6C017C891534}"/>
            </a:ext>
          </a:extLst>
        </cdr:cNvPr>
        <cdr:cNvCxnSpPr/>
      </cdr:nvCxnSpPr>
      <cdr:spPr>
        <a:xfrm xmlns:a="http://schemas.openxmlformats.org/drawingml/2006/main" flipV="1">
          <a:off x="4191000" y="2166919"/>
          <a:ext cx="464304" cy="18"/>
        </a:xfrm>
        <a:prstGeom xmlns:a="http://schemas.openxmlformats.org/drawingml/2006/main" prst="straightConnector1">
          <a:avLst/>
        </a:prstGeom>
        <a:ln xmlns:a="http://schemas.openxmlformats.org/drawingml/2006/main" w="19050">
          <a:noFill/>
          <a:prstDash val="dash"/>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0.36481</cdr:x>
      <cdr:y>0.18471</cdr:y>
    </cdr:from>
    <cdr:to>
      <cdr:x>0.69036</cdr:x>
      <cdr:y>0.24279</cdr:y>
    </cdr:to>
    <cdr:sp macro="" textlink="">
      <cdr:nvSpPr>
        <cdr:cNvPr id="11" name="TextBox 1">
          <a:extLst xmlns:a="http://schemas.openxmlformats.org/drawingml/2006/main">
            <a:ext uri="{FF2B5EF4-FFF2-40B4-BE49-F238E27FC236}">
              <a16:creationId xmlns:a16="http://schemas.microsoft.com/office/drawing/2014/main" id="{66204D9D-EE32-4988-B6CD-046DA4C804FD}"/>
            </a:ext>
          </a:extLst>
        </cdr:cNvPr>
        <cdr:cNvSpPr txBox="1"/>
      </cdr:nvSpPr>
      <cdr:spPr>
        <a:xfrm xmlns:a="http://schemas.openxmlformats.org/drawingml/2006/main">
          <a:off x="2725103" y="862262"/>
          <a:ext cx="2431829" cy="27113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b="1">
              <a:latin typeface="Times New Roman" panose="02020603050405020304" pitchFamily="18" charset="0"/>
              <a:cs typeface="Times New Roman" panose="02020603050405020304" pitchFamily="18" charset="0"/>
            </a:rPr>
            <a:t>Constant Growth DCF - Median</a:t>
          </a:r>
        </a:p>
      </cdr:txBody>
    </cdr:sp>
  </cdr:relSizeAnchor>
  <cdr:relSizeAnchor xmlns:cdr="http://schemas.openxmlformats.org/drawingml/2006/chartDrawing">
    <cdr:from>
      <cdr:x>0.39426</cdr:x>
      <cdr:y>0.74237</cdr:y>
    </cdr:from>
    <cdr:to>
      <cdr:x>0.51334</cdr:x>
      <cdr:y>0.8405</cdr:y>
    </cdr:to>
    <cdr:sp macro="" textlink="">
      <cdr:nvSpPr>
        <cdr:cNvPr id="9" name="TextBox 1">
          <a:extLst xmlns:a="http://schemas.openxmlformats.org/drawingml/2006/main">
            <a:ext uri="{FF2B5EF4-FFF2-40B4-BE49-F238E27FC236}">
              <a16:creationId xmlns:a16="http://schemas.microsoft.com/office/drawing/2014/main" id="{5BEB9929-E302-4329-99E6-31AC07649BE9}"/>
            </a:ext>
          </a:extLst>
        </cdr:cNvPr>
        <cdr:cNvSpPr txBox="1"/>
      </cdr:nvSpPr>
      <cdr:spPr>
        <a:xfrm xmlns:a="http://schemas.openxmlformats.org/drawingml/2006/main">
          <a:off x="2945105" y="3465541"/>
          <a:ext cx="889517" cy="4580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b="1">
              <a:latin typeface="Times New Roman" panose="02020603050405020304" pitchFamily="18" charset="0"/>
              <a:cs typeface="Times New Roman" panose="02020603050405020304" pitchFamily="18" charset="0"/>
            </a:rPr>
            <a:t>Risk</a:t>
          </a:r>
          <a:r>
            <a:rPr lang="en-US" sz="1200" b="1" baseline="0">
              <a:latin typeface="Times New Roman" panose="02020603050405020304" pitchFamily="18" charset="0"/>
              <a:cs typeface="Times New Roman" panose="02020603050405020304" pitchFamily="18" charset="0"/>
            </a:rPr>
            <a:t> Premium</a:t>
          </a:r>
          <a:endParaRPr lang="en-US" sz="1200" b="1">
            <a:latin typeface="Times New Roman" panose="02020603050405020304" pitchFamily="18" charset="0"/>
            <a:cs typeface="Times New Roman" panose="02020603050405020304" pitchFamily="18" charset="0"/>
          </a:endParaRPr>
        </a:p>
      </cdr:txBody>
    </cdr:sp>
  </cdr:relSizeAnchor>
  <cdr:relSizeAnchor xmlns:cdr="http://schemas.openxmlformats.org/drawingml/2006/chartDrawing">
    <cdr:from>
      <cdr:x>0.42377</cdr:x>
      <cdr:y>0.45892</cdr:y>
    </cdr:from>
    <cdr:to>
      <cdr:x>0.6172</cdr:x>
      <cdr:y>0.52579</cdr:y>
    </cdr:to>
    <cdr:sp macro="" textlink="">
      <cdr:nvSpPr>
        <cdr:cNvPr id="13" name="TextBox 1">
          <a:extLst xmlns:a="http://schemas.openxmlformats.org/drawingml/2006/main">
            <a:ext uri="{FF2B5EF4-FFF2-40B4-BE49-F238E27FC236}">
              <a16:creationId xmlns:a16="http://schemas.microsoft.com/office/drawing/2014/main" id="{5BEB9929-E302-4329-99E6-31AC07649BE9}"/>
            </a:ext>
          </a:extLst>
        </cdr:cNvPr>
        <cdr:cNvSpPr txBox="1"/>
      </cdr:nvSpPr>
      <cdr:spPr>
        <a:xfrm xmlns:a="http://schemas.openxmlformats.org/drawingml/2006/main">
          <a:off x="3165517" y="2142322"/>
          <a:ext cx="1444904" cy="31216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b="1">
              <a:latin typeface="Times New Roman" panose="02020603050405020304" pitchFamily="18" charset="0"/>
              <a:cs typeface="Times New Roman" panose="02020603050405020304" pitchFamily="18" charset="0"/>
            </a:rPr>
            <a:t>Recommended ROE Range</a:t>
          </a:r>
        </a:p>
      </cdr:txBody>
    </cdr:sp>
  </cdr:relSizeAnchor>
  <cdr:relSizeAnchor xmlns:cdr="http://schemas.openxmlformats.org/drawingml/2006/chartDrawing">
    <cdr:from>
      <cdr:x>0.34782</cdr:x>
      <cdr:y>0.55763</cdr:y>
    </cdr:from>
    <cdr:to>
      <cdr:x>0.67063</cdr:x>
      <cdr:y>0.55878</cdr:y>
    </cdr:to>
    <cdr:cxnSp macro="">
      <cdr:nvCxnSpPr>
        <cdr:cNvPr id="15" name="Straight Arrow Connector 14">
          <a:extLst xmlns:a="http://schemas.openxmlformats.org/drawingml/2006/main">
            <a:ext uri="{FF2B5EF4-FFF2-40B4-BE49-F238E27FC236}">
              <a16:creationId xmlns:a16="http://schemas.microsoft.com/office/drawing/2014/main" id="{BB7D67AE-E52B-E67C-1076-AF6039748FD0}"/>
            </a:ext>
          </a:extLst>
        </cdr:cNvPr>
        <cdr:cNvCxnSpPr/>
      </cdr:nvCxnSpPr>
      <cdr:spPr>
        <a:xfrm xmlns:a="http://schemas.openxmlformats.org/drawingml/2006/main">
          <a:off x="2598203" y="2603124"/>
          <a:ext cx="2411369" cy="5379"/>
        </a:xfrm>
        <a:prstGeom xmlns:a="http://schemas.openxmlformats.org/drawingml/2006/main" prst="straightConnector1">
          <a:avLst/>
        </a:prstGeom>
        <a:ln xmlns:a="http://schemas.openxmlformats.org/drawingml/2006/main" w="12700">
          <a:solidFill>
            <a:schemeClr val="tx1"/>
          </a:solidFill>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0.17158</cdr:x>
      <cdr:y>0.57938</cdr:y>
    </cdr:from>
    <cdr:to>
      <cdr:x>0.29103</cdr:x>
      <cdr:y>0.67384</cdr:y>
    </cdr:to>
    <cdr:sp macro="" textlink="">
      <cdr:nvSpPr>
        <cdr:cNvPr id="5" name="TextBox 1">
          <a:extLst xmlns:a="http://schemas.openxmlformats.org/drawingml/2006/main">
            <a:ext uri="{FF2B5EF4-FFF2-40B4-BE49-F238E27FC236}">
              <a16:creationId xmlns:a16="http://schemas.microsoft.com/office/drawing/2014/main" id="{758D6787-73A8-F2E5-B5C4-B7A85A3073FF}"/>
            </a:ext>
          </a:extLst>
        </cdr:cNvPr>
        <cdr:cNvSpPr txBox="1"/>
      </cdr:nvSpPr>
      <cdr:spPr>
        <a:xfrm xmlns:a="http://schemas.openxmlformats.org/drawingml/2006/main">
          <a:off x="1276351" y="2622550"/>
          <a:ext cx="888592" cy="42756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b="1">
              <a:latin typeface="Times New Roman" panose="02020603050405020304" pitchFamily="18" charset="0"/>
              <a:cs typeface="Times New Roman" panose="02020603050405020304" pitchFamily="18" charset="0"/>
            </a:rPr>
            <a:t>Requested</a:t>
          </a:r>
          <a:r>
            <a:rPr lang="en-US" sz="1200" b="1" baseline="0">
              <a:latin typeface="Times New Roman" panose="02020603050405020304" pitchFamily="18" charset="0"/>
              <a:cs typeface="Times New Roman" panose="02020603050405020304" pitchFamily="18" charset="0"/>
            </a:rPr>
            <a:t> ROE</a:t>
          </a:r>
          <a:endParaRPr lang="en-US" sz="1200" b="1">
            <a:latin typeface="Times New Roman" panose="02020603050405020304" pitchFamily="18" charset="0"/>
            <a:cs typeface="Times New Roman" panose="02020603050405020304" pitchFamily="18" charset="0"/>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6</xdr:col>
      <xdr:colOff>99132</xdr:colOff>
      <xdr:row>2</xdr:row>
      <xdr:rowOff>11434</xdr:rowOff>
    </xdr:from>
    <xdr:to>
      <xdr:col>12</xdr:col>
      <xdr:colOff>753784</xdr:colOff>
      <xdr:row>19</xdr:row>
      <xdr:rowOff>47022</xdr:rowOff>
    </xdr:to>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188383</xdr:colOff>
      <xdr:row>3</xdr:row>
      <xdr:rowOff>142874</xdr:rowOff>
    </xdr:from>
    <xdr:to>
      <xdr:col>4</xdr:col>
      <xdr:colOff>1278466</xdr:colOff>
      <xdr:row>21</xdr:row>
      <xdr:rowOff>12700</xdr:rowOff>
    </xdr:to>
    <xdr:graphicFrame macro="">
      <xdr:nvGraphicFramePr>
        <xdr:cNvPr id="2" name="Chart 1">
          <a:extLst>
            <a:ext uri="{FF2B5EF4-FFF2-40B4-BE49-F238E27FC236}">
              <a16:creationId xmlns:a16="http://schemas.microsoft.com/office/drawing/2014/main" id="{7ABB79A9-86E7-493C-B7E7-EB183FF36A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793749</xdr:colOff>
      <xdr:row>7</xdr:row>
      <xdr:rowOff>12700</xdr:rowOff>
    </xdr:from>
    <xdr:to>
      <xdr:col>2</xdr:col>
      <xdr:colOff>1905000</xdr:colOff>
      <xdr:row>8</xdr:row>
      <xdr:rowOff>76200</xdr:rowOff>
    </xdr:to>
    <xdr:sp macro="" textlink="">
      <xdr:nvSpPr>
        <xdr:cNvPr id="3" name="TextBox 2">
          <a:extLst>
            <a:ext uri="{FF2B5EF4-FFF2-40B4-BE49-F238E27FC236}">
              <a16:creationId xmlns:a16="http://schemas.microsoft.com/office/drawing/2014/main" id="{F44D1759-80C7-454E-9BBC-4CF904565785}"/>
            </a:ext>
          </a:extLst>
        </xdr:cNvPr>
        <xdr:cNvSpPr txBox="1"/>
      </xdr:nvSpPr>
      <xdr:spPr>
        <a:xfrm>
          <a:off x="2012949" y="1346200"/>
          <a:ext cx="1111251" cy="254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latin typeface="Times New Roman" panose="02020603050405020304" pitchFamily="18" charset="0"/>
              <a:cs typeface="Times New Roman" panose="02020603050405020304" pitchFamily="18" charset="0"/>
            </a:rPr>
            <a:t>Median </a:t>
          </a:r>
        </a:p>
      </xdr:txBody>
    </xdr:sp>
    <xdr:clientData/>
  </xdr:twoCellAnchor>
  <xdr:twoCellAnchor>
    <xdr:from>
      <xdr:col>2</xdr:col>
      <xdr:colOff>1155700</xdr:colOff>
      <xdr:row>8</xdr:row>
      <xdr:rowOff>127000</xdr:rowOff>
    </xdr:from>
    <xdr:to>
      <xdr:col>2</xdr:col>
      <xdr:colOff>1295400</xdr:colOff>
      <xdr:row>11</xdr:row>
      <xdr:rowOff>63500</xdr:rowOff>
    </xdr:to>
    <xdr:cxnSp macro="">
      <xdr:nvCxnSpPr>
        <xdr:cNvPr id="4" name="Straight Arrow Connector 3">
          <a:extLst>
            <a:ext uri="{FF2B5EF4-FFF2-40B4-BE49-F238E27FC236}">
              <a16:creationId xmlns:a16="http://schemas.microsoft.com/office/drawing/2014/main" id="{AA66404B-D78E-4942-A380-6B0D01C44253}"/>
            </a:ext>
          </a:extLst>
        </xdr:cNvPr>
        <xdr:cNvCxnSpPr/>
      </xdr:nvCxnSpPr>
      <xdr:spPr>
        <a:xfrm flipH="1">
          <a:off x="2374900" y="1651000"/>
          <a:ext cx="139700" cy="50800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Brattle-2020">
      <a:dk1>
        <a:srgbClr val="000000"/>
      </a:dk1>
      <a:lt1>
        <a:srgbClr val="FFFFFF"/>
      </a:lt1>
      <a:dk2>
        <a:srgbClr val="002B54"/>
      </a:dk2>
      <a:lt2>
        <a:srgbClr val="494F56"/>
      </a:lt2>
      <a:accent1>
        <a:srgbClr val="1B3D6F"/>
      </a:accent1>
      <a:accent2>
        <a:srgbClr val="2297AA"/>
      </a:accent2>
      <a:accent3>
        <a:srgbClr val="37BA95"/>
      </a:accent3>
      <a:accent4>
        <a:srgbClr val="F3BD48"/>
      </a:accent4>
      <a:accent5>
        <a:srgbClr val="F26A25"/>
      </a:accent5>
      <a:accent6>
        <a:srgbClr val="CD3E71"/>
      </a:accent6>
      <a:hlink>
        <a:srgbClr val="2297AA"/>
      </a:hlink>
      <a:folHlink>
        <a:srgbClr val="CD3E7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FCD99-732D-4DE7-8EBD-282414823D9F}">
  <dimension ref="A1"/>
  <sheetViews>
    <sheetView workbookViewId="0"/>
  </sheetViews>
  <sheetFormatPr defaultRowHeight="15"/>
  <sheetData>
    <row r="1" spans="1:1">
      <c r="A1" t="s">
        <v>1530</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A3003-21DD-4FD3-8714-6010C3AF322E}">
  <sheetPr>
    <pageSetUpPr autoPageBreaks="0" fitToPage="1"/>
  </sheetPr>
  <dimension ref="B2:H46"/>
  <sheetViews>
    <sheetView showGridLines="0" view="pageLayout" zoomScaleNormal="85" zoomScaleSheetLayoutView="75" workbookViewId="0">
      <selection activeCell="G15" sqref="G15"/>
    </sheetView>
  </sheetViews>
  <sheetFormatPr defaultColWidth="8.7109375" defaultRowHeight="15" customHeight="1"/>
  <cols>
    <col min="1" max="2" width="8.7109375" style="25"/>
    <col min="3" max="3" width="49.85546875" style="25" customWidth="1"/>
    <col min="4" max="4" width="18" style="25" customWidth="1"/>
    <col min="5" max="5" width="20.140625" style="25" customWidth="1"/>
    <col min="6" max="6" width="22.28515625" style="25" customWidth="1"/>
    <col min="7" max="16384" width="8.7109375" style="25"/>
  </cols>
  <sheetData>
    <row r="2" spans="3:5" ht="15" customHeight="1">
      <c r="C2" s="226" t="str">
        <f>'AEB-9 CapEx1'!B2</f>
        <v>CAPITAL EXPENDITURES AS A PERCENTAGE OF NET PLANT</v>
      </c>
      <c r="D2" s="226"/>
      <c r="E2" s="226"/>
    </row>
    <row r="21" spans="2:6" ht="15" customHeight="1">
      <c r="C21" s="365"/>
      <c r="D21" s="365"/>
      <c r="E21" s="365"/>
      <c r="F21" s="160"/>
    </row>
    <row r="23" spans="2:6" ht="15" customHeight="1">
      <c r="E23" s="159" t="s">
        <v>1114</v>
      </c>
    </row>
    <row r="24" spans="2:6" ht="15" customHeight="1">
      <c r="E24" s="159" t="s">
        <v>1115</v>
      </c>
    </row>
    <row r="25" spans="2:6" ht="15" customHeight="1" thickBot="1">
      <c r="C25" s="37" t="s">
        <v>0</v>
      </c>
      <c r="D25" s="176"/>
      <c r="E25" s="176" t="s">
        <v>1044</v>
      </c>
    </row>
    <row r="26" spans="2:6" ht="15" customHeight="1">
      <c r="B26" s="25">
        <v>1</v>
      </c>
      <c r="C26" s="26" t="str">
        <f>INDEX('AEB-9 CapEx1'!$B$12:$B$46,MATCH(D26,'AEB-9 CapEx1'!$D$12:$D$46,0))</f>
        <v>Southwest Gas Corporation</v>
      </c>
      <c r="D26" s="177" t="str">
        <f>INDEX('AEB-9 CapEx1'!$N$12:$N$46,MATCH($B26,'AEB-9 CapEx1'!$M$12:$M$46,0))</f>
        <v>SWX</v>
      </c>
      <c r="E26" s="178">
        <f>INDEX('AEB-9 CapEx1'!$K$12:$K$46,MATCH('AEB-9 CapEx2'!D26,'AEB-9 CapEx1'!$N$12:$N$46,0))</f>
        <v>0.43759996547954672</v>
      </c>
    </row>
    <row r="27" spans="2:6" ht="15" customHeight="1">
      <c r="B27" s="25">
        <v>2</v>
      </c>
      <c r="C27" s="26" t="str">
        <f>INDEX('AEB-9 CapEx1'!$B$12:$B$46,MATCH(D27,'AEB-9 CapEx1'!$D$12:$D$46,0))</f>
        <v>MidAmerican</v>
      </c>
      <c r="D27" s="27" t="str">
        <f>INDEX('AEB-9 CapEx1'!$N$12:$N$46,MATCH($B27,'AEB-9 CapEx1'!$M$12:$M$46,0))</f>
        <v>MidAm</v>
      </c>
      <c r="E27" s="28">
        <f>INDEX('AEB-9 CapEx1'!$K$12:$K$46,MATCH('AEB-9 CapEx2'!D27,'AEB-9 CapEx1'!$N$12:$N$46,0))</f>
        <v>0.46834724963548824</v>
      </c>
    </row>
    <row r="28" spans="2:6" ht="15" customHeight="1">
      <c r="B28" s="25">
        <v>3</v>
      </c>
      <c r="C28" s="26" t="str">
        <f>INDEX('AEB-9 CapEx1'!$B$12:$B$46,MATCH(D28,'AEB-9 CapEx1'!$D$12:$D$46,0))</f>
        <v>NiSource Inc.</v>
      </c>
      <c r="D28" s="27" t="str">
        <f>INDEX('AEB-9 CapEx1'!$N$12:$N$46,MATCH($B28,'AEB-9 CapEx1'!$M$12:$M$46,0))</f>
        <v>NI</v>
      </c>
      <c r="E28" s="28">
        <f>INDEX('AEB-9 CapEx1'!$K$12:$K$46,MATCH('AEB-9 CapEx2'!D28,'AEB-9 CapEx1'!$N$12:$N$46,0))</f>
        <v>0.48812003276631344</v>
      </c>
    </row>
    <row r="29" spans="2:6" ht="15" customHeight="1">
      <c r="B29" s="25">
        <v>4</v>
      </c>
      <c r="C29" s="26" t="str">
        <f>INDEX('AEB-9 CapEx1'!$B$12:$B$46,MATCH(D29,'AEB-9 CapEx1'!$D$12:$D$46,0))</f>
        <v>ONE Gas, Inc.</v>
      </c>
      <c r="D29" s="27" t="str">
        <f>INDEX('AEB-9 CapEx1'!$N$12:$N$46,MATCH($B29,'AEB-9 CapEx1'!$M$12:$M$46,0))</f>
        <v>OGS</v>
      </c>
      <c r="E29" s="28">
        <f>INDEX('AEB-9 CapEx1'!$K$12:$K$46,MATCH('AEB-9 CapEx2'!D29,'AEB-9 CapEx1'!$N$12:$N$46,0))</f>
        <v>0.552037993878296</v>
      </c>
      <c r="F29" s="38"/>
    </row>
    <row r="30" spans="2:6" ht="15" customHeight="1">
      <c r="B30" s="25">
        <v>5</v>
      </c>
      <c r="C30" s="26" t="str">
        <f>INDEX('AEB-9 CapEx1'!$B$12:$B$46,MATCH(D30,'AEB-9 CapEx1'!$D$12:$D$46,0))</f>
        <v>Northwest Natural Gas Company</v>
      </c>
      <c r="D30" s="27" t="str">
        <f>INDEX('AEB-9 CapEx1'!$N$12:$N$46,MATCH($B30,'AEB-9 CapEx1'!$M$12:$M$46,0))</f>
        <v>NWN</v>
      </c>
      <c r="E30" s="28">
        <f>INDEX('AEB-9 CapEx1'!$K$12:$K$46,MATCH('AEB-9 CapEx2'!D30,'AEB-9 CapEx1'!$N$12:$N$46,0))</f>
        <v>0.57168227682005335</v>
      </c>
    </row>
    <row r="31" spans="2:6" ht="15" customHeight="1">
      <c r="B31" s="25">
        <v>6</v>
      </c>
      <c r="C31" s="26" t="str">
        <f>INDEX('AEB-9 CapEx1'!$B$12:$B$46,MATCH(D31,'AEB-9 CapEx1'!$D$12:$D$46,0))</f>
        <v>Atmos Energy Corporation</v>
      </c>
      <c r="D31" s="27" t="str">
        <f>INDEX('AEB-9 CapEx1'!$N$12:$N$46,MATCH($B31,'AEB-9 CapEx1'!$M$12:$M$46,0))</f>
        <v>ATO</v>
      </c>
      <c r="E31" s="28">
        <f>INDEX('AEB-9 CapEx1'!$K$12:$K$46,MATCH('AEB-9 CapEx2'!D31,'AEB-9 CapEx1'!$N$12:$N$46,0))</f>
        <v>0.817570078677895</v>
      </c>
    </row>
    <row r="32" spans="2:6" ht="15" customHeight="1">
      <c r="B32" s="25">
        <v>7</v>
      </c>
      <c r="C32" s="26" t="str">
        <f>INDEX('AEB-9 CapEx1'!$B$12:$B$46,MATCH(D32,'AEB-9 CapEx1'!$D$12:$D$46,0))</f>
        <v>Chesapeake Utilities Corporation</v>
      </c>
      <c r="D32" s="27" t="str">
        <f>INDEX('AEB-9 CapEx1'!$N$12:$N$46,MATCH($B32,'AEB-9 CapEx1'!$M$12:$M$46,0))</f>
        <v>CPK</v>
      </c>
      <c r="E32" s="28">
        <f>INDEX('AEB-9 CapEx1'!$K$12:$K$46,MATCH('AEB-9 CapEx2'!D32,'AEB-9 CapEx1'!$N$12:$N$46,0))</f>
        <v>0.90835043612108779</v>
      </c>
    </row>
    <row r="34" spans="3:8" ht="15" customHeight="1">
      <c r="C34" s="179" t="s">
        <v>1050</v>
      </c>
      <c r="D34" s="180"/>
      <c r="E34" s="181">
        <f>'AEB-9 CapEx1'!K49</f>
        <v>0.56186013534917467</v>
      </c>
      <c r="H34" s="29"/>
    </row>
    <row r="35" spans="3:8" ht="15" customHeight="1">
      <c r="C35" s="143" t="s">
        <v>1534</v>
      </c>
      <c r="D35" s="30"/>
      <c r="E35" s="31">
        <f>'AEB-9 CapEx1'!K50</f>
        <v>0.83356554446495523</v>
      </c>
      <c r="H35" s="29"/>
    </row>
    <row r="37" spans="3:8" ht="15" customHeight="1">
      <c r="C37" s="32" t="s">
        <v>839</v>
      </c>
    </row>
    <row r="38" spans="3:8" ht="15" customHeight="1">
      <c r="C38" s="11" t="s">
        <v>1474</v>
      </c>
      <c r="D38" s="33" t="s">
        <v>868</v>
      </c>
    </row>
    <row r="39" spans="3:8" ht="15" customHeight="1">
      <c r="C39" s="34"/>
      <c r="D39" s="33"/>
      <c r="E39" s="35"/>
    </row>
    <row r="40" spans="3:8" ht="15" customHeight="1">
      <c r="C40" s="35">
        <v>0</v>
      </c>
      <c r="D40" s="36">
        <f>$E$34</f>
        <v>0.56186013534917467</v>
      </c>
      <c r="E40" s="35"/>
    </row>
    <row r="41" spans="3:8" ht="15" customHeight="1">
      <c r="C41" s="35">
        <v>11</v>
      </c>
      <c r="D41" s="36">
        <f>$E$34</f>
        <v>0.56186013534917467</v>
      </c>
      <c r="E41" s="35"/>
    </row>
    <row r="42" spans="3:8" ht="15" customHeight="1">
      <c r="C42" s="35"/>
      <c r="D42" s="35"/>
      <c r="E42" s="35"/>
    </row>
    <row r="43" spans="3:8" ht="15" customHeight="1">
      <c r="C43" s="35"/>
      <c r="D43" s="35"/>
      <c r="E43" s="35"/>
    </row>
    <row r="44" spans="3:8" ht="15" customHeight="1">
      <c r="C44" s="35"/>
      <c r="D44" s="35"/>
      <c r="E44" s="35"/>
    </row>
    <row r="45" spans="3:8" ht="15" customHeight="1">
      <c r="C45" s="35"/>
      <c r="D45" s="35"/>
      <c r="E45" s="35"/>
    </row>
    <row r="46" spans="3:8" ht="15" customHeight="1">
      <c r="C46" s="35"/>
      <c r="D46" s="35"/>
      <c r="E46" s="35"/>
    </row>
  </sheetData>
  <mergeCells count="1">
    <mergeCell ref="C21:E21"/>
  </mergeCells>
  <printOptions horizontalCentered="1"/>
  <pageMargins left="0.7" right="0.7" top="1.25" bottom="0.75" header="0.3" footer="0.3"/>
  <pageSetup scale="86" orientation="portrait" useFirstPageNumber="1" horizontalDpi="1200" verticalDpi="1200" r:id="rId1"/>
  <headerFooter scaleWithDoc="0">
    <oddHeader>&amp;C&amp;"Times New Roman,Regular"&amp;9MIDAMERICAN ENERGY COMPANY
2026 SOUTH DAKOTA GAS RATE CASE
Docket No. NG26-____
FOR THE YEAR ENDING DECEMBER 31, 2025
Individual Responsible: Ann Bulkley&amp;R&amp;"Times New Roman,Regular"&amp;9Exhibit AEB 1.1
&amp;A
Page &amp;P of &amp;N</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B2:Q160"/>
  <sheetViews>
    <sheetView showGridLines="0" view="pageLayout" zoomScale="70" zoomScaleNormal="115" zoomScaleSheetLayoutView="85" zoomScalePageLayoutView="70" workbookViewId="0">
      <selection activeCell="G15" sqref="G15"/>
    </sheetView>
  </sheetViews>
  <sheetFormatPr defaultColWidth="9.140625" defaultRowHeight="12.75"/>
  <cols>
    <col min="1" max="1" width="2.7109375" style="78" customWidth="1"/>
    <col min="2" max="2" width="28.28515625" style="78" customWidth="1"/>
    <col min="3" max="3" width="28.42578125" style="78" bestFit="1" customWidth="1"/>
    <col min="4" max="4" width="14.85546875" style="78" customWidth="1"/>
    <col min="5" max="5" width="6.5703125" style="78" bestFit="1" customWidth="1"/>
    <col min="6" max="6" width="13.85546875" style="78" bestFit="1" customWidth="1"/>
    <col min="7" max="7" width="13.7109375" style="78" bestFit="1" customWidth="1"/>
    <col min="8" max="8" width="4.5703125" style="78" customWidth="1"/>
    <col min="9" max="9" width="10.140625" style="78" bestFit="1" customWidth="1"/>
    <col min="10" max="10" width="8.42578125" style="78" bestFit="1" customWidth="1"/>
    <col min="11" max="11" width="12.5703125" style="78" bestFit="1" customWidth="1"/>
    <col min="12" max="13" width="8.5703125" style="78" customWidth="1"/>
    <col min="14" max="14" width="4.5703125" style="78" customWidth="1"/>
    <col min="15" max="15" width="5.85546875" style="78" bestFit="1" customWidth="1"/>
    <col min="16" max="16" width="6.85546875" style="78" bestFit="1" customWidth="1"/>
    <col min="17" max="17" width="6.140625" style="78" customWidth="1"/>
    <col min="18" max="16384" width="9.140625" style="78"/>
  </cols>
  <sheetData>
    <row r="2" spans="2:17">
      <c r="B2" s="182"/>
      <c r="C2" s="182"/>
      <c r="D2" s="182"/>
      <c r="E2" s="182"/>
      <c r="F2" s="182"/>
      <c r="G2" s="182"/>
      <c r="H2" s="182"/>
      <c r="I2" s="182"/>
      <c r="J2" s="182"/>
      <c r="K2" s="182"/>
      <c r="L2" s="182"/>
      <c r="M2" s="182"/>
      <c r="N2" s="182"/>
      <c r="O2" s="182"/>
      <c r="P2" s="182"/>
      <c r="Q2" s="183"/>
    </row>
    <row r="3" spans="2:17">
      <c r="B3" s="184" t="s">
        <v>1021</v>
      </c>
      <c r="C3" s="184"/>
      <c r="D3" s="184"/>
      <c r="E3" s="184"/>
      <c r="F3" s="184"/>
      <c r="G3" s="184"/>
      <c r="H3" s="184"/>
      <c r="I3" s="184"/>
      <c r="J3" s="184"/>
      <c r="K3" s="184"/>
      <c r="L3" s="184"/>
      <c r="M3" s="184"/>
      <c r="N3" s="184"/>
      <c r="O3" s="184"/>
      <c r="P3" s="184"/>
      <c r="Q3" s="185"/>
    </row>
    <row r="5" spans="2:17">
      <c r="F5" s="182" t="s">
        <v>859</v>
      </c>
      <c r="G5" s="186"/>
      <c r="I5" s="182" t="s">
        <v>860</v>
      </c>
      <c r="J5" s="182" t="s">
        <v>861</v>
      </c>
      <c r="K5" s="182" t="s">
        <v>38</v>
      </c>
      <c r="L5" s="182" t="s">
        <v>39</v>
      </c>
      <c r="M5" s="186"/>
      <c r="O5" s="182" t="s">
        <v>40</v>
      </c>
      <c r="P5" s="186"/>
    </row>
    <row r="6" spans="2:17">
      <c r="H6" s="186"/>
      <c r="I6" s="187" t="s">
        <v>1531</v>
      </c>
      <c r="J6" s="187"/>
      <c r="K6" s="187"/>
      <c r="L6" s="187"/>
      <c r="M6" s="187"/>
      <c r="N6" s="188"/>
    </row>
    <row r="7" spans="2:17">
      <c r="B7" s="183"/>
      <c r="C7" s="183"/>
      <c r="D7" s="183"/>
      <c r="E7" s="183"/>
      <c r="F7" s="183"/>
      <c r="G7" s="189"/>
      <c r="H7" s="188"/>
      <c r="J7" s="190" t="s">
        <v>1367</v>
      </c>
      <c r="K7" s="190" t="s">
        <v>1368</v>
      </c>
      <c r="O7" s="189"/>
      <c r="P7" s="189"/>
      <c r="Q7" s="189"/>
    </row>
    <row r="8" spans="2:17">
      <c r="B8" s="191"/>
      <c r="C8" s="191"/>
      <c r="D8" s="192"/>
      <c r="E8" s="192" t="s">
        <v>1369</v>
      </c>
      <c r="F8" s="182" t="s">
        <v>1023</v>
      </c>
      <c r="G8" s="193"/>
      <c r="H8" s="188"/>
      <c r="I8" s="182" t="s">
        <v>1370</v>
      </c>
      <c r="J8" s="182" t="s">
        <v>1371</v>
      </c>
      <c r="K8" s="182" t="s">
        <v>1372</v>
      </c>
      <c r="L8" s="182" t="s">
        <v>1532</v>
      </c>
      <c r="M8" s="193"/>
      <c r="N8" s="188"/>
      <c r="O8" s="182" t="s">
        <v>1373</v>
      </c>
      <c r="P8" s="193"/>
      <c r="Q8" s="189"/>
    </row>
    <row r="9" spans="2:17" ht="13.5" thickBot="1">
      <c r="B9" s="194" t="s">
        <v>0</v>
      </c>
      <c r="C9" s="194" t="s">
        <v>1022</v>
      </c>
      <c r="D9" s="194" t="s">
        <v>1374</v>
      </c>
      <c r="E9" s="194" t="s">
        <v>1375</v>
      </c>
      <c r="F9" s="195" t="s">
        <v>1376</v>
      </c>
      <c r="G9" s="196"/>
      <c r="H9" s="197"/>
      <c r="I9" s="195" t="s">
        <v>1377</v>
      </c>
      <c r="J9" s="195" t="s">
        <v>1378</v>
      </c>
      <c r="K9" s="195" t="s">
        <v>1379</v>
      </c>
      <c r="L9" s="195" t="s">
        <v>1533</v>
      </c>
      <c r="M9" s="196"/>
      <c r="N9" s="197"/>
      <c r="O9" s="195" t="s">
        <v>1380</v>
      </c>
      <c r="P9" s="196"/>
      <c r="Q9" s="198"/>
    </row>
    <row r="10" spans="2:17" ht="14.25" customHeight="1">
      <c r="C10" s="130"/>
      <c r="D10" s="131"/>
      <c r="E10" s="131"/>
      <c r="F10" s="130"/>
      <c r="G10" s="130"/>
      <c r="H10" s="130"/>
      <c r="I10" s="130"/>
      <c r="J10" s="130"/>
      <c r="K10" s="130"/>
      <c r="L10" s="130"/>
      <c r="M10" s="130"/>
      <c r="N10" s="130"/>
      <c r="O10" s="130"/>
      <c r="P10" s="130"/>
      <c r="Q10" s="130"/>
    </row>
    <row r="11" spans="2:17" ht="14.45" customHeight="1">
      <c r="B11" s="78" t="s">
        <v>1381</v>
      </c>
      <c r="C11" s="131" t="s">
        <v>1381</v>
      </c>
      <c r="D11" s="131" t="s">
        <v>1024</v>
      </c>
      <c r="E11" s="130" t="s">
        <v>1025</v>
      </c>
      <c r="F11" s="130"/>
      <c r="G11" s="130" t="s">
        <v>1093</v>
      </c>
      <c r="H11" s="130"/>
      <c r="I11" s="132" t="s">
        <v>1027</v>
      </c>
      <c r="J11" s="132" t="s">
        <v>1026</v>
      </c>
      <c r="K11" s="132" t="s">
        <v>1026</v>
      </c>
      <c r="L11" s="130"/>
      <c r="M11" s="132" t="str">
        <f>IF(AND(I11="No",J11="No",K11="No"),"No","Yes")</f>
        <v>Yes</v>
      </c>
      <c r="N11" s="130"/>
      <c r="O11" s="130"/>
      <c r="P11" s="130" t="s">
        <v>1027</v>
      </c>
      <c r="Q11" s="130"/>
    </row>
    <row r="12" spans="2:17">
      <c r="C12" s="131" t="s">
        <v>1381</v>
      </c>
      <c r="D12" s="131" t="s">
        <v>1028</v>
      </c>
      <c r="E12" s="130" t="s">
        <v>1025</v>
      </c>
      <c r="F12" s="130"/>
      <c r="G12" s="130" t="s">
        <v>1094</v>
      </c>
      <c r="H12" s="130"/>
      <c r="I12" s="132" t="s">
        <v>1027</v>
      </c>
      <c r="J12" s="132" t="s">
        <v>1026</v>
      </c>
      <c r="K12" s="132" t="s">
        <v>1026</v>
      </c>
      <c r="L12" s="130"/>
      <c r="M12" s="132" t="str">
        <f t="shared" ref="M12:M33" si="0">IF(AND(I12="No",J12="No",K12="No"),"No","Yes")</f>
        <v>Yes</v>
      </c>
      <c r="N12" s="130"/>
      <c r="O12" s="130"/>
      <c r="P12" s="130" t="s">
        <v>1027</v>
      </c>
      <c r="Q12" s="130"/>
    </row>
    <row r="13" spans="2:17">
      <c r="C13" s="131" t="s">
        <v>1381</v>
      </c>
      <c r="D13" s="77" t="s">
        <v>1029</v>
      </c>
      <c r="E13" s="130" t="s">
        <v>1025</v>
      </c>
      <c r="F13" s="130"/>
      <c r="G13" s="130" t="s">
        <v>1093</v>
      </c>
      <c r="H13" s="130"/>
      <c r="I13" s="132" t="s">
        <v>1027</v>
      </c>
      <c r="J13" s="132" t="s">
        <v>1027</v>
      </c>
      <c r="K13" s="132" t="s">
        <v>1026</v>
      </c>
      <c r="L13" s="130"/>
      <c r="M13" s="132" t="str">
        <f t="shared" si="0"/>
        <v>Yes</v>
      </c>
      <c r="N13" s="130"/>
      <c r="O13" s="130"/>
      <c r="P13" s="130" t="s">
        <v>1026</v>
      </c>
      <c r="Q13" s="130"/>
    </row>
    <row r="14" spans="2:17">
      <c r="C14" s="131" t="s">
        <v>1381</v>
      </c>
      <c r="D14" s="77" t="s">
        <v>1030</v>
      </c>
      <c r="E14" s="130" t="s">
        <v>1025</v>
      </c>
      <c r="F14" s="130"/>
      <c r="G14" s="130" t="s">
        <v>1093</v>
      </c>
      <c r="H14" s="130"/>
      <c r="I14" s="132" t="s">
        <v>1027</v>
      </c>
      <c r="J14" s="130" t="s">
        <v>1027</v>
      </c>
      <c r="K14" s="132" t="s">
        <v>1026</v>
      </c>
      <c r="L14" s="130"/>
      <c r="M14" s="132" t="str">
        <f t="shared" si="0"/>
        <v>Yes</v>
      </c>
      <c r="N14" s="130"/>
      <c r="O14" s="130"/>
      <c r="P14" s="130" t="s">
        <v>1027</v>
      </c>
      <c r="Q14" s="130"/>
    </row>
    <row r="15" spans="2:17">
      <c r="C15" s="131" t="s">
        <v>1381</v>
      </c>
      <c r="D15" s="77" t="s">
        <v>1031</v>
      </c>
      <c r="E15" s="130" t="s">
        <v>1025</v>
      </c>
      <c r="F15" s="130"/>
      <c r="G15" s="130" t="s">
        <v>1093</v>
      </c>
      <c r="H15" s="130"/>
      <c r="I15" s="132" t="s">
        <v>1027</v>
      </c>
      <c r="J15" s="130" t="s">
        <v>1027</v>
      </c>
      <c r="K15" s="132" t="s">
        <v>1026</v>
      </c>
      <c r="L15" s="130"/>
      <c r="M15" s="132" t="str">
        <f t="shared" si="0"/>
        <v>Yes</v>
      </c>
      <c r="N15" s="130"/>
      <c r="O15" s="130"/>
      <c r="P15" s="130" t="s">
        <v>1026</v>
      </c>
      <c r="Q15" s="130"/>
    </row>
    <row r="16" spans="2:17">
      <c r="C16" s="131" t="s">
        <v>1381</v>
      </c>
      <c r="D16" s="131" t="s">
        <v>1382</v>
      </c>
      <c r="E16" s="130" t="s">
        <v>1025</v>
      </c>
      <c r="F16" s="130"/>
      <c r="G16" s="130" t="s">
        <v>1093</v>
      </c>
      <c r="H16" s="130"/>
      <c r="I16" s="132" t="s">
        <v>1027</v>
      </c>
      <c r="J16" s="130" t="s">
        <v>1027</v>
      </c>
      <c r="K16" s="132" t="s">
        <v>1026</v>
      </c>
      <c r="L16" s="130"/>
      <c r="M16" s="132" t="str">
        <f t="shared" si="0"/>
        <v>Yes</v>
      </c>
      <c r="N16" s="130"/>
      <c r="O16" s="130"/>
      <c r="P16" s="130" t="s">
        <v>1027</v>
      </c>
      <c r="Q16" s="130"/>
    </row>
    <row r="17" spans="2:17">
      <c r="C17" s="131" t="s">
        <v>1381</v>
      </c>
      <c r="D17" s="131" t="s">
        <v>1037</v>
      </c>
      <c r="E17" s="130" t="s">
        <v>1025</v>
      </c>
      <c r="F17" s="130"/>
      <c r="G17" s="130" t="s">
        <v>1093</v>
      </c>
      <c r="H17" s="130"/>
      <c r="I17" s="132" t="s">
        <v>1027</v>
      </c>
      <c r="J17" s="130" t="s">
        <v>1026</v>
      </c>
      <c r="K17" s="132" t="s">
        <v>1026</v>
      </c>
      <c r="L17" s="130"/>
      <c r="M17" s="132" t="str">
        <f t="shared" si="0"/>
        <v>Yes</v>
      </c>
      <c r="N17" s="130"/>
      <c r="O17" s="130"/>
      <c r="P17" s="130" t="s">
        <v>1027</v>
      </c>
      <c r="Q17" s="130"/>
    </row>
    <row r="18" spans="2:17" ht="15">
      <c r="B18" s="87" t="s">
        <v>1361</v>
      </c>
      <c r="C18" s="131" t="s">
        <v>1402</v>
      </c>
      <c r="D18" s="131" t="s">
        <v>1277</v>
      </c>
      <c r="E18" s="130" t="s">
        <v>1025</v>
      </c>
      <c r="F18" s="130"/>
      <c r="G18" s="82" t="s">
        <v>1095</v>
      </c>
      <c r="H18" s="130"/>
      <c r="I18" s="132" t="s">
        <v>1026</v>
      </c>
      <c r="J18" s="130" t="s">
        <v>1026</v>
      </c>
      <c r="K18" s="132" t="s">
        <v>1026</v>
      </c>
      <c r="L18" s="130"/>
      <c r="M18" s="132" t="str">
        <f t="shared" si="0"/>
        <v>No</v>
      </c>
      <c r="N18" s="130"/>
      <c r="O18" s="130"/>
      <c r="P18" s="214" t="s">
        <v>1027</v>
      </c>
      <c r="Q18" s="130"/>
    </row>
    <row r="19" spans="2:17" ht="15">
      <c r="C19" s="131" t="s">
        <v>1443</v>
      </c>
      <c r="D19" s="131" t="s">
        <v>1279</v>
      </c>
      <c r="E19" s="130" t="s">
        <v>1025</v>
      </c>
      <c r="F19" s="130"/>
      <c r="G19" s="82" t="s">
        <v>1094</v>
      </c>
      <c r="H19" s="130"/>
      <c r="I19" s="132" t="s">
        <v>1026</v>
      </c>
      <c r="J19" s="130" t="s">
        <v>1026</v>
      </c>
      <c r="K19" s="132" t="s">
        <v>1026</v>
      </c>
      <c r="L19" s="130"/>
      <c r="M19" s="132" t="str">
        <f t="shared" si="0"/>
        <v>No</v>
      </c>
      <c r="N19" s="130"/>
      <c r="O19" s="130"/>
      <c r="P19" s="214" t="s">
        <v>1027</v>
      </c>
      <c r="Q19" s="130"/>
    </row>
    <row r="20" spans="2:17" ht="15">
      <c r="C20" s="131" t="s">
        <v>1443</v>
      </c>
      <c r="D20" s="131" t="s">
        <v>1279</v>
      </c>
      <c r="E20" s="130" t="s">
        <v>1033</v>
      </c>
      <c r="F20" s="130"/>
      <c r="G20" s="82" t="s">
        <v>1094</v>
      </c>
      <c r="H20" s="130"/>
      <c r="I20" s="132" t="s">
        <v>1026</v>
      </c>
      <c r="J20" s="130" t="s">
        <v>1026</v>
      </c>
      <c r="K20" s="132" t="s">
        <v>1026</v>
      </c>
      <c r="L20" s="130"/>
      <c r="M20" s="132" t="str">
        <f t="shared" ref="M20" si="1">IF(AND(I20="No",J20="No",K20="No"),"No","Yes")</f>
        <v>No</v>
      </c>
      <c r="N20" s="130"/>
      <c r="O20" s="130"/>
      <c r="P20" s="214" t="s">
        <v>1027</v>
      </c>
      <c r="Q20" s="130"/>
    </row>
    <row r="21" spans="2:17" ht="12.75" customHeight="1">
      <c r="B21" s="78" t="s">
        <v>5</v>
      </c>
      <c r="C21" s="131" t="s">
        <v>1383</v>
      </c>
      <c r="D21" s="131" t="s">
        <v>1032</v>
      </c>
      <c r="E21" s="130" t="s">
        <v>1033</v>
      </c>
      <c r="F21" s="130"/>
      <c r="G21" s="82" t="s">
        <v>1094</v>
      </c>
      <c r="H21" s="130"/>
      <c r="I21" s="132" t="s">
        <v>1027</v>
      </c>
      <c r="J21" s="130" t="s">
        <v>1026</v>
      </c>
      <c r="K21" s="132" t="s">
        <v>1026</v>
      </c>
      <c r="L21" s="130"/>
      <c r="M21" s="132" t="str">
        <f t="shared" si="0"/>
        <v>Yes</v>
      </c>
      <c r="N21" s="130"/>
      <c r="O21" s="130"/>
      <c r="P21" s="130" t="s">
        <v>1027</v>
      </c>
      <c r="Q21" s="130"/>
    </row>
    <row r="22" spans="2:17">
      <c r="C22" s="131" t="s">
        <v>1383</v>
      </c>
      <c r="D22" s="131" t="s">
        <v>1032</v>
      </c>
      <c r="E22" s="130" t="s">
        <v>1025</v>
      </c>
      <c r="F22" s="130"/>
      <c r="G22" s="82" t="s">
        <v>1094</v>
      </c>
      <c r="H22" s="130"/>
      <c r="I22" s="132" t="s">
        <v>1027</v>
      </c>
      <c r="J22" s="130" t="s">
        <v>1026</v>
      </c>
      <c r="K22" s="132" t="s">
        <v>1026</v>
      </c>
      <c r="L22" s="130"/>
      <c r="M22" s="132" t="str">
        <f t="shared" si="0"/>
        <v>Yes</v>
      </c>
      <c r="N22" s="130"/>
      <c r="O22" s="130"/>
      <c r="P22" s="130" t="s">
        <v>1027</v>
      </c>
      <c r="Q22" s="130"/>
    </row>
    <row r="23" spans="2:17">
      <c r="C23" s="131" t="s">
        <v>1384</v>
      </c>
      <c r="D23" s="131" t="s">
        <v>1028</v>
      </c>
      <c r="E23" s="130" t="s">
        <v>1025</v>
      </c>
      <c r="F23" s="130"/>
      <c r="G23" s="82" t="s">
        <v>1094</v>
      </c>
      <c r="H23" s="130"/>
      <c r="I23" s="132" t="s">
        <v>1027</v>
      </c>
      <c r="J23" s="132" t="s">
        <v>1026</v>
      </c>
      <c r="K23" s="132" t="s">
        <v>1026</v>
      </c>
      <c r="L23" s="130"/>
      <c r="M23" s="132" t="str">
        <f t="shared" si="0"/>
        <v>Yes</v>
      </c>
      <c r="N23" s="130"/>
      <c r="O23" s="130"/>
      <c r="P23" s="130" t="s">
        <v>1027</v>
      </c>
      <c r="Q23" s="130"/>
    </row>
    <row r="24" spans="2:17" ht="12.75" customHeight="1">
      <c r="C24" s="131" t="s">
        <v>1385</v>
      </c>
      <c r="D24" s="131" t="s">
        <v>1034</v>
      </c>
      <c r="E24" s="130" t="s">
        <v>1025</v>
      </c>
      <c r="F24" s="130"/>
      <c r="G24" s="82" t="s">
        <v>1095</v>
      </c>
      <c r="H24" s="130"/>
      <c r="I24" s="132" t="s">
        <v>1027</v>
      </c>
      <c r="J24" s="132" t="s">
        <v>1026</v>
      </c>
      <c r="K24" s="132" t="s">
        <v>1026</v>
      </c>
      <c r="L24" s="130"/>
      <c r="M24" s="132" t="str">
        <f t="shared" si="0"/>
        <v>Yes</v>
      </c>
      <c r="N24" s="130"/>
      <c r="O24" s="130"/>
      <c r="P24" s="130" t="s">
        <v>1027</v>
      </c>
      <c r="Q24" s="130"/>
    </row>
    <row r="25" spans="2:17">
      <c r="C25" s="131" t="s">
        <v>1386</v>
      </c>
      <c r="D25" s="131" t="s">
        <v>1035</v>
      </c>
      <c r="E25" s="130" t="s">
        <v>1025</v>
      </c>
      <c r="F25" s="130"/>
      <c r="G25" s="82" t="s">
        <v>1095</v>
      </c>
      <c r="H25" s="130"/>
      <c r="I25" s="132" t="s">
        <v>1026</v>
      </c>
      <c r="J25" s="130" t="s">
        <v>1026</v>
      </c>
      <c r="K25" s="130" t="s">
        <v>1027</v>
      </c>
      <c r="L25" s="130"/>
      <c r="M25" s="132" t="str">
        <f t="shared" si="0"/>
        <v>Yes</v>
      </c>
      <c r="N25" s="130"/>
      <c r="O25" s="130"/>
      <c r="P25" s="130" t="s">
        <v>1027</v>
      </c>
      <c r="Q25" s="130"/>
    </row>
    <row r="26" spans="2:17">
      <c r="C26" s="131" t="s">
        <v>1387</v>
      </c>
      <c r="D26" s="131" t="s">
        <v>1036</v>
      </c>
      <c r="E26" s="130" t="s">
        <v>1025</v>
      </c>
      <c r="F26" s="130"/>
      <c r="G26" s="82" t="s">
        <v>1094</v>
      </c>
      <c r="H26" s="130"/>
      <c r="I26" s="132" t="s">
        <v>1027</v>
      </c>
      <c r="J26" s="130" t="s">
        <v>1026</v>
      </c>
      <c r="K26" s="132" t="s">
        <v>1026</v>
      </c>
      <c r="L26" s="130"/>
      <c r="M26" s="132" t="str">
        <f t="shared" si="0"/>
        <v>Yes</v>
      </c>
      <c r="N26" s="130"/>
      <c r="O26" s="130"/>
      <c r="P26" s="130" t="s">
        <v>1027</v>
      </c>
      <c r="Q26" s="130"/>
    </row>
    <row r="27" spans="2:17">
      <c r="C27" s="131" t="s">
        <v>1388</v>
      </c>
      <c r="D27" s="131" t="s">
        <v>1037</v>
      </c>
      <c r="E27" s="130" t="s">
        <v>1025</v>
      </c>
      <c r="F27" s="130"/>
      <c r="G27" s="82" t="s">
        <v>1094</v>
      </c>
      <c r="H27" s="130"/>
      <c r="I27" s="132" t="s">
        <v>1027</v>
      </c>
      <c r="J27" s="130" t="s">
        <v>1026</v>
      </c>
      <c r="K27" s="132" t="s">
        <v>1026</v>
      </c>
      <c r="L27" s="130"/>
      <c r="M27" s="132" t="str">
        <f t="shared" si="0"/>
        <v>Yes</v>
      </c>
      <c r="N27" s="130"/>
      <c r="O27" s="130"/>
      <c r="P27" s="130" t="s">
        <v>1027</v>
      </c>
      <c r="Q27" s="130"/>
    </row>
    <row r="28" spans="2:17">
      <c r="B28" s="78" t="s">
        <v>1011</v>
      </c>
      <c r="C28" s="131" t="s">
        <v>1389</v>
      </c>
      <c r="D28" s="131" t="s">
        <v>1038</v>
      </c>
      <c r="E28" s="130" t="s">
        <v>1025</v>
      </c>
      <c r="F28" s="130"/>
      <c r="G28" s="130" t="s">
        <v>1094</v>
      </c>
      <c r="H28" s="130"/>
      <c r="I28" s="130" t="s">
        <v>1027</v>
      </c>
      <c r="J28" s="130" t="s">
        <v>1026</v>
      </c>
      <c r="K28" s="132" t="s">
        <v>1026</v>
      </c>
      <c r="L28" s="130"/>
      <c r="M28" s="132" t="str">
        <f t="shared" si="0"/>
        <v>Yes</v>
      </c>
      <c r="N28" s="130"/>
      <c r="O28" s="130"/>
      <c r="P28" s="130" t="s">
        <v>1027</v>
      </c>
      <c r="Q28" s="130"/>
    </row>
    <row r="29" spans="2:17" ht="12.75" customHeight="1">
      <c r="C29" s="131" t="s">
        <v>1389</v>
      </c>
      <c r="D29" s="131" t="s">
        <v>1039</v>
      </c>
      <c r="E29" s="130" t="s">
        <v>1025</v>
      </c>
      <c r="F29" s="130"/>
      <c r="G29" s="130" t="s">
        <v>1093</v>
      </c>
      <c r="H29" s="130"/>
      <c r="I29" s="130" t="s">
        <v>1026</v>
      </c>
      <c r="J29" s="132" t="s">
        <v>1026</v>
      </c>
      <c r="K29" s="132" t="s">
        <v>1026</v>
      </c>
      <c r="L29" s="130"/>
      <c r="M29" s="132" t="str">
        <f t="shared" si="0"/>
        <v>No</v>
      </c>
      <c r="N29" s="130"/>
      <c r="O29" s="130"/>
      <c r="P29" s="130" t="s">
        <v>1026</v>
      </c>
      <c r="Q29" s="130"/>
    </row>
    <row r="30" spans="2:17" ht="12.75" customHeight="1">
      <c r="B30" s="78" t="s">
        <v>7</v>
      </c>
      <c r="C30" s="131" t="s">
        <v>1390</v>
      </c>
      <c r="D30" s="131" t="s">
        <v>1024</v>
      </c>
      <c r="E30" s="130" t="s">
        <v>1025</v>
      </c>
      <c r="F30" s="130"/>
      <c r="G30" s="130" t="s">
        <v>1093</v>
      </c>
      <c r="H30" s="130"/>
      <c r="I30" s="132" t="s">
        <v>1027</v>
      </c>
      <c r="J30" s="132" t="s">
        <v>1026</v>
      </c>
      <c r="K30" s="132" t="s">
        <v>1026</v>
      </c>
      <c r="L30" s="130"/>
      <c r="M30" s="132" t="str">
        <f t="shared" si="0"/>
        <v>Yes</v>
      </c>
      <c r="N30" s="130"/>
      <c r="O30" s="130"/>
      <c r="P30" s="130" t="s">
        <v>1027</v>
      </c>
      <c r="Q30" s="130"/>
    </row>
    <row r="31" spans="2:17">
      <c r="C31" s="131" t="s">
        <v>1391</v>
      </c>
      <c r="D31" s="131" t="s">
        <v>1040</v>
      </c>
      <c r="E31" s="130" t="s">
        <v>1025</v>
      </c>
      <c r="F31" s="130"/>
      <c r="G31" s="130" t="s">
        <v>1093</v>
      </c>
      <c r="H31" s="130"/>
      <c r="I31" s="132" t="s">
        <v>1027</v>
      </c>
      <c r="J31" s="130" t="s">
        <v>1026</v>
      </c>
      <c r="K31" s="132" t="s">
        <v>1026</v>
      </c>
      <c r="L31" s="130"/>
      <c r="M31" s="132" t="str">
        <f t="shared" si="0"/>
        <v>Yes</v>
      </c>
      <c r="N31" s="130"/>
      <c r="O31" s="130"/>
      <c r="P31" s="130" t="s">
        <v>1026</v>
      </c>
      <c r="Q31" s="130"/>
    </row>
    <row r="32" spans="2:17" ht="12.6" customHeight="1">
      <c r="C32" s="131" t="s">
        <v>1392</v>
      </c>
      <c r="D32" s="131" t="s">
        <v>1382</v>
      </c>
      <c r="E32" s="130" t="s">
        <v>1025</v>
      </c>
      <c r="F32" s="130"/>
      <c r="G32" s="130" t="s">
        <v>1093</v>
      </c>
      <c r="H32" s="130"/>
      <c r="I32" s="132" t="s">
        <v>1027</v>
      </c>
      <c r="J32" s="130" t="s">
        <v>1026</v>
      </c>
      <c r="K32" s="132" t="s">
        <v>1026</v>
      </c>
      <c r="L32" s="130"/>
      <c r="M32" s="132" t="str">
        <f t="shared" si="0"/>
        <v>Yes</v>
      </c>
      <c r="N32" s="130"/>
      <c r="O32" s="130"/>
      <c r="P32" s="130" t="s">
        <v>1027</v>
      </c>
      <c r="Q32" s="130"/>
    </row>
    <row r="33" spans="2:17" ht="12.75" customHeight="1">
      <c r="B33" s="78" t="s">
        <v>1134</v>
      </c>
      <c r="C33" s="131" t="s">
        <v>1393</v>
      </c>
      <c r="D33" s="131" t="s">
        <v>1252</v>
      </c>
      <c r="E33" s="130" t="s">
        <v>1025</v>
      </c>
      <c r="F33" s="130"/>
      <c r="G33" s="130" t="s">
        <v>1093</v>
      </c>
      <c r="H33" s="130"/>
      <c r="I33" s="132" t="s">
        <v>1027</v>
      </c>
      <c r="J33" s="130" t="s">
        <v>1026</v>
      </c>
      <c r="K33" s="132" t="s">
        <v>1026</v>
      </c>
      <c r="L33" s="130"/>
      <c r="M33" s="132" t="str">
        <f t="shared" si="0"/>
        <v>Yes</v>
      </c>
      <c r="N33" s="130"/>
      <c r="O33" s="130"/>
      <c r="P33" s="130" t="s">
        <v>1027</v>
      </c>
      <c r="Q33" s="130"/>
    </row>
    <row r="34" spans="2:17">
      <c r="C34" s="131" t="s">
        <v>1393</v>
      </c>
      <c r="D34" s="131" t="s">
        <v>1253</v>
      </c>
      <c r="E34" s="130" t="s">
        <v>1025</v>
      </c>
      <c r="F34" s="130"/>
      <c r="G34" s="130" t="s">
        <v>1094</v>
      </c>
      <c r="H34" s="130"/>
      <c r="I34" s="132" t="s">
        <v>1027</v>
      </c>
      <c r="J34" s="130" t="s">
        <v>1026</v>
      </c>
      <c r="K34" s="132" t="s">
        <v>1026</v>
      </c>
      <c r="L34" s="130"/>
      <c r="M34" s="132" t="str">
        <f>IF(AND(I34="No",J34="No",K34="No"),"No","Yes")</f>
        <v>Yes</v>
      </c>
      <c r="N34" s="130"/>
      <c r="O34" s="130"/>
      <c r="P34" s="130" t="s">
        <v>1026</v>
      </c>
      <c r="Q34" s="130"/>
    </row>
    <row r="35" spans="2:17">
      <c r="C35" s="131" t="s">
        <v>1393</v>
      </c>
      <c r="D35" s="131" t="s">
        <v>1254</v>
      </c>
      <c r="E35" s="130" t="s">
        <v>1025</v>
      </c>
      <c r="F35" s="130"/>
      <c r="G35" s="130" t="s">
        <v>1093</v>
      </c>
      <c r="H35" s="130"/>
      <c r="I35" s="132" t="s">
        <v>1027</v>
      </c>
      <c r="J35" s="130" t="s">
        <v>1026</v>
      </c>
      <c r="K35" s="132" t="s">
        <v>1026</v>
      </c>
      <c r="L35" s="130"/>
      <c r="M35" s="132" t="str">
        <f>IF(AND(I35="No",J35="No",K35="No"),"No","Yes")</f>
        <v>Yes</v>
      </c>
      <c r="N35" s="130"/>
      <c r="O35" s="130"/>
      <c r="P35" s="130" t="s">
        <v>1027</v>
      </c>
      <c r="Q35" s="130"/>
    </row>
    <row r="36" spans="2:17" ht="12.75" customHeight="1" thickBot="1">
      <c r="B36" s="133"/>
      <c r="D36" s="199"/>
      <c r="E36" s="132"/>
      <c r="F36" s="130"/>
      <c r="G36" s="200"/>
      <c r="H36" s="200"/>
      <c r="I36" s="200"/>
      <c r="J36" s="200"/>
      <c r="K36" s="200"/>
      <c r="L36" s="130"/>
      <c r="M36" s="201"/>
      <c r="N36" s="132"/>
      <c r="O36" s="130"/>
      <c r="P36" s="200"/>
      <c r="Q36" s="130"/>
    </row>
    <row r="37" spans="2:17" ht="12.75" customHeight="1">
      <c r="B37" s="202"/>
      <c r="C37" s="202"/>
      <c r="D37" s="202"/>
      <c r="E37" s="202"/>
      <c r="F37" s="202"/>
      <c r="G37" s="202"/>
      <c r="H37" s="202"/>
      <c r="I37" s="202"/>
      <c r="J37" s="202"/>
      <c r="K37" s="202"/>
      <c r="L37" s="202"/>
      <c r="M37" s="202"/>
      <c r="N37" s="202"/>
      <c r="O37" s="202"/>
      <c r="P37" s="202"/>
      <c r="Q37" s="130"/>
    </row>
    <row r="38" spans="2:17" ht="12.75" customHeight="1">
      <c r="B38" s="203" t="s">
        <v>1394</v>
      </c>
      <c r="E38" s="130"/>
      <c r="F38" s="204" t="s">
        <v>1094</v>
      </c>
      <c r="G38" s="130">
        <f>COUNTIFS(G$11:G$36,F38)</f>
        <v>10</v>
      </c>
      <c r="H38" s="130"/>
      <c r="I38" s="130"/>
      <c r="J38" s="130"/>
      <c r="K38" s="130"/>
      <c r="P38" s="130"/>
      <c r="Q38" s="130"/>
    </row>
    <row r="39" spans="2:17" ht="12.75" customHeight="1">
      <c r="E39" s="130"/>
      <c r="F39" s="204" t="s">
        <v>1095</v>
      </c>
      <c r="G39" s="130">
        <f>COUNTIFS(G$11:G$36,F39)</f>
        <v>3</v>
      </c>
      <c r="H39" s="130"/>
      <c r="I39" s="130"/>
      <c r="J39" s="130"/>
      <c r="K39" s="130"/>
      <c r="L39" s="205" t="s">
        <v>1027</v>
      </c>
      <c r="M39" s="130">
        <f>COUNTIFS(M$11:M$36,L39)</f>
        <v>21</v>
      </c>
      <c r="N39" s="130"/>
      <c r="O39" s="205" t="s">
        <v>1027</v>
      </c>
      <c r="P39" s="130">
        <f>COUNTIFS(P$11:P$36,O39)</f>
        <v>20</v>
      </c>
      <c r="Q39" s="130"/>
    </row>
    <row r="40" spans="2:17">
      <c r="E40" s="130"/>
      <c r="F40" s="204" t="s">
        <v>1093</v>
      </c>
      <c r="G40" s="130">
        <f>COUNTIFS(G$11:G$36,F40)</f>
        <v>12</v>
      </c>
      <c r="H40" s="130"/>
      <c r="I40" s="130"/>
      <c r="J40" s="130"/>
      <c r="K40" s="130"/>
      <c r="L40" s="205" t="s">
        <v>1026</v>
      </c>
      <c r="M40" s="130">
        <f>COUNTIFS(M$11:M$36,L40)</f>
        <v>4</v>
      </c>
      <c r="N40" s="130"/>
      <c r="O40" s="205" t="s">
        <v>1026</v>
      </c>
      <c r="P40" s="130">
        <f>COUNTIFS(P$11:P$36,O40)</f>
        <v>5</v>
      </c>
      <c r="Q40" s="130"/>
    </row>
    <row r="41" spans="2:17">
      <c r="E41" s="130"/>
      <c r="F41" s="204"/>
      <c r="G41" s="130"/>
      <c r="H41" s="130"/>
      <c r="I41" s="130"/>
      <c r="J41" s="130"/>
      <c r="K41" s="130"/>
      <c r="L41" s="204"/>
      <c r="M41" s="130"/>
      <c r="N41" s="130"/>
      <c r="O41" s="204"/>
      <c r="P41" s="130"/>
      <c r="Q41" s="130"/>
    </row>
    <row r="42" spans="2:17">
      <c r="E42" s="130"/>
      <c r="F42" s="204" t="s">
        <v>1395</v>
      </c>
      <c r="G42" s="206">
        <f>(G38+G39)/SUM(G38:G40)</f>
        <v>0.52</v>
      </c>
      <c r="H42" s="207"/>
      <c r="I42" s="130"/>
      <c r="J42" s="130"/>
      <c r="K42" s="130"/>
      <c r="L42" s="204" t="s">
        <v>1366</v>
      </c>
      <c r="M42" s="206">
        <f>M39/(M39+M40)</f>
        <v>0.84</v>
      </c>
      <c r="N42" s="207"/>
      <c r="O42" s="204" t="s">
        <v>1366</v>
      </c>
      <c r="P42" s="206">
        <f>P39/(P39+P40)</f>
        <v>0.8</v>
      </c>
      <c r="Q42" s="130"/>
    </row>
    <row r="43" spans="2:17" ht="13.5" thickBot="1">
      <c r="B43" s="208"/>
      <c r="C43" s="208"/>
      <c r="D43" s="208"/>
      <c r="E43" s="209"/>
      <c r="F43" s="208"/>
      <c r="G43" s="208"/>
      <c r="H43" s="208"/>
      <c r="I43" s="208"/>
      <c r="J43" s="208"/>
      <c r="K43" s="208"/>
      <c r="L43" s="208"/>
      <c r="M43" s="208"/>
      <c r="N43" s="208"/>
      <c r="O43" s="208"/>
      <c r="P43" s="208"/>
    </row>
    <row r="44" spans="2:17" ht="13.5" thickBot="1">
      <c r="B44" s="212" t="s">
        <v>1475</v>
      </c>
      <c r="C44" s="212"/>
      <c r="D44" s="212" t="s">
        <v>1303</v>
      </c>
      <c r="E44" s="213" t="s">
        <v>1025</v>
      </c>
      <c r="F44" s="212"/>
      <c r="G44" s="213" t="s">
        <v>1093</v>
      </c>
      <c r="H44" s="212"/>
      <c r="I44" s="213" t="s">
        <v>1027</v>
      </c>
      <c r="J44" s="213" t="s">
        <v>1026</v>
      </c>
      <c r="K44" s="213" t="s">
        <v>1026</v>
      </c>
      <c r="L44" s="212"/>
      <c r="M44" s="213" t="str">
        <f t="shared" ref="M44" si="2">IF(AND(I44="No",J44="No",K44="No"),"No","Yes")</f>
        <v>Yes</v>
      </c>
      <c r="N44" s="212"/>
      <c r="O44" s="212"/>
      <c r="P44" s="213" t="s">
        <v>1026</v>
      </c>
      <c r="Q44" s="130"/>
    </row>
    <row r="45" spans="2:17">
      <c r="G45" s="210"/>
      <c r="H45" s="210"/>
      <c r="Q45" s="130"/>
    </row>
    <row r="46" spans="2:17">
      <c r="Q46" s="130"/>
    </row>
    <row r="47" spans="2:17">
      <c r="B47" s="211" t="s">
        <v>839</v>
      </c>
      <c r="C47" s="77"/>
      <c r="D47" s="77"/>
      <c r="E47" s="77"/>
      <c r="F47" s="77"/>
      <c r="G47" s="77"/>
      <c r="H47" s="77"/>
      <c r="I47" s="77"/>
      <c r="J47" s="77"/>
      <c r="K47" s="77"/>
      <c r="L47" s="77"/>
      <c r="M47" s="77"/>
      <c r="N47" s="77"/>
      <c r="O47" s="77"/>
      <c r="P47" s="77"/>
      <c r="Q47" s="77"/>
    </row>
    <row r="48" spans="2:17">
      <c r="B48" s="366" t="s">
        <v>1527</v>
      </c>
      <c r="C48" s="366"/>
      <c r="D48" s="366"/>
      <c r="E48" s="366"/>
      <c r="F48" s="366"/>
      <c r="G48" s="366"/>
      <c r="H48" s="366"/>
      <c r="I48" s="366"/>
      <c r="J48" s="366"/>
      <c r="K48" s="77"/>
      <c r="L48" s="77"/>
      <c r="M48" s="77"/>
      <c r="N48" s="77"/>
      <c r="O48" s="77"/>
      <c r="P48" s="77"/>
      <c r="Q48" s="77"/>
    </row>
    <row r="49" spans="2:17">
      <c r="B49" s="134" t="s">
        <v>1396</v>
      </c>
      <c r="C49" s="134"/>
      <c r="D49" s="134"/>
      <c r="E49" s="134"/>
      <c r="F49" s="134"/>
      <c r="G49" s="134"/>
      <c r="H49" s="134"/>
      <c r="I49" s="134"/>
      <c r="J49" s="134"/>
      <c r="K49" s="134"/>
      <c r="L49" s="134"/>
      <c r="M49" s="134"/>
      <c r="N49" s="134"/>
      <c r="O49" s="134"/>
      <c r="P49" s="134"/>
      <c r="Q49" s="135"/>
    </row>
    <row r="50" spans="2:17">
      <c r="B50" s="136" t="s">
        <v>1397</v>
      </c>
      <c r="C50" s="136"/>
      <c r="D50" s="136"/>
      <c r="E50" s="136"/>
      <c r="F50" s="136"/>
      <c r="G50" s="136"/>
      <c r="H50" s="136"/>
      <c r="I50" s="136"/>
      <c r="J50" s="136"/>
      <c r="K50" s="136"/>
      <c r="L50" s="136"/>
      <c r="M50" s="136"/>
      <c r="N50" s="134"/>
      <c r="O50" s="136"/>
      <c r="P50" s="136"/>
      <c r="Q50" s="161"/>
    </row>
    <row r="51" spans="2:17">
      <c r="B51" s="136" t="s">
        <v>1442</v>
      </c>
      <c r="C51" s="136"/>
      <c r="D51" s="136"/>
      <c r="E51" s="136"/>
      <c r="F51" s="136"/>
      <c r="G51" s="136"/>
      <c r="H51" s="136"/>
      <c r="I51" s="136"/>
      <c r="J51" s="136"/>
      <c r="K51" s="136"/>
      <c r="L51" s="136"/>
      <c r="M51" s="136"/>
      <c r="N51" s="134"/>
      <c r="O51" s="136"/>
      <c r="P51" s="136"/>
      <c r="Q51" s="161"/>
    </row>
    <row r="52" spans="2:17">
      <c r="B52" s="136" t="s">
        <v>1398</v>
      </c>
      <c r="C52" s="136"/>
      <c r="D52" s="136"/>
      <c r="E52" s="136"/>
      <c r="F52" s="136"/>
      <c r="G52" s="136"/>
      <c r="H52" s="136"/>
      <c r="I52" s="136"/>
      <c r="J52" s="136"/>
      <c r="K52" s="136"/>
      <c r="L52" s="136"/>
      <c r="M52" s="136"/>
      <c r="N52" s="134"/>
      <c r="O52" s="136"/>
      <c r="P52" s="136"/>
      <c r="Q52" s="161"/>
    </row>
    <row r="53" spans="2:17">
      <c r="B53" s="136" t="s">
        <v>1399</v>
      </c>
      <c r="C53" s="136"/>
      <c r="D53" s="136"/>
      <c r="E53" s="136"/>
      <c r="F53" s="136"/>
      <c r="G53" s="136"/>
      <c r="H53" s="136"/>
      <c r="I53" s="136"/>
      <c r="J53" s="136"/>
      <c r="K53" s="136"/>
      <c r="L53" s="136"/>
      <c r="M53" s="136"/>
      <c r="N53" s="136"/>
      <c r="O53" s="136"/>
      <c r="P53" s="136"/>
      <c r="Q53" s="161"/>
    </row>
    <row r="54" spans="2:17">
      <c r="B54" s="136" t="s">
        <v>1400</v>
      </c>
      <c r="C54" s="136"/>
      <c r="D54" s="136"/>
      <c r="E54" s="136"/>
      <c r="F54" s="136"/>
      <c r="G54" s="136"/>
      <c r="H54" s="136"/>
      <c r="I54" s="136"/>
      <c r="J54" s="136"/>
      <c r="K54" s="136"/>
      <c r="L54" s="136"/>
      <c r="M54" s="136"/>
      <c r="N54" s="136"/>
      <c r="O54" s="136"/>
      <c r="P54" s="136"/>
      <c r="Q54" s="161"/>
    </row>
    <row r="55" spans="2:17">
      <c r="B55" s="77" t="s">
        <v>1401</v>
      </c>
      <c r="C55" s="75"/>
      <c r="D55" s="77"/>
      <c r="E55" s="77"/>
      <c r="F55" s="77"/>
      <c r="G55" s="77"/>
      <c r="H55" s="77"/>
      <c r="I55" s="77"/>
      <c r="J55" s="77"/>
      <c r="K55" s="77"/>
      <c r="L55" s="77"/>
      <c r="M55" s="77"/>
      <c r="N55" s="77"/>
      <c r="O55" s="77"/>
      <c r="P55" s="77"/>
      <c r="Q55" s="77"/>
    </row>
    <row r="88" ht="24.75" customHeight="1"/>
    <row r="99" ht="15" customHeight="1"/>
    <row r="101" ht="15" customHeight="1"/>
    <row r="102" ht="15" customHeight="1"/>
    <row r="103" ht="15" customHeight="1"/>
    <row r="104" ht="15" customHeight="1"/>
    <row r="105" ht="15" customHeight="1"/>
    <row r="106" ht="15" customHeight="1"/>
    <row r="107" ht="15" customHeight="1"/>
    <row r="110" ht="15" customHeight="1"/>
    <row r="111" ht="15" customHeight="1"/>
    <row r="112" ht="15" customHeight="1"/>
    <row r="114" ht="15" customHeight="1"/>
    <row r="115" ht="15" customHeight="1"/>
    <row r="121" ht="15" customHeight="1"/>
    <row r="160" ht="15.75" customHeight="1"/>
  </sheetData>
  <mergeCells count="1">
    <mergeCell ref="B48:J48"/>
  </mergeCells>
  <conditionalFormatting sqref="C21:C28">
    <cfRule type="expression" dxfId="5" priority="1">
      <formula>"(blank)"</formula>
    </cfRule>
    <cfRule type="expression" dxfId="4" priority="2">
      <formula>#REF!</formula>
    </cfRule>
  </conditionalFormatting>
  <printOptions horizontalCentered="1"/>
  <pageMargins left="0.7" right="0.7" top="1.25" bottom="0.75" header="0.3" footer="0.3"/>
  <pageSetup scale="66" orientation="landscape" useFirstPageNumber="1" r:id="rId1"/>
  <headerFooter scaleWithDoc="0">
    <oddHeader>&amp;C&amp;"Times New Roman,Regular"&amp;9MIDAMERICAN ENERGY COMPANY
2026 SOUTH DAKOTA GAS RATE CASE
Docket No. NG26-____
FOR THE YEAR ENDING DECEMBER 31, 2025
Individual Responsible: Ann Bulkley&amp;R&amp;"Times New Roman,Regular"&amp;9Exhibit AEB 1.1
&amp;A
Page &amp;P of &amp;N</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EFF7B-037B-467E-81E7-140BED38D81A}">
  <sheetPr codeName="Sheet9">
    <pageSetUpPr fitToPage="1"/>
  </sheetPr>
  <dimension ref="B2:K94"/>
  <sheetViews>
    <sheetView view="pageLayout" zoomScale="80" zoomScaleNormal="100" zoomScaleSheetLayoutView="85" zoomScalePageLayoutView="80" workbookViewId="0">
      <selection activeCell="G15" sqref="G15"/>
    </sheetView>
  </sheetViews>
  <sheetFormatPr defaultColWidth="9.140625" defaultRowHeight="12.75"/>
  <cols>
    <col min="1" max="1" width="3.42578125" style="52" customWidth="1"/>
    <col min="2" max="2" width="28.85546875" style="52" customWidth="1"/>
    <col min="3" max="3" width="18.5703125" style="52" bestFit="1" customWidth="1"/>
    <col min="4" max="4" width="22.140625" style="52" customWidth="1"/>
    <col min="5" max="5" width="18.42578125" style="52" customWidth="1"/>
    <col min="6" max="6" width="9.140625" style="52"/>
    <col min="7" max="7" width="16" style="52" bestFit="1" customWidth="1"/>
    <col min="8" max="9" width="9.140625" style="52"/>
    <col min="10" max="10" width="17.7109375" style="53" bestFit="1" customWidth="1"/>
    <col min="11" max="11" width="16.28515625" style="53" customWidth="1"/>
    <col min="12" max="16384" width="9.140625" style="52"/>
  </cols>
  <sheetData>
    <row r="2" spans="2:11">
      <c r="B2" s="367"/>
      <c r="C2" s="367"/>
      <c r="D2" s="367"/>
      <c r="E2" s="367"/>
    </row>
    <row r="3" spans="2:11">
      <c r="B3" s="367" t="s">
        <v>1265</v>
      </c>
      <c r="C3" s="368"/>
      <c r="D3" s="368"/>
      <c r="E3" s="368"/>
      <c r="F3" s="54"/>
    </row>
    <row r="5" spans="2:11" ht="13.5" thickBot="1">
      <c r="B5" s="54"/>
      <c r="C5" s="54"/>
      <c r="D5" s="55" t="s">
        <v>859</v>
      </c>
      <c r="E5" s="55" t="s">
        <v>860</v>
      </c>
    </row>
    <row r="6" spans="2:11">
      <c r="B6" s="56"/>
      <c r="C6" s="56"/>
      <c r="D6" s="369" t="s">
        <v>1266</v>
      </c>
      <c r="E6" s="369"/>
      <c r="G6" s="225"/>
      <c r="H6" s="225"/>
    </row>
    <row r="7" spans="2:11" ht="15.75">
      <c r="B7" s="57"/>
      <c r="C7" s="58"/>
      <c r="D7" s="59" t="s">
        <v>1084</v>
      </c>
      <c r="E7" s="60" t="s">
        <v>1267</v>
      </c>
      <c r="G7" s="61" t="s">
        <v>1268</v>
      </c>
      <c r="H7" s="61" t="s">
        <v>1269</v>
      </c>
      <c r="I7" s="227"/>
      <c r="J7" s="62" t="s">
        <v>1270</v>
      </c>
      <c r="K7" s="62" t="s">
        <v>1476</v>
      </c>
    </row>
    <row r="8" spans="2:11" ht="15.75">
      <c r="B8" s="54"/>
      <c r="C8" s="63"/>
      <c r="D8" s="55"/>
      <c r="E8" s="64"/>
      <c r="G8" s="65" t="s">
        <v>1476</v>
      </c>
      <c r="H8" s="65">
        <v>1</v>
      </c>
      <c r="I8" s="227"/>
      <c r="J8" s="62" t="s">
        <v>1271</v>
      </c>
      <c r="K8" s="62" t="s">
        <v>1477</v>
      </c>
    </row>
    <row r="9" spans="2:11" ht="15.75">
      <c r="B9" s="52" t="s">
        <v>2</v>
      </c>
      <c r="C9" s="131" t="s">
        <v>1024</v>
      </c>
      <c r="D9" s="65" t="str">
        <f>_xlfn.XLOOKUP(C9,J:J,K:K)</f>
        <v>Average / 3</v>
      </c>
      <c r="E9" s="65">
        <f>_xlfn.XLOOKUP(D9,G:G,H:H)</f>
        <v>6</v>
      </c>
      <c r="G9" s="65" t="s">
        <v>1482</v>
      </c>
      <c r="H9" s="65">
        <v>2</v>
      </c>
      <c r="I9" s="227"/>
      <c r="J9" s="62" t="s">
        <v>1252</v>
      </c>
      <c r="K9" s="62" t="s">
        <v>1478</v>
      </c>
    </row>
    <row r="10" spans="2:11" ht="15.75">
      <c r="C10" s="131" t="s">
        <v>1028</v>
      </c>
      <c r="D10" s="65" t="str">
        <f t="shared" ref="D10:D31" si="0">_xlfn.XLOOKUP(C10,J:J,K:K)</f>
        <v>Average / 2</v>
      </c>
      <c r="E10" s="65">
        <f t="shared" ref="E10:E31" si="1">_xlfn.XLOOKUP(D10,G:G,H:H)</f>
        <v>5</v>
      </c>
      <c r="G10" s="65" t="s">
        <v>1484</v>
      </c>
      <c r="H10" s="65">
        <v>3</v>
      </c>
      <c r="I10" s="227"/>
      <c r="J10" s="62" t="s">
        <v>1272</v>
      </c>
      <c r="K10" s="62" t="s">
        <v>1479</v>
      </c>
    </row>
    <row r="11" spans="2:11" ht="15.75">
      <c r="C11" s="62" t="s">
        <v>1273</v>
      </c>
      <c r="D11" s="65" t="str">
        <f t="shared" si="0"/>
        <v>Average / 2</v>
      </c>
      <c r="E11" s="65">
        <f t="shared" si="1"/>
        <v>5</v>
      </c>
      <c r="G11" s="65" t="s">
        <v>1479</v>
      </c>
      <c r="H11" s="65">
        <v>4</v>
      </c>
      <c r="I11" s="227"/>
      <c r="J11" s="62" t="s">
        <v>1253</v>
      </c>
      <c r="K11" s="62" t="s">
        <v>1479</v>
      </c>
    </row>
    <row r="12" spans="2:11" ht="15.75">
      <c r="C12" s="77" t="s">
        <v>1030</v>
      </c>
      <c r="D12" s="65" t="str">
        <f t="shared" si="0"/>
        <v>Above Average / 3</v>
      </c>
      <c r="E12" s="65">
        <f t="shared" si="1"/>
        <v>3</v>
      </c>
      <c r="G12" s="65" t="s">
        <v>1481</v>
      </c>
      <c r="H12" s="65">
        <v>5</v>
      </c>
      <c r="I12" s="227"/>
      <c r="J12" s="62" t="s">
        <v>1274</v>
      </c>
      <c r="K12" s="62" t="s">
        <v>1479</v>
      </c>
    </row>
    <row r="13" spans="2:11" ht="15.75">
      <c r="C13" s="77" t="s">
        <v>1031</v>
      </c>
      <c r="D13" s="65" t="str">
        <f t="shared" si="0"/>
        <v>Above Average / 3</v>
      </c>
      <c r="E13" s="65">
        <f t="shared" si="1"/>
        <v>3</v>
      </c>
      <c r="G13" s="65" t="s">
        <v>1483</v>
      </c>
      <c r="H13" s="65">
        <v>6</v>
      </c>
      <c r="I13" s="227"/>
      <c r="J13" s="62" t="s">
        <v>1275</v>
      </c>
      <c r="K13" s="62" t="s">
        <v>1480</v>
      </c>
    </row>
    <row r="14" spans="2:11" ht="15.75">
      <c r="C14" s="62" t="s">
        <v>1276</v>
      </c>
      <c r="D14" s="65" t="str">
        <f t="shared" si="0"/>
        <v>Average / 1</v>
      </c>
      <c r="E14" s="65">
        <f t="shared" si="1"/>
        <v>4</v>
      </c>
      <c r="G14" s="65" t="s">
        <v>1478</v>
      </c>
      <c r="H14" s="65">
        <v>7</v>
      </c>
      <c r="I14" s="227"/>
      <c r="J14" s="62" t="s">
        <v>1277</v>
      </c>
      <c r="K14" s="62" t="s">
        <v>1483</v>
      </c>
    </row>
    <row r="15" spans="2:11" ht="15.75">
      <c r="C15" s="131" t="s">
        <v>1037</v>
      </c>
      <c r="D15" s="65" t="str">
        <f t="shared" si="0"/>
        <v>Average / 1</v>
      </c>
      <c r="E15" s="65">
        <f t="shared" si="1"/>
        <v>4</v>
      </c>
      <c r="G15" s="65" t="s">
        <v>1477</v>
      </c>
      <c r="H15" s="65">
        <v>8</v>
      </c>
      <c r="I15" s="227"/>
      <c r="J15" s="62" t="s">
        <v>1278</v>
      </c>
      <c r="K15" s="62" t="s">
        <v>1478</v>
      </c>
    </row>
    <row r="16" spans="2:11" ht="15.75">
      <c r="B16" s="87" t="s">
        <v>1361</v>
      </c>
      <c r="C16" s="131" t="s">
        <v>1277</v>
      </c>
      <c r="D16" s="65" t="str">
        <f t="shared" si="0"/>
        <v>Average / 3</v>
      </c>
      <c r="E16" s="65">
        <f t="shared" si="1"/>
        <v>6</v>
      </c>
      <c r="G16" s="65" t="s">
        <v>1480</v>
      </c>
      <c r="H16" s="65">
        <v>9</v>
      </c>
      <c r="I16" s="227"/>
      <c r="J16" s="62" t="s">
        <v>1279</v>
      </c>
      <c r="K16" s="62" t="s">
        <v>1482</v>
      </c>
    </row>
    <row r="17" spans="2:11" ht="15.75">
      <c r="C17" s="131" t="s">
        <v>1279</v>
      </c>
      <c r="D17" s="65" t="str">
        <f t="shared" si="0"/>
        <v>Above Average / 2</v>
      </c>
      <c r="E17" s="65">
        <f t="shared" si="1"/>
        <v>2</v>
      </c>
      <c r="G17" s="65"/>
      <c r="H17" s="65"/>
      <c r="I17" s="227"/>
      <c r="J17" s="62" t="s">
        <v>1280</v>
      </c>
      <c r="K17" s="62" t="s">
        <v>1482</v>
      </c>
    </row>
    <row r="18" spans="2:11" ht="15.75">
      <c r="B18" s="78" t="s">
        <v>5</v>
      </c>
      <c r="C18" s="131" t="s">
        <v>1032</v>
      </c>
      <c r="D18" s="65" t="str">
        <f t="shared" si="0"/>
        <v>Average / 1</v>
      </c>
      <c r="E18" s="65">
        <f t="shared" si="1"/>
        <v>4</v>
      </c>
      <c r="G18" s="65"/>
      <c r="H18" s="61"/>
      <c r="I18" s="227"/>
      <c r="J18" s="62" t="s">
        <v>1281</v>
      </c>
      <c r="K18" s="62" t="s">
        <v>1481</v>
      </c>
    </row>
    <row r="19" spans="2:11" ht="15.75">
      <c r="C19" s="131" t="s">
        <v>1028</v>
      </c>
      <c r="D19" s="65" t="str">
        <f t="shared" si="0"/>
        <v>Average / 2</v>
      </c>
      <c r="E19" s="65">
        <f t="shared" si="1"/>
        <v>5</v>
      </c>
      <c r="G19" s="65"/>
      <c r="H19" s="61"/>
      <c r="I19" s="227"/>
      <c r="J19" s="62" t="s">
        <v>1282</v>
      </c>
      <c r="K19" s="62" t="s">
        <v>1481</v>
      </c>
    </row>
    <row r="20" spans="2:11" ht="15.75">
      <c r="C20" s="131" t="s">
        <v>1034</v>
      </c>
      <c r="D20" s="65" t="str">
        <f t="shared" si="0"/>
        <v>Below Average / 3</v>
      </c>
      <c r="E20" s="65">
        <f t="shared" si="1"/>
        <v>9</v>
      </c>
      <c r="G20" s="65"/>
      <c r="H20" s="61"/>
      <c r="I20" s="227"/>
      <c r="J20" s="62" t="s">
        <v>1118</v>
      </c>
      <c r="K20" s="62" t="s">
        <v>1483</v>
      </c>
    </row>
    <row r="21" spans="2:11" ht="15.75">
      <c r="C21" s="131" t="s">
        <v>1035</v>
      </c>
      <c r="D21" s="65" t="str">
        <f t="shared" si="0"/>
        <v>Average / 1</v>
      </c>
      <c r="E21" s="65">
        <f t="shared" si="1"/>
        <v>4</v>
      </c>
      <c r="G21" s="65"/>
      <c r="H21" s="61"/>
      <c r="I21" s="227"/>
      <c r="J21" s="62" t="s">
        <v>1032</v>
      </c>
      <c r="K21" s="62" t="s">
        <v>1479</v>
      </c>
    </row>
    <row r="22" spans="2:11" ht="15.75">
      <c r="C22" s="131" t="s">
        <v>1036</v>
      </c>
      <c r="D22" s="65" t="str">
        <f t="shared" si="0"/>
        <v>Above Average / 2</v>
      </c>
      <c r="E22" s="65">
        <f t="shared" si="1"/>
        <v>2</v>
      </c>
      <c r="G22" s="65"/>
      <c r="H22" s="61"/>
      <c r="I22" s="227"/>
      <c r="J22" s="62" t="s">
        <v>1283</v>
      </c>
      <c r="K22" s="62" t="s">
        <v>1484</v>
      </c>
    </row>
    <row r="23" spans="2:11" ht="15.75">
      <c r="C23" s="131" t="s">
        <v>1037</v>
      </c>
      <c r="D23" s="65" t="str">
        <f t="shared" si="0"/>
        <v>Average / 1</v>
      </c>
      <c r="E23" s="65">
        <f t="shared" si="1"/>
        <v>4</v>
      </c>
      <c r="G23" s="65"/>
      <c r="H23" s="61"/>
      <c r="I23" s="227"/>
      <c r="J23" s="62" t="s">
        <v>1024</v>
      </c>
      <c r="K23" s="62" t="s">
        <v>1483</v>
      </c>
    </row>
    <row r="24" spans="2:11" ht="15.75">
      <c r="B24" s="78" t="s">
        <v>1011</v>
      </c>
      <c r="C24" s="131" t="s">
        <v>1038</v>
      </c>
      <c r="D24" s="65" t="str">
        <f t="shared" si="0"/>
        <v>Average / 3</v>
      </c>
      <c r="E24" s="65">
        <f t="shared" si="1"/>
        <v>6</v>
      </c>
      <c r="G24" s="65"/>
      <c r="H24" s="61"/>
      <c r="I24" s="227"/>
      <c r="J24" s="62" t="s">
        <v>1028</v>
      </c>
      <c r="K24" s="62" t="s">
        <v>1481</v>
      </c>
    </row>
    <row r="25" spans="2:11" ht="15.75">
      <c r="C25" s="131" t="s">
        <v>1039</v>
      </c>
      <c r="D25" s="65" t="str">
        <f t="shared" si="0"/>
        <v>Average / 3</v>
      </c>
      <c r="E25" s="65">
        <f t="shared" si="1"/>
        <v>6</v>
      </c>
      <c r="G25" s="65"/>
      <c r="H25" s="61"/>
      <c r="I25" s="227"/>
      <c r="J25" s="62" t="s">
        <v>1284</v>
      </c>
      <c r="K25" s="62" t="s">
        <v>1483</v>
      </c>
    </row>
    <row r="26" spans="2:11" ht="15.75">
      <c r="B26" s="78" t="s">
        <v>7</v>
      </c>
      <c r="C26" s="131" t="s">
        <v>1024</v>
      </c>
      <c r="D26" s="65" t="str">
        <f t="shared" si="0"/>
        <v>Average / 3</v>
      </c>
      <c r="E26" s="65">
        <f t="shared" si="1"/>
        <v>6</v>
      </c>
      <c r="G26" s="65"/>
      <c r="H26" s="61"/>
      <c r="I26" s="228"/>
      <c r="J26" s="62" t="s">
        <v>1273</v>
      </c>
      <c r="K26" s="62" t="s">
        <v>1481</v>
      </c>
    </row>
    <row r="27" spans="2:11" ht="15.75">
      <c r="C27" s="131" t="s">
        <v>1040</v>
      </c>
      <c r="D27" s="65" t="str">
        <f t="shared" si="0"/>
        <v>Average / 3</v>
      </c>
      <c r="E27" s="65">
        <f t="shared" si="1"/>
        <v>6</v>
      </c>
      <c r="G27" s="65"/>
      <c r="H27" s="61"/>
      <c r="I27" s="227"/>
      <c r="J27" s="62" t="s">
        <v>1285</v>
      </c>
      <c r="K27" s="62" t="s">
        <v>1483</v>
      </c>
    </row>
    <row r="28" spans="2:11" ht="15.75">
      <c r="C28" s="62" t="s">
        <v>1276</v>
      </c>
      <c r="D28" s="65" t="str">
        <f t="shared" si="0"/>
        <v>Average / 1</v>
      </c>
      <c r="E28" s="65">
        <f t="shared" si="1"/>
        <v>4</v>
      </c>
      <c r="G28" s="65"/>
      <c r="H28" s="61"/>
      <c r="I28" s="227"/>
      <c r="J28" s="62" t="s">
        <v>1034</v>
      </c>
      <c r="K28" s="62" t="s">
        <v>1480</v>
      </c>
    </row>
    <row r="29" spans="2:11" ht="15.75">
      <c r="B29" s="78" t="s">
        <v>1134</v>
      </c>
      <c r="C29" s="131" t="s">
        <v>1252</v>
      </c>
      <c r="D29" s="65" t="str">
        <f t="shared" si="0"/>
        <v>Below Average / 1</v>
      </c>
      <c r="E29" s="65">
        <f t="shared" si="1"/>
        <v>7</v>
      </c>
      <c r="G29" s="65"/>
      <c r="H29" s="61"/>
      <c r="I29" s="227"/>
      <c r="J29" s="62" t="s">
        <v>1286</v>
      </c>
      <c r="K29" s="62" t="s">
        <v>1481</v>
      </c>
    </row>
    <row r="30" spans="2:11" ht="15.75">
      <c r="C30" s="131" t="s">
        <v>1253</v>
      </c>
      <c r="D30" s="65" t="str">
        <f t="shared" si="0"/>
        <v>Average / 1</v>
      </c>
      <c r="E30" s="65">
        <f t="shared" si="1"/>
        <v>4</v>
      </c>
      <c r="G30" s="65"/>
      <c r="H30" s="61"/>
      <c r="I30" s="227"/>
      <c r="J30" s="62" t="s">
        <v>1287</v>
      </c>
      <c r="K30" s="52" t="s">
        <v>1479</v>
      </c>
    </row>
    <row r="31" spans="2:11" ht="15.75">
      <c r="C31" s="131" t="s">
        <v>1254</v>
      </c>
      <c r="D31" s="65" t="str">
        <f t="shared" si="0"/>
        <v>Average / 1</v>
      </c>
      <c r="E31" s="65">
        <f t="shared" si="1"/>
        <v>4</v>
      </c>
      <c r="G31" s="65"/>
      <c r="H31" s="61"/>
      <c r="I31" s="227"/>
      <c r="J31" s="62" t="s">
        <v>1288</v>
      </c>
      <c r="K31" s="62" t="s">
        <v>1481</v>
      </c>
    </row>
    <row r="32" spans="2:11" ht="15.75">
      <c r="B32" s="78"/>
      <c r="C32" s="131"/>
      <c r="D32" s="65"/>
      <c r="E32" s="65"/>
      <c r="G32" s="65"/>
      <c r="H32" s="61"/>
      <c r="I32" s="227"/>
      <c r="J32" s="62" t="s">
        <v>1030</v>
      </c>
      <c r="K32" s="52" t="s">
        <v>1484</v>
      </c>
    </row>
    <row r="33" spans="2:11" ht="15.75">
      <c r="B33" s="66" t="s">
        <v>1291</v>
      </c>
      <c r="C33" s="67"/>
      <c r="D33" s="68" t="s">
        <v>1292</v>
      </c>
      <c r="E33" s="69">
        <f>AVERAGE(E9:E32)</f>
        <v>4.7391304347826084</v>
      </c>
      <c r="G33" s="65"/>
      <c r="H33" s="61"/>
      <c r="I33" s="227"/>
      <c r="J33" s="62" t="s">
        <v>1289</v>
      </c>
      <c r="K33" s="62" t="s">
        <v>1481</v>
      </c>
    </row>
    <row r="34" spans="2:11" ht="15.75">
      <c r="G34" s="65"/>
      <c r="H34" s="61"/>
      <c r="I34" s="227"/>
      <c r="J34" s="62" t="s">
        <v>1290</v>
      </c>
      <c r="K34" s="62" t="s">
        <v>1478</v>
      </c>
    </row>
    <row r="35" spans="2:11" ht="16.5" thickBot="1">
      <c r="B35" s="70" t="s">
        <v>1468</v>
      </c>
      <c r="C35" s="71" t="s">
        <v>1303</v>
      </c>
      <c r="D35" s="72" t="str">
        <f>_xlfn.XLOOKUP(C35,J:J,K:K)</f>
        <v>Average / 2</v>
      </c>
      <c r="E35" s="73">
        <f>_xlfn.XLOOKUP(D35,G:G,H:H)</f>
        <v>5</v>
      </c>
      <c r="G35" s="65"/>
      <c r="H35" s="61"/>
      <c r="I35" s="227"/>
      <c r="J35" s="62" t="s">
        <v>1293</v>
      </c>
      <c r="K35" s="62" t="s">
        <v>1481</v>
      </c>
    </row>
    <row r="36" spans="2:11" ht="15.75">
      <c r="G36" s="65"/>
      <c r="H36" s="61"/>
      <c r="I36" s="227"/>
      <c r="J36" s="62" t="s">
        <v>1254</v>
      </c>
      <c r="K36" s="62" t="s">
        <v>1479</v>
      </c>
    </row>
    <row r="37" spans="2:11" ht="15.75">
      <c r="G37" s="65"/>
      <c r="H37" s="61"/>
      <c r="I37" s="227"/>
      <c r="J37" s="62" t="s">
        <v>1294</v>
      </c>
      <c r="K37" s="62" t="s">
        <v>1483</v>
      </c>
    </row>
    <row r="38" spans="2:11" ht="15.75">
      <c r="B38" s="74" t="s">
        <v>1132</v>
      </c>
      <c r="G38" s="65"/>
      <c r="H38" s="61"/>
      <c r="I38" s="227"/>
      <c r="J38" s="62" t="s">
        <v>1295</v>
      </c>
      <c r="K38" s="62" t="s">
        <v>1483</v>
      </c>
    </row>
    <row r="39" spans="2:11" ht="15.75">
      <c r="B39" s="75" t="s">
        <v>1528</v>
      </c>
      <c r="G39" s="65"/>
      <c r="H39" s="61"/>
      <c r="I39" s="227"/>
      <c r="J39" s="62" t="s">
        <v>1296</v>
      </c>
      <c r="K39" s="62" t="s">
        <v>1478</v>
      </c>
    </row>
    <row r="40" spans="2:11" ht="15.75">
      <c r="B40" s="75" t="s">
        <v>1299</v>
      </c>
      <c r="G40" s="65"/>
      <c r="H40" s="61"/>
      <c r="I40" s="227"/>
      <c r="J40" s="62" t="s">
        <v>1297</v>
      </c>
      <c r="K40" s="62" t="s">
        <v>1481</v>
      </c>
    </row>
    <row r="41" spans="2:11" ht="15.75">
      <c r="G41" s="65"/>
      <c r="H41" s="61"/>
      <c r="I41" s="227"/>
      <c r="J41" s="62" t="s">
        <v>1298</v>
      </c>
      <c r="K41" s="62" t="s">
        <v>1484</v>
      </c>
    </row>
    <row r="42" spans="2:11" ht="15.75">
      <c r="G42" s="61"/>
      <c r="H42" s="61"/>
      <c r="I42" s="227"/>
      <c r="J42" s="62" t="s">
        <v>1300</v>
      </c>
      <c r="K42" s="62" t="s">
        <v>1479</v>
      </c>
    </row>
    <row r="43" spans="2:11" ht="15.75">
      <c r="B43" s="54"/>
      <c r="G43" s="61"/>
      <c r="H43" s="61"/>
      <c r="I43" s="227"/>
      <c r="J43" s="62" t="s">
        <v>1035</v>
      </c>
      <c r="K43" s="62" t="s">
        <v>1479</v>
      </c>
    </row>
    <row r="44" spans="2:11" ht="15.75">
      <c r="B44" s="54"/>
      <c r="G44" s="61"/>
      <c r="H44" s="61"/>
      <c r="I44" s="227"/>
      <c r="J44" s="62" t="s">
        <v>1040</v>
      </c>
      <c r="K44" s="62" t="s">
        <v>1483</v>
      </c>
    </row>
    <row r="45" spans="2:11" ht="15.75">
      <c r="G45" s="61"/>
      <c r="H45" s="61"/>
      <c r="I45" s="227"/>
      <c r="J45" s="62" t="s">
        <v>1038</v>
      </c>
      <c r="K45" s="62" t="s">
        <v>1483</v>
      </c>
    </row>
    <row r="46" spans="2:11" ht="15.75">
      <c r="G46" s="61"/>
      <c r="H46" s="61"/>
      <c r="I46" s="227"/>
      <c r="J46" s="62" t="s">
        <v>1036</v>
      </c>
      <c r="K46" s="62" t="s">
        <v>1482</v>
      </c>
    </row>
    <row r="47" spans="2:11" ht="15.75">
      <c r="H47" s="65"/>
      <c r="I47" s="227"/>
      <c r="J47" s="62" t="s">
        <v>1301</v>
      </c>
      <c r="K47" s="62" t="s">
        <v>1481</v>
      </c>
    </row>
    <row r="48" spans="2:11" ht="15.75">
      <c r="H48" s="65"/>
      <c r="I48" s="227"/>
      <c r="J48" s="62" t="s">
        <v>1302</v>
      </c>
      <c r="K48" s="62" t="s">
        <v>1481</v>
      </c>
    </row>
    <row r="49" spans="8:11" ht="15.75">
      <c r="H49" s="65"/>
      <c r="I49" s="227"/>
      <c r="J49" s="62" t="s">
        <v>1303</v>
      </c>
      <c r="K49" s="62" t="s">
        <v>1481</v>
      </c>
    </row>
    <row r="50" spans="8:11" ht="15.75">
      <c r="H50" s="65"/>
      <c r="I50" s="227"/>
      <c r="J50" s="62" t="s">
        <v>1031</v>
      </c>
      <c r="K50" s="62" t="s">
        <v>1484</v>
      </c>
    </row>
    <row r="51" spans="8:11" ht="15.75">
      <c r="H51" s="65"/>
      <c r="I51" s="227"/>
      <c r="J51" s="62" t="s">
        <v>1304</v>
      </c>
      <c r="K51" s="62" t="s">
        <v>1478</v>
      </c>
    </row>
    <row r="52" spans="8:11" ht="15.75">
      <c r="H52" s="65"/>
      <c r="I52" s="228"/>
      <c r="J52" s="62" t="s">
        <v>1276</v>
      </c>
      <c r="K52" s="62" t="s">
        <v>1479</v>
      </c>
    </row>
    <row r="53" spans="8:11" ht="15.75">
      <c r="H53" s="65"/>
      <c r="I53" s="227"/>
      <c r="J53" s="62" t="s">
        <v>1305</v>
      </c>
      <c r="K53" s="62" t="s">
        <v>1481</v>
      </c>
    </row>
    <row r="54" spans="8:11" ht="15.75">
      <c r="H54" s="65"/>
      <c r="I54" s="227"/>
      <c r="J54" s="62" t="s">
        <v>1306</v>
      </c>
      <c r="K54" s="62" t="s">
        <v>1483</v>
      </c>
    </row>
    <row r="55" spans="8:11" ht="15.75">
      <c r="I55" s="227"/>
      <c r="J55" s="62" t="s">
        <v>1037</v>
      </c>
      <c r="K55" s="62" t="s">
        <v>1479</v>
      </c>
    </row>
    <row r="56" spans="8:11" ht="15.75">
      <c r="I56" s="227"/>
      <c r="J56" s="62" t="s">
        <v>1039</v>
      </c>
      <c r="K56" s="62" t="s">
        <v>1483</v>
      </c>
    </row>
    <row r="57" spans="8:11" ht="15.75">
      <c r="I57" s="227"/>
      <c r="J57" s="62" t="s">
        <v>1307</v>
      </c>
      <c r="K57" s="62" t="s">
        <v>1483</v>
      </c>
    </row>
    <row r="58" spans="8:11" ht="15.75">
      <c r="I58" s="227"/>
      <c r="J58" s="62" t="s">
        <v>1308</v>
      </c>
      <c r="K58" s="62" t="s">
        <v>1484</v>
      </c>
    </row>
    <row r="59" spans="8:11" ht="15.75">
      <c r="I59" s="227"/>
      <c r="J59" s="76" t="s">
        <v>1309</v>
      </c>
      <c r="K59" s="76" t="s">
        <v>1481</v>
      </c>
    </row>
    <row r="73" spans="7:7">
      <c r="G73" s="77"/>
    </row>
    <row r="74" spans="7:7">
      <c r="G74" s="77"/>
    </row>
    <row r="75" spans="7:7">
      <c r="G75" s="77"/>
    </row>
    <row r="76" spans="7:7">
      <c r="G76" s="77"/>
    </row>
    <row r="77" spans="7:7">
      <c r="G77" s="77"/>
    </row>
    <row r="78" spans="7:7">
      <c r="G78" s="77"/>
    </row>
    <row r="79" spans="7:7">
      <c r="G79" s="77"/>
    </row>
    <row r="80" spans="7:7">
      <c r="G80" s="77"/>
    </row>
    <row r="81" spans="7:7">
      <c r="G81" s="77"/>
    </row>
    <row r="82" spans="7:7">
      <c r="G82" s="78"/>
    </row>
    <row r="83" spans="7:7">
      <c r="G83" s="78"/>
    </row>
    <row r="84" spans="7:7">
      <c r="G84" s="78"/>
    </row>
    <row r="85" spans="7:7">
      <c r="G85" s="78"/>
    </row>
    <row r="94" spans="7:7" ht="15" customHeight="1"/>
  </sheetData>
  <mergeCells count="3">
    <mergeCell ref="B2:E2"/>
    <mergeCell ref="B3:E3"/>
    <mergeCell ref="D6:E6"/>
  </mergeCells>
  <printOptions horizontalCentered="1"/>
  <pageMargins left="0.7" right="0.7" top="1.25" bottom="0.75" header="0.3" footer="0.3"/>
  <pageSetup scale="54" orientation="portrait" useFirstPageNumber="1" r:id="rId1"/>
  <headerFooter scaleWithDoc="0">
    <oddHeader>&amp;C&amp;"Times New Roman,Regular"&amp;9MIDAMERICAN ENERGY COMPANY
2026 SOUTH DAKOTA GAS RATE CASE
Docket No. NG26-____
FOR THE YEAR ENDING DECEMBER 31, 2025
Individual Responsible: Ann Bulkley&amp;R&amp;"Times New Roman,Regular"&amp;9Exhibit AEB 1.1
&amp;A
Page &amp;P of &amp;N</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FB05B-F93B-4829-8510-B0448AB0BB92}">
  <sheetPr codeName="Sheet12">
    <pageSetUpPr fitToPage="1"/>
  </sheetPr>
  <dimension ref="B2:N171"/>
  <sheetViews>
    <sheetView view="pageLayout" zoomScale="80" zoomScaleNormal="100" zoomScaleSheetLayoutView="85" zoomScalePageLayoutView="80" workbookViewId="0">
      <selection activeCell="G15" sqref="G15"/>
    </sheetView>
  </sheetViews>
  <sheetFormatPr defaultColWidth="9.140625" defaultRowHeight="12.75"/>
  <cols>
    <col min="1" max="1" width="3.42578125" style="52" customWidth="1"/>
    <col min="2" max="2" width="34" style="52" customWidth="1"/>
    <col min="3" max="3" width="17.28515625" style="52" customWidth="1"/>
    <col min="4" max="4" width="22.140625" style="65" customWidth="1"/>
    <col min="5" max="5" width="18.42578125" style="52" customWidth="1"/>
    <col min="6" max="6" width="9.140625" style="52"/>
    <col min="7" max="7" width="20.7109375" style="52" bestFit="1" customWidth="1"/>
    <col min="8" max="8" width="10.5703125" style="52" customWidth="1"/>
    <col min="9" max="9" width="9.140625" style="52"/>
    <col min="10" max="10" width="16.28515625" style="52" bestFit="1" customWidth="1"/>
    <col min="11" max="11" width="18.85546875" style="52" bestFit="1" customWidth="1"/>
    <col min="12" max="16384" width="9.140625" style="52"/>
  </cols>
  <sheetData>
    <row r="2" spans="2:11" ht="15" customHeight="1">
      <c r="B2" s="367"/>
      <c r="C2" s="367"/>
      <c r="D2" s="367"/>
      <c r="E2" s="367"/>
    </row>
    <row r="3" spans="2:11" ht="15" customHeight="1">
      <c r="B3" s="367" t="s">
        <v>1265</v>
      </c>
      <c r="C3" s="368"/>
      <c r="D3" s="368"/>
      <c r="E3" s="368"/>
      <c r="F3" s="54"/>
    </row>
    <row r="4" spans="2:11" ht="15" customHeight="1"/>
    <row r="5" spans="2:11" ht="15" customHeight="1" thickBot="1">
      <c r="B5" s="54"/>
      <c r="C5" s="54"/>
      <c r="D5" s="55" t="s">
        <v>859</v>
      </c>
      <c r="E5" s="55" t="s">
        <v>860</v>
      </c>
    </row>
    <row r="6" spans="2:11" ht="15" customHeight="1">
      <c r="B6" s="56"/>
      <c r="C6" s="56"/>
      <c r="D6" s="369" t="s">
        <v>1310</v>
      </c>
      <c r="E6" s="369"/>
    </row>
    <row r="7" spans="2:11" ht="15" customHeight="1">
      <c r="B7" s="57"/>
      <c r="C7" s="58"/>
      <c r="D7" s="59" t="s">
        <v>1084</v>
      </c>
      <c r="E7" s="60" t="s">
        <v>1267</v>
      </c>
      <c r="G7" s="61" t="s">
        <v>1268</v>
      </c>
      <c r="H7" s="61" t="s">
        <v>1269</v>
      </c>
    </row>
    <row r="8" spans="2:11" ht="15" customHeight="1">
      <c r="G8" s="52" t="s">
        <v>1315</v>
      </c>
      <c r="H8" s="65">
        <v>1</v>
      </c>
      <c r="J8" s="81" t="s">
        <v>1270</v>
      </c>
      <c r="K8" s="81" t="s">
        <v>1316</v>
      </c>
    </row>
    <row r="9" spans="2:11" ht="15" customHeight="1">
      <c r="B9" s="52" t="s">
        <v>2</v>
      </c>
      <c r="C9" s="131" t="s">
        <v>1024</v>
      </c>
      <c r="D9" s="65" t="str">
        <f>_xlfn.XLOOKUP(C9,J:J,K:K)</f>
        <v>Highly credit supportive</v>
      </c>
      <c r="E9" s="65">
        <f>_xlfn.XLOOKUP(D9,G:G,H:H)</f>
        <v>2</v>
      </c>
      <c r="G9" s="52" t="s">
        <v>1314</v>
      </c>
      <c r="H9" s="65">
        <v>2</v>
      </c>
      <c r="J9" s="81" t="s">
        <v>1271</v>
      </c>
      <c r="K9" s="81" t="s">
        <v>1317</v>
      </c>
    </row>
    <row r="10" spans="2:11" ht="15" customHeight="1">
      <c r="C10" s="131" t="s">
        <v>1028</v>
      </c>
      <c r="D10" s="65" t="str">
        <f t="shared" ref="D10:D28" si="0">_xlfn.XLOOKUP(C10,J:J,K:K)</f>
        <v>Most credit supportive</v>
      </c>
      <c r="E10" s="65">
        <f t="shared" ref="E10:E28" si="1">_xlfn.XLOOKUP(D10,G:G,H:H)</f>
        <v>1</v>
      </c>
      <c r="G10" s="52" t="s">
        <v>1313</v>
      </c>
      <c r="H10" s="65">
        <v>3</v>
      </c>
      <c r="J10" s="81" t="s">
        <v>1252</v>
      </c>
      <c r="K10" s="81" t="s">
        <v>1318</v>
      </c>
    </row>
    <row r="11" spans="2:11" ht="15" customHeight="1">
      <c r="C11" s="62" t="s">
        <v>1273</v>
      </c>
      <c r="D11" s="65" t="str">
        <f t="shared" si="0"/>
        <v>Highly credit supportive</v>
      </c>
      <c r="E11" s="65">
        <f t="shared" si="1"/>
        <v>2</v>
      </c>
      <c r="G11" s="52" t="s">
        <v>1312</v>
      </c>
      <c r="H11" s="65">
        <v>4</v>
      </c>
      <c r="J11" s="81" t="s">
        <v>1272</v>
      </c>
      <c r="K11" s="81" t="s">
        <v>1319</v>
      </c>
    </row>
    <row r="12" spans="2:11" ht="15" customHeight="1">
      <c r="C12" s="77" t="s">
        <v>1030</v>
      </c>
      <c r="D12" s="65" t="str">
        <f t="shared" si="0"/>
        <v>Highly credit supportive</v>
      </c>
      <c r="E12" s="65">
        <f t="shared" si="1"/>
        <v>2</v>
      </c>
      <c r="G12" s="52" t="s">
        <v>1311</v>
      </c>
      <c r="H12" s="65">
        <v>5</v>
      </c>
      <c r="J12" s="81" t="s">
        <v>1253</v>
      </c>
      <c r="K12" s="81" t="s">
        <v>1317</v>
      </c>
    </row>
    <row r="13" spans="2:11" ht="15" customHeight="1">
      <c r="C13" s="77" t="s">
        <v>1031</v>
      </c>
      <c r="D13" s="65" t="str">
        <f t="shared" si="0"/>
        <v>Highly credit supportive</v>
      </c>
      <c r="E13" s="65">
        <f t="shared" si="1"/>
        <v>2</v>
      </c>
      <c r="G13" s="79"/>
      <c r="H13" s="80"/>
      <c r="J13" s="81" t="s">
        <v>1274</v>
      </c>
      <c r="K13" s="81" t="s">
        <v>1318</v>
      </c>
    </row>
    <row r="14" spans="2:11" ht="15" customHeight="1">
      <c r="C14" s="62" t="s">
        <v>1276</v>
      </c>
      <c r="D14" s="65" t="str">
        <f t="shared" si="0"/>
        <v>Highly credit supportive</v>
      </c>
      <c r="E14" s="65">
        <f t="shared" si="1"/>
        <v>2</v>
      </c>
      <c r="J14" s="81" t="s">
        <v>1275</v>
      </c>
      <c r="K14" s="81" t="s">
        <v>1311</v>
      </c>
    </row>
    <row r="15" spans="2:11" ht="15" customHeight="1">
      <c r="C15" s="131" t="s">
        <v>1037</v>
      </c>
      <c r="D15" s="65" t="str">
        <f t="shared" si="0"/>
        <v>Highly credit supportive</v>
      </c>
      <c r="E15" s="65">
        <f t="shared" si="1"/>
        <v>2</v>
      </c>
      <c r="J15" s="81" t="s">
        <v>1277</v>
      </c>
      <c r="K15" s="81" t="s">
        <v>1318</v>
      </c>
    </row>
    <row r="16" spans="2:11" ht="15" customHeight="1">
      <c r="B16" s="87" t="s">
        <v>1361</v>
      </c>
      <c r="C16" s="131" t="s">
        <v>1277</v>
      </c>
      <c r="D16" s="65" t="str">
        <f t="shared" si="0"/>
        <v>Very credit supportive</v>
      </c>
      <c r="E16" s="65">
        <f t="shared" si="1"/>
        <v>3</v>
      </c>
      <c r="J16" s="81" t="s">
        <v>1278</v>
      </c>
      <c r="K16" s="81" t="s">
        <v>1317</v>
      </c>
    </row>
    <row r="17" spans="2:14" ht="15" customHeight="1">
      <c r="C17" s="131" t="s">
        <v>1279</v>
      </c>
      <c r="D17" s="65" t="str">
        <f t="shared" si="0"/>
        <v>Most credit supportive</v>
      </c>
      <c r="E17" s="65">
        <f t="shared" si="1"/>
        <v>1</v>
      </c>
      <c r="J17" s="81" t="s">
        <v>1279</v>
      </c>
      <c r="K17" s="81" t="s">
        <v>1316</v>
      </c>
    </row>
    <row r="18" spans="2:14" ht="15" customHeight="1">
      <c r="B18" s="78" t="s">
        <v>5</v>
      </c>
      <c r="C18" s="131" t="s">
        <v>1032</v>
      </c>
      <c r="D18" s="65" t="str">
        <f t="shared" si="0"/>
        <v>Highly credit supportive</v>
      </c>
      <c r="E18" s="65">
        <f t="shared" si="1"/>
        <v>2</v>
      </c>
      <c r="J18" s="81" t="s">
        <v>1280</v>
      </c>
      <c r="K18" s="81" t="s">
        <v>1319</v>
      </c>
    </row>
    <row r="19" spans="2:14" ht="15" customHeight="1">
      <c r="C19" s="131" t="s">
        <v>1028</v>
      </c>
      <c r="D19" s="65" t="str">
        <f t="shared" si="0"/>
        <v>Most credit supportive</v>
      </c>
      <c r="E19" s="65">
        <f t="shared" si="1"/>
        <v>1</v>
      </c>
      <c r="J19" s="81" t="s">
        <v>1281</v>
      </c>
      <c r="K19" s="81" t="s">
        <v>1317</v>
      </c>
    </row>
    <row r="20" spans="2:14" ht="15" customHeight="1">
      <c r="C20" s="131" t="s">
        <v>1034</v>
      </c>
      <c r="D20" s="65" t="str">
        <f t="shared" si="0"/>
        <v>Very credit supportive</v>
      </c>
      <c r="E20" s="65">
        <f t="shared" si="1"/>
        <v>3</v>
      </c>
      <c r="J20" s="81" t="s">
        <v>1282</v>
      </c>
      <c r="K20" s="81" t="s">
        <v>1318</v>
      </c>
    </row>
    <row r="21" spans="2:14" ht="15" customHeight="1">
      <c r="C21" s="131" t="s">
        <v>1035</v>
      </c>
      <c r="D21" s="65" t="str">
        <f t="shared" si="0"/>
        <v>Very credit supportive</v>
      </c>
      <c r="E21" s="65">
        <f t="shared" si="1"/>
        <v>3</v>
      </c>
      <c r="J21" s="81" t="s">
        <v>1118</v>
      </c>
      <c r="K21" s="81" t="s">
        <v>1318</v>
      </c>
    </row>
    <row r="22" spans="2:14" ht="15" customHeight="1">
      <c r="C22" s="131" t="s">
        <v>1036</v>
      </c>
      <c r="D22" s="65" t="str">
        <f t="shared" si="0"/>
        <v>Highly credit supportive</v>
      </c>
      <c r="E22" s="65">
        <f t="shared" si="1"/>
        <v>2</v>
      </c>
      <c r="J22" s="81" t="s">
        <v>1032</v>
      </c>
      <c r="K22" s="81" t="s">
        <v>1319</v>
      </c>
    </row>
    <row r="23" spans="2:14" ht="15" customHeight="1">
      <c r="C23" s="131" t="s">
        <v>1037</v>
      </c>
      <c r="D23" s="65" t="str">
        <f t="shared" si="0"/>
        <v>Highly credit supportive</v>
      </c>
      <c r="E23" s="65">
        <f t="shared" si="1"/>
        <v>2</v>
      </c>
      <c r="J23" s="81" t="s">
        <v>1283</v>
      </c>
      <c r="K23" s="81" t="s">
        <v>1316</v>
      </c>
    </row>
    <row r="24" spans="2:14" ht="15" customHeight="1">
      <c r="B24" s="78" t="s">
        <v>1011</v>
      </c>
      <c r="C24" s="131" t="s">
        <v>1038</v>
      </c>
      <c r="D24" s="65" t="str">
        <f t="shared" si="0"/>
        <v>More credit supportive</v>
      </c>
      <c r="E24" s="65">
        <f t="shared" si="1"/>
        <v>4</v>
      </c>
      <c r="J24" s="81" t="s">
        <v>1024</v>
      </c>
      <c r="K24" s="81" t="s">
        <v>1319</v>
      </c>
    </row>
    <row r="25" spans="2:14" ht="15" customHeight="1">
      <c r="C25" s="131" t="s">
        <v>1039</v>
      </c>
      <c r="D25" s="65" t="str">
        <f t="shared" si="0"/>
        <v>Very credit supportive</v>
      </c>
      <c r="E25" s="65">
        <f t="shared" si="1"/>
        <v>3</v>
      </c>
      <c r="J25" s="81" t="s">
        <v>1028</v>
      </c>
      <c r="K25" s="81" t="s">
        <v>1316</v>
      </c>
    </row>
    <row r="26" spans="2:14" ht="15" customHeight="1">
      <c r="B26" s="78" t="s">
        <v>7</v>
      </c>
      <c r="C26" s="131" t="s">
        <v>1024</v>
      </c>
      <c r="D26" s="65" t="str">
        <f t="shared" si="0"/>
        <v>Highly credit supportive</v>
      </c>
      <c r="E26" s="65">
        <f t="shared" si="1"/>
        <v>2</v>
      </c>
      <c r="J26" s="81" t="s">
        <v>1284</v>
      </c>
      <c r="K26" s="81" t="s">
        <v>1317</v>
      </c>
      <c r="M26" s="81"/>
      <c r="N26" s="81"/>
    </row>
    <row r="27" spans="2:14" ht="15" customHeight="1">
      <c r="C27" s="131" t="s">
        <v>1040</v>
      </c>
      <c r="D27" s="65" t="str">
        <f t="shared" si="0"/>
        <v>Very credit supportive</v>
      </c>
      <c r="E27" s="65">
        <f t="shared" si="1"/>
        <v>3</v>
      </c>
      <c r="J27" s="81" t="s">
        <v>1273</v>
      </c>
      <c r="K27" s="81" t="s">
        <v>1319</v>
      </c>
      <c r="M27" s="81"/>
      <c r="N27" s="81"/>
    </row>
    <row r="28" spans="2:14" ht="15" customHeight="1">
      <c r="C28" s="62" t="s">
        <v>1276</v>
      </c>
      <c r="D28" s="65" t="str">
        <f t="shared" si="0"/>
        <v>Highly credit supportive</v>
      </c>
      <c r="E28" s="65">
        <f t="shared" si="1"/>
        <v>2</v>
      </c>
      <c r="J28" s="81" t="s">
        <v>1285</v>
      </c>
      <c r="K28" s="81" t="s">
        <v>1319</v>
      </c>
    </row>
    <row r="29" spans="2:14" ht="15" customHeight="1">
      <c r="B29" s="78" t="s">
        <v>1134</v>
      </c>
      <c r="C29" s="131" t="s">
        <v>1252</v>
      </c>
      <c r="D29" s="65" t="str">
        <f t="shared" ref="D29:D31" si="2">_xlfn.XLOOKUP(C29,J:J,K:K)</f>
        <v>Very credit supportive</v>
      </c>
      <c r="E29" s="65">
        <f t="shared" ref="E29:E31" si="3">_xlfn.XLOOKUP(D29,G:G,H:H)</f>
        <v>3</v>
      </c>
      <c r="J29" s="81" t="s">
        <v>1034</v>
      </c>
      <c r="K29" s="81" t="s">
        <v>1318</v>
      </c>
    </row>
    <row r="30" spans="2:14" ht="15" customHeight="1">
      <c r="C30" s="131" t="s">
        <v>1253</v>
      </c>
      <c r="D30" s="65" t="str">
        <f t="shared" si="2"/>
        <v>More credit supportive</v>
      </c>
      <c r="E30" s="65">
        <f t="shared" si="3"/>
        <v>4</v>
      </c>
      <c r="J30" s="81" t="s">
        <v>1286</v>
      </c>
      <c r="K30" s="81" t="s">
        <v>1319</v>
      </c>
    </row>
    <row r="31" spans="2:14" ht="15" customHeight="1">
      <c r="C31" s="131" t="s">
        <v>1254</v>
      </c>
      <c r="D31" s="65" t="str">
        <f t="shared" si="2"/>
        <v>Very credit supportive</v>
      </c>
      <c r="E31" s="65">
        <f t="shared" si="3"/>
        <v>3</v>
      </c>
      <c r="J31" s="81" t="s">
        <v>1287</v>
      </c>
      <c r="K31" s="79" t="s">
        <v>1316</v>
      </c>
    </row>
    <row r="32" spans="2:14" ht="15" customHeight="1">
      <c r="D32" s="82"/>
      <c r="E32" s="65"/>
      <c r="J32" s="81" t="s">
        <v>1288</v>
      </c>
      <c r="K32" s="81" t="s">
        <v>1319</v>
      </c>
    </row>
    <row r="33" spans="2:11" ht="25.5">
      <c r="B33" s="66" t="s">
        <v>1291</v>
      </c>
      <c r="C33" s="67"/>
      <c r="D33" s="68" t="s">
        <v>1320</v>
      </c>
      <c r="E33" s="69">
        <f>AVERAGE(E9:E31)</f>
        <v>2.347826086956522</v>
      </c>
      <c r="J33" s="81" t="s">
        <v>1030</v>
      </c>
      <c r="K33" s="79" t="s">
        <v>1319</v>
      </c>
    </row>
    <row r="34" spans="2:11" ht="15" customHeight="1">
      <c r="J34" s="81" t="s">
        <v>1289</v>
      </c>
      <c r="K34" s="81" t="s">
        <v>1319</v>
      </c>
    </row>
    <row r="35" spans="2:11" ht="15" customHeight="1" thickBot="1">
      <c r="B35" s="70" t="s">
        <v>1468</v>
      </c>
      <c r="C35" s="83" t="s">
        <v>1303</v>
      </c>
      <c r="D35" s="83" t="str">
        <f>_xlfn.XLOOKUP(C35,J:J,K:K)</f>
        <v>Very credit supportive</v>
      </c>
      <c r="E35" s="84">
        <f>_xlfn.XLOOKUP(D35,G:G,H:H)</f>
        <v>3</v>
      </c>
      <c r="J35" s="81" t="s">
        <v>1290</v>
      </c>
      <c r="K35" s="81" t="s">
        <v>1317</v>
      </c>
    </row>
    <row r="36" spans="2:11">
      <c r="J36" s="81" t="s">
        <v>1293</v>
      </c>
      <c r="K36" s="81" t="s">
        <v>1318</v>
      </c>
    </row>
    <row r="37" spans="2:11" ht="15" customHeight="1">
      <c r="B37" s="74" t="s">
        <v>1132</v>
      </c>
      <c r="J37" s="81" t="s">
        <v>1254</v>
      </c>
      <c r="K37" s="81" t="s">
        <v>1318</v>
      </c>
    </row>
    <row r="38" spans="2:11" ht="15" customHeight="1">
      <c r="B38" s="370" t="s">
        <v>1485</v>
      </c>
      <c r="C38" s="370"/>
      <c r="D38" s="370"/>
      <c r="E38" s="370"/>
      <c r="J38" s="81" t="s">
        <v>1294</v>
      </c>
      <c r="K38" s="81" t="s">
        <v>1319</v>
      </c>
    </row>
    <row r="39" spans="2:11" ht="15" customHeight="1">
      <c r="B39" s="370" t="s">
        <v>1486</v>
      </c>
      <c r="C39" s="370"/>
      <c r="D39" s="370"/>
      <c r="E39" s="370"/>
      <c r="J39" s="81" t="s">
        <v>1295</v>
      </c>
      <c r="K39" s="81" t="s">
        <v>1317</v>
      </c>
    </row>
    <row r="40" spans="2:11" ht="15" customHeight="1">
      <c r="B40" s="75" t="s">
        <v>1321</v>
      </c>
      <c r="J40" s="81" t="s">
        <v>1296</v>
      </c>
      <c r="K40" s="81" t="s">
        <v>1311</v>
      </c>
    </row>
    <row r="41" spans="2:11" ht="15" customHeight="1">
      <c r="J41" s="81" t="s">
        <v>1297</v>
      </c>
      <c r="K41" s="81" t="s">
        <v>1318</v>
      </c>
    </row>
    <row r="42" spans="2:11" ht="15" customHeight="1">
      <c r="J42" s="81" t="s">
        <v>1298</v>
      </c>
      <c r="K42" s="81" t="s">
        <v>1319</v>
      </c>
    </row>
    <row r="43" spans="2:11" ht="15" customHeight="1">
      <c r="J43" s="81" t="s">
        <v>1300</v>
      </c>
      <c r="K43" s="81" t="s">
        <v>1319</v>
      </c>
    </row>
    <row r="44" spans="2:11" ht="15" customHeight="1">
      <c r="B44" s="54"/>
      <c r="J44" s="81" t="s">
        <v>1035</v>
      </c>
      <c r="K44" s="81" t="s">
        <v>1318</v>
      </c>
    </row>
    <row r="45" spans="2:11" ht="15" customHeight="1">
      <c r="B45" s="54"/>
      <c r="J45" s="81" t="s">
        <v>1040</v>
      </c>
      <c r="K45" s="81" t="s">
        <v>1318</v>
      </c>
    </row>
    <row r="46" spans="2:11" ht="15" customHeight="1">
      <c r="J46" s="81" t="s">
        <v>1038</v>
      </c>
      <c r="K46" s="81" t="s">
        <v>1317</v>
      </c>
    </row>
    <row r="47" spans="2:11" ht="15" customHeight="1">
      <c r="J47" s="81" t="s">
        <v>1036</v>
      </c>
      <c r="K47" s="81" t="s">
        <v>1319</v>
      </c>
    </row>
    <row r="48" spans="2:11" ht="15" customHeight="1">
      <c r="J48" s="81" t="s">
        <v>1301</v>
      </c>
      <c r="K48" s="81" t="s">
        <v>1318</v>
      </c>
    </row>
    <row r="49" spans="10:11" ht="15" customHeight="1">
      <c r="J49" s="81" t="s">
        <v>1302</v>
      </c>
      <c r="K49" s="81" t="s">
        <v>1318</v>
      </c>
    </row>
    <row r="50" spans="10:11" ht="15" customHeight="1">
      <c r="J50" s="81" t="s">
        <v>1303</v>
      </c>
      <c r="K50" s="81" t="s">
        <v>1318</v>
      </c>
    </row>
    <row r="51" spans="10:11" ht="15" customHeight="1">
      <c r="J51" s="81" t="s">
        <v>1031</v>
      </c>
      <c r="K51" s="81" t="s">
        <v>1319</v>
      </c>
    </row>
    <row r="52" spans="10:11" ht="15" customHeight="1">
      <c r="J52" s="81" t="s">
        <v>1304</v>
      </c>
      <c r="K52" s="81" t="s">
        <v>1318</v>
      </c>
    </row>
    <row r="53" spans="10:11" ht="15" customHeight="1">
      <c r="J53" s="81" t="s">
        <v>1276</v>
      </c>
      <c r="K53" s="81" t="s">
        <v>1319</v>
      </c>
    </row>
    <row r="54" spans="10:11" ht="15" customHeight="1">
      <c r="J54" s="81" t="s">
        <v>1305</v>
      </c>
      <c r="K54" s="81" t="s">
        <v>1319</v>
      </c>
    </row>
    <row r="55" spans="10:11" ht="15" customHeight="1">
      <c r="J55" s="81" t="s">
        <v>1306</v>
      </c>
      <c r="K55" s="81" t="s">
        <v>1318</v>
      </c>
    </row>
    <row r="56" spans="10:11" ht="15" customHeight="1">
      <c r="J56" s="81" t="s">
        <v>1037</v>
      </c>
      <c r="K56" s="81" t="s">
        <v>1319</v>
      </c>
    </row>
    <row r="57" spans="10:11" ht="15" customHeight="1">
      <c r="J57" s="81" t="s">
        <v>1039</v>
      </c>
      <c r="K57" s="81" t="s">
        <v>1318</v>
      </c>
    </row>
    <row r="58" spans="10:11" ht="15" customHeight="1">
      <c r="J58" s="81" t="s">
        <v>1307</v>
      </c>
      <c r="K58" s="81" t="s">
        <v>1318</v>
      </c>
    </row>
    <row r="59" spans="10:11" ht="15" customHeight="1">
      <c r="J59" s="81" t="s">
        <v>1308</v>
      </c>
      <c r="K59" s="81" t="s">
        <v>1316</v>
      </c>
    </row>
    <row r="60" spans="10:11" ht="15" customHeight="1">
      <c r="J60" s="81" t="s">
        <v>1309</v>
      </c>
      <c r="K60" s="81" t="s">
        <v>1318</v>
      </c>
    </row>
    <row r="61" spans="10:11" ht="15" customHeight="1"/>
    <row r="62" spans="10:11" ht="15" customHeight="1"/>
    <row r="63" spans="10:11" ht="15" customHeight="1"/>
    <row r="64" spans="10:11" ht="15" customHeight="1"/>
    <row r="65" spans="7:8" ht="15" customHeight="1"/>
    <row r="66" spans="7:8" ht="15" customHeight="1"/>
    <row r="67" spans="7:8" ht="15" customHeight="1">
      <c r="G67" s="79"/>
      <c r="H67" s="79"/>
    </row>
    <row r="68" spans="7:8" ht="15" customHeight="1">
      <c r="G68" s="79"/>
      <c r="H68" s="79"/>
    </row>
    <row r="69" spans="7:8" ht="15" customHeight="1">
      <c r="G69" s="79"/>
      <c r="H69" s="79"/>
    </row>
    <row r="70" spans="7:8" ht="15" customHeight="1">
      <c r="G70" s="79"/>
      <c r="H70" s="79"/>
    </row>
    <row r="71" spans="7:8" ht="15" customHeight="1">
      <c r="G71" s="79"/>
      <c r="H71" s="79"/>
    </row>
    <row r="72" spans="7:8" ht="15" customHeight="1"/>
    <row r="73" spans="7:8" ht="15" customHeight="1"/>
    <row r="74" spans="7:8" ht="15" customHeight="1"/>
    <row r="75" spans="7:8" ht="15" customHeight="1"/>
    <row r="76" spans="7:8" ht="15" customHeight="1"/>
    <row r="77" spans="7:8" ht="15" customHeight="1"/>
    <row r="78" spans="7:8" ht="15" customHeight="1"/>
    <row r="79" spans="7:8" ht="15" customHeight="1"/>
    <row r="80" spans="7:8"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71" ht="24" customHeight="1"/>
  </sheetData>
  <sortState xmlns:xlrd2="http://schemas.microsoft.com/office/spreadsheetml/2017/richdata2" ref="G8:H12">
    <sortCondition ref="H8:H12"/>
  </sortState>
  <mergeCells count="5">
    <mergeCell ref="B39:E39"/>
    <mergeCell ref="B2:E2"/>
    <mergeCell ref="B3:E3"/>
    <mergeCell ref="D6:E6"/>
    <mergeCell ref="B38:E38"/>
  </mergeCells>
  <printOptions horizontalCentered="1"/>
  <pageMargins left="0.7" right="0.7" top="1.25" bottom="0.75" header="0.3" footer="0.3"/>
  <pageSetup scale="50" orientation="portrait" useFirstPageNumber="1" r:id="rId1"/>
  <headerFooter scaleWithDoc="0">
    <oddHeader>&amp;C&amp;"Times New Roman,Regular"&amp;9MIDAMERICAN ENERGY COMPANY
2026 SOUTH DAKOTA GAS RATE CASE
Docket No. NG26-____
FOR THE YEAR ENDING DECEMBER 31, 2025
Individual Responsible: Ann Bulkley&amp;R&amp;"Times New Roman,Regular"&amp;9Exhibit AEB 1.1
&amp;A
Page &amp;P of &amp;N</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D13D6-AC5A-4C60-98FB-2E35A70F9CD2}">
  <sheetPr>
    <pageSetUpPr autoPageBreaks="0" fitToPage="1"/>
  </sheetPr>
  <dimension ref="B1:O60"/>
  <sheetViews>
    <sheetView showGridLines="0" view="pageLayout" zoomScale="85" zoomScaleNormal="115" zoomScaleSheetLayoutView="115" zoomScalePageLayoutView="85" workbookViewId="0">
      <selection activeCell="G15" sqref="G15"/>
    </sheetView>
  </sheetViews>
  <sheetFormatPr defaultColWidth="8.5703125" defaultRowHeight="15" customHeight="1"/>
  <cols>
    <col min="1" max="1" width="4.5703125" style="234" customWidth="1"/>
    <col min="2" max="2" width="30.85546875" style="265" customWidth="1"/>
    <col min="3" max="3" width="15.85546875" style="265" customWidth="1"/>
    <col min="4" max="4" width="7.5703125" style="265" customWidth="1"/>
    <col min="5" max="5" width="8.5703125" style="265"/>
    <col min="6" max="6" width="14.42578125" style="265" customWidth="1"/>
    <col min="7" max="7" width="13.7109375" style="265" customWidth="1"/>
    <col min="8" max="9" width="9.5703125" style="234" bestFit="1" customWidth="1"/>
    <col min="10" max="10" width="10.85546875" style="234" bestFit="1" customWidth="1"/>
    <col min="11" max="14" width="8.5703125" style="234"/>
    <col min="15" max="15" width="14.5703125" style="234" bestFit="1" customWidth="1"/>
    <col min="16" max="16384" width="8.5703125" style="234"/>
  </cols>
  <sheetData>
    <row r="1" spans="2:12" ht="15" customHeight="1">
      <c r="B1" s="241"/>
      <c r="C1" s="241"/>
      <c r="D1" s="241"/>
      <c r="E1" s="241"/>
      <c r="F1" s="241"/>
      <c r="G1" s="241"/>
    </row>
    <row r="2" spans="2:12" ht="15" customHeight="1">
      <c r="B2" s="239" t="s">
        <v>1487</v>
      </c>
      <c r="C2" s="237"/>
      <c r="D2" s="237"/>
      <c r="E2" s="237"/>
      <c r="F2" s="237"/>
      <c r="G2" s="237"/>
    </row>
    <row r="3" spans="2:12" ht="15" customHeight="1">
      <c r="B3" s="241"/>
      <c r="C3" s="241"/>
      <c r="D3" s="241"/>
      <c r="E3" s="241"/>
      <c r="F3" s="241"/>
      <c r="G3" s="241"/>
    </row>
    <row r="4" spans="2:12" ht="15" customHeight="1">
      <c r="B4" s="237" t="s">
        <v>1488</v>
      </c>
      <c r="C4" s="237"/>
      <c r="D4" s="237"/>
      <c r="E4" s="237"/>
      <c r="F4" s="237"/>
      <c r="G4" s="237"/>
    </row>
    <row r="5" spans="2:12" ht="15" customHeight="1">
      <c r="B5" s="241"/>
      <c r="C5" s="241"/>
      <c r="D5" s="241"/>
      <c r="E5" s="241"/>
      <c r="F5" s="241"/>
      <c r="G5" s="241"/>
    </row>
    <row r="6" spans="2:12" ht="15" customHeight="1" thickBot="1">
      <c r="B6" s="241"/>
      <c r="C6" s="241"/>
      <c r="D6" s="241"/>
      <c r="E6" s="241"/>
      <c r="F6" s="238"/>
      <c r="G6" s="238" t="s">
        <v>859</v>
      </c>
    </row>
    <row r="7" spans="2:12" ht="15" customHeight="1">
      <c r="B7" s="236"/>
      <c r="C7" s="236"/>
      <c r="D7" s="236"/>
      <c r="E7" s="236"/>
      <c r="F7" s="236"/>
      <c r="G7" s="240" t="s">
        <v>42</v>
      </c>
    </row>
    <row r="8" spans="2:12" ht="15" customHeight="1">
      <c r="B8" s="241"/>
      <c r="C8" s="241"/>
      <c r="D8" s="241"/>
      <c r="E8" s="241"/>
      <c r="F8" s="241"/>
      <c r="G8" s="235" t="s">
        <v>46</v>
      </c>
    </row>
    <row r="9" spans="2:12" ht="15" customHeight="1">
      <c r="B9" s="233" t="s">
        <v>0</v>
      </c>
      <c r="C9" s="233"/>
      <c r="D9" s="233"/>
      <c r="E9" s="233"/>
      <c r="F9" s="242" t="s">
        <v>37</v>
      </c>
      <c r="G9" s="242" t="s">
        <v>1489</v>
      </c>
    </row>
    <row r="10" spans="2:12" ht="15" customHeight="1">
      <c r="B10" s="108" t="s">
        <v>2</v>
      </c>
      <c r="C10" s="241"/>
      <c r="D10" s="241"/>
      <c r="E10" s="218"/>
      <c r="F10" s="218" t="s">
        <v>3</v>
      </c>
      <c r="G10" s="243">
        <v>28.719309206554197</v>
      </c>
      <c r="H10" s="275"/>
      <c r="I10" s="275"/>
    </row>
    <row r="11" spans="2:12" ht="15" customHeight="1">
      <c r="B11" s="108" t="s">
        <v>1402</v>
      </c>
      <c r="C11" s="241"/>
      <c r="D11" s="241"/>
      <c r="E11" s="218"/>
      <c r="F11" s="218" t="s">
        <v>1362</v>
      </c>
      <c r="G11" s="244">
        <v>2.9624740158377416</v>
      </c>
      <c r="H11" s="275"/>
      <c r="I11" s="275"/>
      <c r="K11" s="245"/>
      <c r="L11" s="245"/>
    </row>
    <row r="12" spans="2:12" ht="15" customHeight="1">
      <c r="B12" s="108" t="s">
        <v>1490</v>
      </c>
      <c r="C12" s="241"/>
      <c r="D12" s="241"/>
      <c r="E12" s="218"/>
      <c r="F12" s="218" t="s">
        <v>6</v>
      </c>
      <c r="G12" s="244">
        <v>22.534108488462898</v>
      </c>
      <c r="H12" s="275"/>
      <c r="I12" s="275"/>
      <c r="K12" s="245"/>
      <c r="L12" s="245"/>
    </row>
    <row r="13" spans="2:12" ht="15" customHeight="1">
      <c r="B13" s="108" t="s">
        <v>1011</v>
      </c>
      <c r="C13" s="241"/>
      <c r="D13" s="241"/>
      <c r="E13" s="218"/>
      <c r="F13" s="218" t="s">
        <v>1012</v>
      </c>
      <c r="G13" s="244">
        <v>2.0811720411561292</v>
      </c>
      <c r="H13" s="275"/>
      <c r="I13" s="275"/>
      <c r="K13" s="245"/>
      <c r="L13" s="245"/>
    </row>
    <row r="14" spans="2:12" ht="15" customHeight="1">
      <c r="B14" s="108" t="s">
        <v>7</v>
      </c>
      <c r="C14" s="241"/>
      <c r="D14" s="241"/>
      <c r="E14" s="218"/>
      <c r="F14" s="218" t="s">
        <v>8</v>
      </c>
      <c r="G14" s="244">
        <v>4.9378726527425805</v>
      </c>
      <c r="H14" s="275"/>
      <c r="I14" s="275"/>
      <c r="K14" s="245"/>
      <c r="L14" s="245"/>
    </row>
    <row r="15" spans="2:12" ht="15" customHeight="1">
      <c r="B15" s="108" t="s">
        <v>1134</v>
      </c>
      <c r="C15" s="241"/>
      <c r="D15" s="241"/>
      <c r="E15" s="218"/>
      <c r="F15" s="218" t="s">
        <v>1135</v>
      </c>
      <c r="G15" s="244">
        <v>6.3877362507803239</v>
      </c>
      <c r="H15" s="275"/>
      <c r="I15" s="275"/>
      <c r="K15" s="245"/>
      <c r="L15" s="245"/>
    </row>
    <row r="16" spans="2:12" ht="15" customHeight="1">
      <c r="B16" s="246"/>
      <c r="C16" s="237"/>
      <c r="D16" s="237"/>
      <c r="E16" s="237"/>
      <c r="F16" s="237"/>
      <c r="G16" s="247"/>
      <c r="K16" s="245"/>
      <c r="L16" s="245"/>
    </row>
    <row r="17" spans="2:15" ht="16.149999999999999" customHeight="1" thickBot="1">
      <c r="B17" s="248" t="s">
        <v>36</v>
      </c>
      <c r="C17" s="248"/>
      <c r="D17" s="248"/>
      <c r="E17" s="248"/>
      <c r="F17" s="249"/>
      <c r="G17" s="250">
        <f>MEDIAN(G10:G15)</f>
        <v>5.6628044517614526</v>
      </c>
      <c r="O17" s="251"/>
    </row>
    <row r="19" spans="2:15" ht="15" customHeight="1">
      <c r="B19" s="268" t="s">
        <v>1510</v>
      </c>
      <c r="C19" s="241"/>
      <c r="D19" s="241"/>
      <c r="E19" s="241"/>
      <c r="F19" s="241"/>
      <c r="G19" s="252"/>
    </row>
    <row r="20" spans="2:15" ht="15" customHeight="1">
      <c r="B20" s="253" t="s">
        <v>1491</v>
      </c>
      <c r="C20" s="241"/>
      <c r="D20" s="241"/>
      <c r="E20" s="235" t="s">
        <v>860</v>
      </c>
      <c r="F20" s="241"/>
      <c r="G20" s="277">
        <v>198.49600000000001</v>
      </c>
    </row>
    <row r="21" spans="2:15" ht="15" customHeight="1">
      <c r="B21" s="253" t="s">
        <v>1492</v>
      </c>
      <c r="C21" s="241"/>
      <c r="D21" s="241"/>
      <c r="E21" s="235" t="s">
        <v>861</v>
      </c>
      <c r="F21" s="241"/>
      <c r="G21" s="276">
        <v>0.54481000000000002</v>
      </c>
      <c r="J21" s="355"/>
    </row>
    <row r="22" spans="2:15" ht="15" customHeight="1">
      <c r="B22" s="253" t="s">
        <v>1493</v>
      </c>
      <c r="C22" s="241"/>
      <c r="D22" s="241"/>
      <c r="E22" s="235" t="s">
        <v>38</v>
      </c>
      <c r="F22" s="241"/>
      <c r="G22" s="252">
        <f>G20*G21</f>
        <v>108.14260576000001</v>
      </c>
    </row>
    <row r="23" spans="2:15" ht="15" customHeight="1">
      <c r="B23" s="253"/>
      <c r="C23" s="246"/>
      <c r="D23" s="246"/>
      <c r="E23" s="246"/>
      <c r="F23" s="246"/>
      <c r="G23" s="252"/>
    </row>
    <row r="24" spans="2:15" ht="15" customHeight="1">
      <c r="B24" s="253"/>
      <c r="C24" s="246"/>
      <c r="D24" s="246"/>
      <c r="E24" s="246"/>
      <c r="F24" s="246"/>
      <c r="G24" s="252"/>
    </row>
    <row r="25" spans="2:15" ht="15" customHeight="1">
      <c r="B25" s="246" t="s">
        <v>1494</v>
      </c>
      <c r="C25" s="241"/>
      <c r="D25" s="241"/>
      <c r="E25" s="235" t="s">
        <v>39</v>
      </c>
      <c r="F25" s="241"/>
      <c r="G25" s="252">
        <f>G17*1000</f>
        <v>5662.8044517614526</v>
      </c>
    </row>
    <row r="28" spans="2:15" ht="15" customHeight="1">
      <c r="B28" s="237" t="s">
        <v>1495</v>
      </c>
      <c r="C28" s="237"/>
      <c r="D28" s="237"/>
      <c r="E28" s="237"/>
      <c r="F28" s="237"/>
      <c r="G28" s="237"/>
    </row>
    <row r="29" spans="2:15" ht="15" customHeight="1">
      <c r="B29" s="237"/>
      <c r="C29" s="237"/>
      <c r="D29" s="237"/>
      <c r="E29" s="237"/>
      <c r="F29" s="237"/>
      <c r="G29" s="237"/>
    </row>
    <row r="30" spans="2:15" ht="15" customHeight="1" thickBot="1">
      <c r="B30" s="241"/>
      <c r="C30" s="241"/>
      <c r="D30" s="241"/>
      <c r="E30" s="241"/>
      <c r="F30" s="238" t="s">
        <v>40</v>
      </c>
      <c r="G30" s="238" t="s">
        <v>847</v>
      </c>
    </row>
    <row r="31" spans="2:15" ht="15" customHeight="1">
      <c r="B31" s="236"/>
      <c r="C31" s="236"/>
      <c r="D31" s="236"/>
      <c r="E31" s="236"/>
      <c r="F31" s="255" t="s">
        <v>42</v>
      </c>
      <c r="G31" s="255"/>
    </row>
    <row r="32" spans="2:15" ht="15" customHeight="1">
      <c r="B32" s="241"/>
      <c r="C32" s="241"/>
      <c r="D32" s="241"/>
      <c r="E32" s="241"/>
      <c r="F32" s="238" t="s">
        <v>46</v>
      </c>
      <c r="G32" s="238"/>
    </row>
    <row r="33" spans="2:7" ht="15" customHeight="1">
      <c r="B33" s="241"/>
      <c r="C33" s="241"/>
      <c r="D33" s="241"/>
      <c r="E33" s="241"/>
      <c r="F33" s="238" t="s">
        <v>1496</v>
      </c>
      <c r="G33" s="238"/>
    </row>
    <row r="34" spans="2:7" ht="15" customHeight="1">
      <c r="B34" s="241"/>
      <c r="C34" s="241"/>
      <c r="D34" s="241"/>
      <c r="E34" s="241"/>
      <c r="F34" s="238" t="s">
        <v>0</v>
      </c>
      <c r="G34" s="238" t="s">
        <v>1497</v>
      </c>
    </row>
    <row r="35" spans="2:7" ht="15" customHeight="1">
      <c r="B35" s="256" t="s">
        <v>1498</v>
      </c>
      <c r="C35" s="256"/>
      <c r="D35" s="256"/>
      <c r="E35" s="256"/>
      <c r="F35" s="257" t="s">
        <v>1499</v>
      </c>
      <c r="G35" s="257" t="s">
        <v>1006</v>
      </c>
    </row>
    <row r="36" spans="2:7" ht="15" customHeight="1">
      <c r="B36" s="246" t="s">
        <v>1500</v>
      </c>
      <c r="C36" s="241"/>
      <c r="D36" s="241"/>
      <c r="E36" s="241"/>
      <c r="F36" s="258">
        <v>4542663.3045809995</v>
      </c>
      <c r="G36" s="259">
        <v>1.1308999999999999E-4</v>
      </c>
    </row>
    <row r="37" spans="2:7" ht="15" customHeight="1">
      <c r="B37" s="246">
        <v>2</v>
      </c>
      <c r="C37" s="241"/>
      <c r="D37" s="241"/>
      <c r="E37" s="241"/>
      <c r="F37" s="258">
        <v>53647.975064999999</v>
      </c>
      <c r="G37" s="254">
        <v>2.7320199999999999E-3</v>
      </c>
    </row>
    <row r="38" spans="2:7" ht="15" customHeight="1">
      <c r="B38" s="246">
        <v>3</v>
      </c>
      <c r="C38" s="241"/>
      <c r="D38" s="241"/>
      <c r="E38" s="241"/>
      <c r="F38" s="258">
        <v>20493.884625999999</v>
      </c>
      <c r="G38" s="254">
        <v>3.9845899999999997E-3</v>
      </c>
    </row>
    <row r="39" spans="2:7" ht="15" customHeight="1">
      <c r="B39" s="246">
        <v>4</v>
      </c>
      <c r="C39" s="241"/>
      <c r="D39" s="241"/>
      <c r="E39" s="241"/>
      <c r="F39" s="258">
        <v>10707.825257</v>
      </c>
      <c r="G39" s="254">
        <v>3.7186000000000003E-3</v>
      </c>
    </row>
    <row r="40" spans="2:7" ht="15" customHeight="1">
      <c r="B40" s="246">
        <v>5</v>
      </c>
      <c r="C40" s="241"/>
      <c r="D40" s="241"/>
      <c r="E40" s="241"/>
      <c r="F40" s="258">
        <v>6442.6083200000003</v>
      </c>
      <c r="G40" s="254">
        <v>6.4598199999999998E-3</v>
      </c>
    </row>
    <row r="41" spans="2:7" ht="15" customHeight="1">
      <c r="B41" s="246">
        <v>6</v>
      </c>
      <c r="C41" s="241"/>
      <c r="D41" s="241"/>
      <c r="E41" s="241"/>
      <c r="F41" s="258">
        <v>4232.2722860000003</v>
      </c>
      <c r="G41" s="254">
        <v>8.8163000000000009E-3</v>
      </c>
    </row>
    <row r="42" spans="2:7" ht="15" customHeight="1">
      <c r="B42" s="246">
        <v>7</v>
      </c>
      <c r="C42" s="241"/>
      <c r="D42" s="241"/>
      <c r="E42" s="241"/>
      <c r="F42" s="258">
        <v>2518.4308099999998</v>
      </c>
      <c r="G42" s="254">
        <v>1.054275E-2</v>
      </c>
    </row>
    <row r="43" spans="2:7" ht="15" customHeight="1">
      <c r="B43" s="246">
        <v>8</v>
      </c>
      <c r="C43" s="241"/>
      <c r="D43" s="241"/>
      <c r="E43" s="241"/>
      <c r="F43" s="258">
        <v>1472.328773</v>
      </c>
      <c r="G43" s="254">
        <v>7.6970600000000004E-3</v>
      </c>
    </row>
    <row r="44" spans="2:7" ht="15" customHeight="1">
      <c r="B44" s="246">
        <v>9</v>
      </c>
      <c r="C44" s="241"/>
      <c r="D44" s="241"/>
      <c r="E44" s="241"/>
      <c r="F44" s="258">
        <v>782.17261499999995</v>
      </c>
      <c r="G44" s="254">
        <v>1.6764870000000001E-2</v>
      </c>
    </row>
    <row r="45" spans="2:7" ht="15" customHeight="1">
      <c r="B45" s="260" t="s">
        <v>1501</v>
      </c>
      <c r="C45" s="256"/>
      <c r="D45" s="256"/>
      <c r="E45" s="256"/>
      <c r="F45" s="261">
        <v>351.05057699999998</v>
      </c>
      <c r="G45" s="262">
        <v>4.3740920000000003E-2</v>
      </c>
    </row>
    <row r="46" spans="2:7" ht="15" customHeight="1">
      <c r="B46" s="241"/>
      <c r="C46" s="241"/>
      <c r="D46" s="241"/>
      <c r="E46" s="241"/>
      <c r="F46" s="241"/>
      <c r="G46" s="241"/>
    </row>
    <row r="47" spans="2:7" ht="15" customHeight="1">
      <c r="B47" s="268" t="str">
        <f>CONCATENATE(B19," Common Equity")</f>
        <v>MidAmerican South Dakota Common Equity</v>
      </c>
      <c r="C47" s="241"/>
      <c r="D47" s="241"/>
      <c r="E47" s="235" t="s">
        <v>38</v>
      </c>
      <c r="F47" s="263">
        <f>G22</f>
        <v>108.14260576000001</v>
      </c>
      <c r="G47" s="254">
        <f>G45</f>
        <v>4.3740920000000003E-2</v>
      </c>
    </row>
    <row r="48" spans="2:7" ht="15" customHeight="1">
      <c r="B48" s="241" t="s">
        <v>1502</v>
      </c>
      <c r="C48" s="241"/>
      <c r="D48" s="241"/>
      <c r="E48" s="235" t="s">
        <v>39</v>
      </c>
      <c r="F48" s="263">
        <f>G25</f>
        <v>5662.8044517614526</v>
      </c>
      <c r="G48" s="254">
        <f>G40</f>
        <v>6.4598199999999998E-3</v>
      </c>
    </row>
    <row r="49" spans="2:7" ht="15" customHeight="1">
      <c r="B49" s="241"/>
      <c r="C49" s="241"/>
      <c r="D49" s="241"/>
      <c r="E49" s="241"/>
      <c r="F49" s="241"/>
      <c r="G49" s="241"/>
    </row>
    <row r="50" spans="2:7" ht="15" customHeight="1" thickBot="1">
      <c r="B50" s="241" t="s">
        <v>1503</v>
      </c>
      <c r="C50" s="241"/>
      <c r="D50" s="241"/>
      <c r="E50" s="235" t="s">
        <v>848</v>
      </c>
      <c r="F50" s="241"/>
      <c r="G50" s="264">
        <f>G47-G48</f>
        <v>3.7281100000000005E-2</v>
      </c>
    </row>
    <row r="51" spans="2:7" ht="15" customHeight="1" thickTop="1"/>
    <row r="53" spans="2:7" ht="15" customHeight="1">
      <c r="B53" s="266" t="s">
        <v>839</v>
      </c>
    </row>
    <row r="54" spans="2:7" ht="15" customHeight="1">
      <c r="B54" s="267" t="s">
        <v>1529</v>
      </c>
    </row>
    <row r="55" spans="2:7" ht="15" customHeight="1">
      <c r="B55" s="267" t="s">
        <v>1504</v>
      </c>
    </row>
    <row r="56" spans="2:7" ht="15" customHeight="1">
      <c r="B56" s="267" t="s">
        <v>1505</v>
      </c>
    </row>
    <row r="57" spans="2:7" ht="15" customHeight="1">
      <c r="B57" s="267" t="s">
        <v>1506</v>
      </c>
    </row>
    <row r="58" spans="2:7" ht="15" customHeight="1">
      <c r="B58" s="267" t="s">
        <v>1507</v>
      </c>
    </row>
    <row r="59" spans="2:7" ht="15" customHeight="1">
      <c r="B59" s="267" t="s">
        <v>1508</v>
      </c>
    </row>
    <row r="60" spans="2:7" ht="15" customHeight="1">
      <c r="B60" s="267" t="s">
        <v>1509</v>
      </c>
    </row>
  </sheetData>
  <conditionalFormatting sqref="B10:B15">
    <cfRule type="expression" dxfId="3" priority="3">
      <formula>"(blank)"</formula>
    </cfRule>
    <cfRule type="expression" dxfId="2" priority="4">
      <formula>#REF!</formula>
    </cfRule>
  </conditionalFormatting>
  <conditionalFormatting sqref="E10:F15">
    <cfRule type="expression" dxfId="1" priority="1">
      <formula>"(blank)"</formula>
    </cfRule>
    <cfRule type="expression" dxfId="0" priority="2">
      <formula>#REF!</formula>
    </cfRule>
  </conditionalFormatting>
  <printOptions horizontalCentered="1"/>
  <pageMargins left="0.7" right="0.7" top="1.25" bottom="0.75" header="0.3" footer="0.3"/>
  <pageSetup scale="74" orientation="portrait" useFirstPageNumber="1" horizontalDpi="1200" verticalDpi="1200" r:id="rId1"/>
  <headerFooter scaleWithDoc="0">
    <oddHeader>&amp;C&amp;"Times New Roman,Regular"&amp;9MIDAMERICAN ENERGY COMPANY
2026 SOUTH DAKOTA GAS RATE CASE
Docket No. NG26-____
FOR THE YEAR ENDING DECEMBER 31, 2025
Individual Responsible: Ann Bulkley&amp;R&amp;"Times New Roman,Regular"&amp;9Exhibit AEB 1.1
&amp;A
Page &amp;P of &amp;N</oddHeader>
  </headerFooter>
  <rowBreaks count="1" manualBreakCount="1">
    <brk id="27" min="1" max="6"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dimension ref="B3:W59"/>
  <sheetViews>
    <sheetView view="pageLayout" zoomScaleNormal="80" zoomScaleSheetLayoutView="75" workbookViewId="0">
      <selection activeCell="B1" sqref="B1"/>
    </sheetView>
  </sheetViews>
  <sheetFormatPr defaultColWidth="9.140625" defaultRowHeight="15.75"/>
  <cols>
    <col min="1" max="1" width="1.7109375" style="215" customWidth="1"/>
    <col min="2" max="2" width="43" style="215" customWidth="1"/>
    <col min="3" max="5" width="10.5703125" style="216" customWidth="1"/>
    <col min="6" max="6" width="12.28515625" style="216" customWidth="1"/>
    <col min="7" max="7" width="11" style="216" customWidth="1"/>
    <col min="8" max="8" width="2.28515625" style="215" customWidth="1"/>
    <col min="9" max="9" width="2" style="215" customWidth="1"/>
    <col min="10" max="10" width="43" style="215" customWidth="1"/>
    <col min="11" max="13" width="10.5703125" style="216" customWidth="1"/>
    <col min="14" max="14" width="12.28515625" style="216" customWidth="1"/>
    <col min="15" max="15" width="11" style="216" customWidth="1"/>
    <col min="16" max="17" width="1.7109375" style="215" customWidth="1"/>
    <col min="18" max="18" width="43" style="215" customWidth="1"/>
    <col min="19" max="21" width="10.5703125" style="216" customWidth="1"/>
    <col min="22" max="22" width="12.28515625" style="216" customWidth="1"/>
    <col min="23" max="23" width="11" style="216" customWidth="1"/>
    <col min="24" max="24" width="3" style="215" customWidth="1"/>
    <col min="25" max="25" width="3.140625" style="215" customWidth="1"/>
    <col min="26" max="16384" width="9.140625" style="215"/>
  </cols>
  <sheetData>
    <row r="3" spans="2:23" ht="20.100000000000001" customHeight="1">
      <c r="B3" s="371" t="s">
        <v>1403</v>
      </c>
      <c r="C3" s="371"/>
      <c r="D3" s="371"/>
      <c r="E3" s="371"/>
      <c r="F3" s="371"/>
      <c r="G3" s="371"/>
      <c r="J3" s="371" t="s">
        <v>1403</v>
      </c>
      <c r="K3" s="371"/>
      <c r="L3" s="371"/>
      <c r="M3" s="371"/>
      <c r="N3" s="371"/>
      <c r="O3" s="371"/>
      <c r="R3" s="371" t="s">
        <v>1403</v>
      </c>
      <c r="S3" s="371"/>
      <c r="T3" s="371"/>
      <c r="U3" s="371"/>
      <c r="V3" s="371"/>
      <c r="W3" s="371"/>
    </row>
    <row r="4" spans="2:23" ht="15" customHeight="1">
      <c r="B4" s="216"/>
      <c r="H4" s="278"/>
      <c r="I4" s="278"/>
      <c r="J4" s="216"/>
      <c r="P4" s="278"/>
      <c r="Q4" s="278"/>
      <c r="R4" s="216"/>
    </row>
    <row r="5" spans="2:23" ht="15" customHeight="1">
      <c r="B5" s="372" t="s">
        <v>1404</v>
      </c>
      <c r="C5" s="372"/>
      <c r="D5" s="372"/>
      <c r="E5" s="372"/>
      <c r="F5" s="372"/>
      <c r="G5" s="373"/>
      <c r="H5" s="278"/>
      <c r="I5" s="278"/>
      <c r="J5" s="372" t="s">
        <v>1405</v>
      </c>
      <c r="K5" s="372"/>
      <c r="L5" s="372"/>
      <c r="M5" s="372"/>
      <c r="N5" s="372"/>
      <c r="O5" s="373"/>
      <c r="P5" s="278"/>
      <c r="Q5" s="278"/>
      <c r="R5" s="372" t="s">
        <v>1406</v>
      </c>
      <c r="S5" s="372"/>
      <c r="T5" s="372"/>
      <c r="U5" s="372"/>
      <c r="V5" s="372"/>
      <c r="W5" s="373"/>
    </row>
    <row r="6" spans="2:23" ht="20.100000000000001" customHeight="1">
      <c r="B6" s="279" t="s">
        <v>1407</v>
      </c>
      <c r="C6" s="280" t="s">
        <v>37</v>
      </c>
      <c r="D6" s="280">
        <v>2025</v>
      </c>
      <c r="E6" s="280">
        <v>2024</v>
      </c>
      <c r="F6" s="280">
        <v>2023</v>
      </c>
      <c r="G6" s="280" t="s">
        <v>1408</v>
      </c>
      <c r="H6" s="278"/>
      <c r="I6" s="278"/>
      <c r="J6" s="279" t="s">
        <v>1407</v>
      </c>
      <c r="K6" s="280" t="s">
        <v>37</v>
      </c>
      <c r="L6" s="280">
        <v>2025</v>
      </c>
      <c r="M6" s="280">
        <v>2024</v>
      </c>
      <c r="N6" s="280">
        <v>2023</v>
      </c>
      <c r="O6" s="280" t="s">
        <v>1408</v>
      </c>
      <c r="P6" s="278"/>
      <c r="Q6" s="278"/>
      <c r="R6" s="279" t="s">
        <v>1407</v>
      </c>
      <c r="S6" s="280" t="s">
        <v>37</v>
      </c>
      <c r="T6" s="280">
        <v>2025</v>
      </c>
      <c r="U6" s="280">
        <v>2024</v>
      </c>
      <c r="V6" s="280">
        <v>2023</v>
      </c>
      <c r="W6" s="280" t="s">
        <v>1408</v>
      </c>
    </row>
    <row r="7" spans="2:23" s="282" customFormat="1" ht="15" customHeight="1">
      <c r="B7" s="217" t="s">
        <v>2</v>
      </c>
      <c r="C7" s="218" t="s">
        <v>3</v>
      </c>
      <c r="D7" s="281">
        <v>0.59998299552124379</v>
      </c>
      <c r="E7" s="219">
        <v>0.60257957986553612</v>
      </c>
      <c r="F7" s="219">
        <v>0.60202489920293589</v>
      </c>
      <c r="G7" s="219">
        <v>0.60152915819657193</v>
      </c>
      <c r="J7" s="217" t="s">
        <v>2</v>
      </c>
      <c r="K7" s="218" t="s">
        <v>3</v>
      </c>
      <c r="L7" s="281">
        <v>0.40001700447875621</v>
      </c>
      <c r="M7" s="219">
        <v>0.39742042013446399</v>
      </c>
      <c r="N7" s="219">
        <v>0.39797510079706416</v>
      </c>
      <c r="O7" s="219">
        <v>0.39847084180342812</v>
      </c>
      <c r="R7" s="217" t="s">
        <v>2</v>
      </c>
      <c r="S7" s="218" t="s">
        <v>3</v>
      </c>
      <c r="T7" s="281">
        <v>0</v>
      </c>
      <c r="U7" s="219">
        <v>0</v>
      </c>
      <c r="V7" s="219">
        <v>0</v>
      </c>
      <c r="W7" s="219">
        <v>0</v>
      </c>
    </row>
    <row r="8" spans="2:23" s="282" customFormat="1" ht="15" customHeight="1">
      <c r="B8" s="217" t="s">
        <v>1361</v>
      </c>
      <c r="C8" s="218" t="s">
        <v>1362</v>
      </c>
      <c r="D8" s="281">
        <v>0.52235148029540557</v>
      </c>
      <c r="E8" s="219">
        <v>0.51923507880779862</v>
      </c>
      <c r="F8" s="219">
        <v>0.50825957498878327</v>
      </c>
      <c r="G8" s="219">
        <v>0.51661537803066249</v>
      </c>
      <c r="J8" s="217" t="s">
        <v>1361</v>
      </c>
      <c r="K8" s="218" t="s">
        <v>1362</v>
      </c>
      <c r="L8" s="281">
        <v>0.47764851970459449</v>
      </c>
      <c r="M8" s="219">
        <v>0.48076492119220138</v>
      </c>
      <c r="N8" s="219">
        <v>0.49174042501121673</v>
      </c>
      <c r="O8" s="219">
        <v>0.48338462196933757</v>
      </c>
      <c r="R8" s="217" t="s">
        <v>1361</v>
      </c>
      <c r="S8" s="218" t="s">
        <v>1362</v>
      </c>
      <c r="T8" s="281">
        <v>0</v>
      </c>
      <c r="U8" s="219">
        <v>0</v>
      </c>
      <c r="V8" s="219">
        <v>0</v>
      </c>
      <c r="W8" s="219">
        <v>0</v>
      </c>
    </row>
    <row r="9" spans="2:23" s="282" customFormat="1">
      <c r="B9" s="217" t="s">
        <v>5</v>
      </c>
      <c r="C9" s="218" t="s">
        <v>6</v>
      </c>
      <c r="D9" s="281">
        <v>0.55832183196135332</v>
      </c>
      <c r="E9" s="219">
        <v>0.54885046954755834</v>
      </c>
      <c r="F9" s="219">
        <v>0.5544402300053789</v>
      </c>
      <c r="G9" s="219">
        <v>0.55387084383809693</v>
      </c>
      <c r="J9" s="217" t="s">
        <v>5</v>
      </c>
      <c r="K9" s="218" t="s">
        <v>6</v>
      </c>
      <c r="L9" s="281">
        <v>0.44167816803864668</v>
      </c>
      <c r="M9" s="219">
        <v>0.45114953045244161</v>
      </c>
      <c r="N9" s="219">
        <v>0.4455597699946211</v>
      </c>
      <c r="O9" s="219">
        <v>0.44612915616190313</v>
      </c>
      <c r="R9" s="217" t="s">
        <v>5</v>
      </c>
      <c r="S9" s="218" t="s">
        <v>6</v>
      </c>
      <c r="T9" s="281">
        <v>0</v>
      </c>
      <c r="U9" s="219">
        <v>0</v>
      </c>
      <c r="V9" s="219">
        <v>0</v>
      </c>
      <c r="W9" s="219">
        <v>0</v>
      </c>
    </row>
    <row r="10" spans="2:23" s="282" customFormat="1">
      <c r="B10" s="217" t="s">
        <v>1011</v>
      </c>
      <c r="C10" s="218" t="s">
        <v>1012</v>
      </c>
      <c r="D10" s="281">
        <v>0.51243831554149766</v>
      </c>
      <c r="E10" s="219">
        <v>0.49603919544270214</v>
      </c>
      <c r="F10" s="219">
        <v>0.4726441385702787</v>
      </c>
      <c r="G10" s="219">
        <v>0.49370721651815952</v>
      </c>
      <c r="J10" s="217" t="s">
        <v>1011</v>
      </c>
      <c r="K10" s="218" t="s">
        <v>1012</v>
      </c>
      <c r="L10" s="281">
        <v>0.48756168445850234</v>
      </c>
      <c r="M10" s="219">
        <v>0.50396080455729786</v>
      </c>
      <c r="N10" s="219">
        <v>0.52735586142972124</v>
      </c>
      <c r="O10" s="219">
        <v>0.50629278348184048</v>
      </c>
      <c r="R10" s="217" t="s">
        <v>1011</v>
      </c>
      <c r="S10" s="218" t="s">
        <v>1012</v>
      </c>
      <c r="T10" s="281">
        <v>0</v>
      </c>
      <c r="U10" s="219">
        <v>0</v>
      </c>
      <c r="V10" s="219">
        <v>0</v>
      </c>
      <c r="W10" s="219">
        <v>0</v>
      </c>
    </row>
    <row r="11" spans="2:23" s="282" customFormat="1">
      <c r="B11" s="217" t="s">
        <v>7</v>
      </c>
      <c r="C11" s="218" t="s">
        <v>8</v>
      </c>
      <c r="D11" s="281">
        <v>0.70183072104772637</v>
      </c>
      <c r="E11" s="219">
        <v>0.68931711161316434</v>
      </c>
      <c r="F11" s="219">
        <v>0.70681303612556379</v>
      </c>
      <c r="G11" s="219">
        <v>0.69932028959548476</v>
      </c>
      <c r="J11" s="217" t="s">
        <v>7</v>
      </c>
      <c r="K11" s="218" t="s">
        <v>8</v>
      </c>
      <c r="L11" s="281">
        <v>0.29816927895227363</v>
      </c>
      <c r="M11" s="219">
        <v>0.31068288838683555</v>
      </c>
      <c r="N11" s="219">
        <v>0.29318696387443638</v>
      </c>
      <c r="O11" s="219">
        <v>0.30067971040451519</v>
      </c>
      <c r="R11" s="217" t="s">
        <v>7</v>
      </c>
      <c r="S11" s="218" t="s">
        <v>8</v>
      </c>
      <c r="T11" s="281">
        <v>0</v>
      </c>
      <c r="U11" s="219">
        <v>0</v>
      </c>
      <c r="V11" s="219">
        <v>0</v>
      </c>
      <c r="W11" s="219">
        <v>0</v>
      </c>
    </row>
    <row r="12" spans="2:23" s="282" customFormat="1">
      <c r="B12" s="217" t="s">
        <v>1134</v>
      </c>
      <c r="C12" s="218" t="s">
        <v>1135</v>
      </c>
      <c r="D12" s="281">
        <v>0.49983973987904012</v>
      </c>
      <c r="E12" s="219">
        <v>0.47847930266636746</v>
      </c>
      <c r="F12" s="219">
        <v>0.47449353979583703</v>
      </c>
      <c r="G12" s="219">
        <v>0.48427086078041487</v>
      </c>
      <c r="J12" s="217" t="s">
        <v>1134</v>
      </c>
      <c r="K12" s="218" t="s">
        <v>1135</v>
      </c>
      <c r="L12" s="281">
        <v>0.50016026012095982</v>
      </c>
      <c r="M12" s="219">
        <v>0.52152069733363249</v>
      </c>
      <c r="N12" s="219">
        <v>0.52550646020416292</v>
      </c>
      <c r="O12" s="219">
        <v>0.51572913921958508</v>
      </c>
      <c r="R12" s="217" t="s">
        <v>1134</v>
      </c>
      <c r="S12" s="218" t="s">
        <v>1135</v>
      </c>
      <c r="T12" s="281">
        <v>0</v>
      </c>
      <c r="U12" s="219">
        <v>0</v>
      </c>
      <c r="V12" s="219">
        <v>0</v>
      </c>
      <c r="W12" s="219">
        <v>0</v>
      </c>
    </row>
    <row r="13" spans="2:23" s="282" customFormat="1" ht="15" customHeight="1">
      <c r="B13" s="217"/>
      <c r="C13" s="218"/>
      <c r="D13" s="283"/>
      <c r="E13" s="283"/>
      <c r="F13" s="283"/>
      <c r="G13" s="219"/>
      <c r="J13" s="217"/>
      <c r="K13" s="218"/>
      <c r="L13" s="283"/>
      <c r="M13" s="283"/>
      <c r="N13" s="283"/>
      <c r="O13" s="219"/>
      <c r="R13" s="217"/>
      <c r="S13" s="218"/>
      <c r="T13" s="283"/>
      <c r="U13" s="283"/>
      <c r="V13" s="283"/>
      <c r="W13" s="219"/>
    </row>
    <row r="14" spans="2:23" s="282" customFormat="1" ht="15" customHeight="1">
      <c r="B14" s="284" t="s">
        <v>1409</v>
      </c>
      <c r="C14" s="285"/>
      <c r="D14" s="285"/>
      <c r="E14" s="285"/>
      <c r="F14" s="285"/>
      <c r="G14" s="285"/>
      <c r="J14" s="284" t="s">
        <v>1409</v>
      </c>
      <c r="K14" s="285"/>
      <c r="L14" s="285"/>
      <c r="M14" s="285"/>
      <c r="N14" s="285"/>
      <c r="O14" s="285"/>
      <c r="R14" s="284" t="s">
        <v>1409</v>
      </c>
      <c r="S14" s="285"/>
      <c r="T14" s="285"/>
      <c r="U14" s="285"/>
      <c r="V14" s="285"/>
      <c r="W14" s="285"/>
    </row>
    <row r="15" spans="2:23" ht="15" customHeight="1">
      <c r="B15" s="286" t="s">
        <v>1410</v>
      </c>
      <c r="C15" s="287"/>
      <c r="D15" s="288">
        <f>AVERAGE(D7:D12)</f>
        <v>0.56579418070771115</v>
      </c>
      <c r="E15" s="288">
        <f>AVERAGE(E7:E12)</f>
        <v>0.55575012299052118</v>
      </c>
      <c r="F15" s="288">
        <f>AVERAGE(F7:F12)</f>
        <v>0.55311256978146295</v>
      </c>
      <c r="G15" s="288">
        <f>AVERAGE(G7:G12)</f>
        <v>0.55821895782656505</v>
      </c>
      <c r="H15" s="278"/>
      <c r="I15" s="278"/>
      <c r="J15" s="286" t="s">
        <v>1410</v>
      </c>
      <c r="K15" s="287"/>
      <c r="L15" s="288">
        <f>AVERAGE(L7:L12)</f>
        <v>0.4342058192922888</v>
      </c>
      <c r="M15" s="288">
        <f>AVERAGE(M7:M12)</f>
        <v>0.44424987700947877</v>
      </c>
      <c r="N15" s="288">
        <f>AVERAGE(N7:N12)</f>
        <v>0.44688743021853705</v>
      </c>
      <c r="O15" s="288">
        <f>AVERAGE(O7:O12)</f>
        <v>0.44178104217343495</v>
      </c>
      <c r="P15" s="278"/>
      <c r="Q15" s="278"/>
      <c r="R15" s="286" t="s">
        <v>1410</v>
      </c>
      <c r="S15" s="287"/>
      <c r="T15" s="288">
        <f>AVERAGE(T7:T12)</f>
        <v>0</v>
      </c>
      <c r="U15" s="288">
        <f>AVERAGE(U7:U12)</f>
        <v>0</v>
      </c>
      <c r="V15" s="288">
        <f>AVERAGE(V7:V12)</f>
        <v>0</v>
      </c>
      <c r="W15" s="288">
        <f>AVERAGE(W7:W12)</f>
        <v>0</v>
      </c>
    </row>
    <row r="16" spans="2:23" ht="15" customHeight="1">
      <c r="B16" s="284" t="s">
        <v>483</v>
      </c>
      <c r="C16" s="285"/>
      <c r="D16" s="289">
        <f>MIN(D7:D12)</f>
        <v>0.49983973987904012</v>
      </c>
      <c r="E16" s="289">
        <f>MIN(E7:E12)</f>
        <v>0.47847930266636746</v>
      </c>
      <c r="F16" s="289">
        <f>MIN(F7:F12)</f>
        <v>0.4726441385702787</v>
      </c>
      <c r="G16" s="289">
        <f>MIN(G7:G12)</f>
        <v>0.48427086078041487</v>
      </c>
      <c r="H16" s="278"/>
      <c r="I16" s="278"/>
      <c r="J16" s="284" t="s">
        <v>483</v>
      </c>
      <c r="K16" s="285"/>
      <c r="L16" s="289">
        <f>MIN(L7:L12)</f>
        <v>0.29816927895227363</v>
      </c>
      <c r="M16" s="289">
        <f>MIN(M7:M12)</f>
        <v>0.31068288838683555</v>
      </c>
      <c r="N16" s="289">
        <f>MIN(N7:N12)</f>
        <v>0.29318696387443638</v>
      </c>
      <c r="O16" s="289">
        <f>MIN(O7:O12)</f>
        <v>0.30067971040451519</v>
      </c>
      <c r="P16" s="278"/>
      <c r="Q16" s="278"/>
      <c r="R16" s="284" t="s">
        <v>483</v>
      </c>
      <c r="S16" s="285"/>
      <c r="T16" s="289">
        <f>MIN(T7:T12)</f>
        <v>0</v>
      </c>
      <c r="U16" s="289">
        <f>MIN(U7:U12)</f>
        <v>0</v>
      </c>
      <c r="V16" s="289">
        <f>MIN(V7:V12)</f>
        <v>0</v>
      </c>
      <c r="W16" s="289">
        <f>MIN(W7:W12)</f>
        <v>0</v>
      </c>
    </row>
    <row r="17" spans="2:23" ht="15" customHeight="1" thickBot="1">
      <c r="B17" s="290" t="s">
        <v>1411</v>
      </c>
      <c r="C17" s="291"/>
      <c r="D17" s="292">
        <f>MAX(D7:D12)</f>
        <v>0.70183072104772637</v>
      </c>
      <c r="E17" s="292">
        <f>MAX(E7:E12)</f>
        <v>0.68931711161316434</v>
      </c>
      <c r="F17" s="292">
        <f>MAX(F7:F12)</f>
        <v>0.70681303612556379</v>
      </c>
      <c r="G17" s="292">
        <f>MAX(G7:G12)</f>
        <v>0.69932028959548476</v>
      </c>
      <c r="H17" s="278"/>
      <c r="I17" s="278"/>
      <c r="J17" s="290" t="s">
        <v>1411</v>
      </c>
      <c r="K17" s="291"/>
      <c r="L17" s="292">
        <f>MAX(L7:L12)</f>
        <v>0.50016026012095982</v>
      </c>
      <c r="M17" s="292">
        <f>MAX(M7:M12)</f>
        <v>0.52152069733363249</v>
      </c>
      <c r="N17" s="292">
        <f>MAX(N7:N12)</f>
        <v>0.52735586142972124</v>
      </c>
      <c r="O17" s="292">
        <f>MAX(O7:O12)</f>
        <v>0.51572913921958508</v>
      </c>
      <c r="P17" s="278"/>
      <c r="Q17" s="278"/>
      <c r="R17" s="290" t="s">
        <v>1411</v>
      </c>
      <c r="S17" s="291"/>
      <c r="T17" s="292">
        <f>MAX(T7:T12)</f>
        <v>0</v>
      </c>
      <c r="U17" s="292">
        <f>MAX(U7:U12)</f>
        <v>0</v>
      </c>
      <c r="V17" s="292">
        <f>MAX(V7:V12)</f>
        <v>0</v>
      </c>
      <c r="W17" s="292">
        <f>MAX(W7:W12)</f>
        <v>0</v>
      </c>
    </row>
    <row r="18" spans="2:23" ht="15" customHeight="1">
      <c r="B18" s="284"/>
      <c r="C18" s="285"/>
      <c r="D18" s="285"/>
      <c r="E18" s="285"/>
      <c r="F18" s="220"/>
      <c r="G18" s="220"/>
      <c r="H18" s="278"/>
      <c r="I18" s="278"/>
      <c r="J18" s="284"/>
      <c r="K18" s="285"/>
      <c r="L18" s="285"/>
      <c r="M18" s="285"/>
      <c r="N18" s="220"/>
      <c r="O18" s="220"/>
      <c r="P18" s="278"/>
      <c r="Q18" s="278"/>
      <c r="R18" s="284"/>
      <c r="S18" s="285"/>
      <c r="T18" s="285"/>
      <c r="U18" s="285"/>
      <c r="V18" s="220"/>
      <c r="W18" s="220"/>
    </row>
    <row r="19" spans="2:23" ht="15" customHeight="1">
      <c r="B19" s="284"/>
      <c r="C19" s="285"/>
      <c r="D19" s="285"/>
      <c r="E19" s="285"/>
      <c r="H19" s="278"/>
      <c r="I19" s="278"/>
      <c r="J19" s="284"/>
      <c r="K19" s="285"/>
      <c r="L19" s="285"/>
      <c r="M19" s="285"/>
      <c r="P19" s="278"/>
      <c r="Q19" s="278"/>
      <c r="R19" s="284"/>
      <c r="S19" s="285"/>
      <c r="T19" s="285"/>
      <c r="U19" s="285"/>
    </row>
    <row r="20" spans="2:23" ht="15" customHeight="1">
      <c r="B20" s="372" t="s">
        <v>1412</v>
      </c>
      <c r="C20" s="372"/>
      <c r="D20" s="372"/>
      <c r="E20" s="372"/>
      <c r="F20" s="372"/>
      <c r="G20" s="373"/>
      <c r="H20" s="278"/>
      <c r="I20" s="278"/>
      <c r="J20" s="372" t="s">
        <v>1413</v>
      </c>
      <c r="K20" s="372"/>
      <c r="L20" s="372"/>
      <c r="M20" s="372"/>
      <c r="N20" s="372"/>
      <c r="O20" s="373"/>
      <c r="P20" s="278"/>
      <c r="Q20" s="278"/>
      <c r="R20" s="372" t="s">
        <v>1414</v>
      </c>
      <c r="S20" s="372"/>
      <c r="T20" s="372"/>
      <c r="U20" s="372"/>
      <c r="V20" s="372"/>
      <c r="W20" s="373"/>
    </row>
    <row r="21" spans="2:23" ht="15" customHeight="1">
      <c r="B21" s="279" t="s">
        <v>1415</v>
      </c>
      <c r="C21" s="280" t="s">
        <v>37</v>
      </c>
      <c r="D21" s="280">
        <v>2025</v>
      </c>
      <c r="E21" s="280">
        <v>2024</v>
      </c>
      <c r="F21" s="280">
        <v>2023</v>
      </c>
      <c r="G21" s="280" t="s">
        <v>1408</v>
      </c>
      <c r="H21" s="278"/>
      <c r="I21" s="278"/>
      <c r="J21" s="279" t="s">
        <v>1415</v>
      </c>
      <c r="K21" s="280" t="s">
        <v>37</v>
      </c>
      <c r="L21" s="280">
        <v>2025</v>
      </c>
      <c r="M21" s="280">
        <v>2024</v>
      </c>
      <c r="N21" s="280">
        <v>2023</v>
      </c>
      <c r="O21" s="280" t="s">
        <v>1408</v>
      </c>
      <c r="P21" s="278"/>
      <c r="Q21" s="278"/>
      <c r="R21" s="279" t="s">
        <v>1415</v>
      </c>
      <c r="S21" s="280" t="s">
        <v>37</v>
      </c>
      <c r="T21" s="280">
        <v>2025</v>
      </c>
      <c r="U21" s="280">
        <v>2024</v>
      </c>
      <c r="V21" s="280">
        <v>2023</v>
      </c>
      <c r="W21" s="280" t="s">
        <v>1408</v>
      </c>
    </row>
    <row r="22" spans="2:23" ht="15" customHeight="1">
      <c r="B22" s="217" t="s">
        <v>2</v>
      </c>
      <c r="C22" s="285" t="s">
        <v>3</v>
      </c>
      <c r="D22" s="219">
        <v>0.59998299552124379</v>
      </c>
      <c r="E22" s="219">
        <v>0.60257957986553612</v>
      </c>
      <c r="F22" s="219">
        <v>0.60202489920293589</v>
      </c>
      <c r="G22" s="219">
        <v>0.60152915819657193</v>
      </c>
      <c r="H22" s="278"/>
      <c r="I22" s="278"/>
      <c r="J22" s="217" t="s">
        <v>2</v>
      </c>
      <c r="K22" s="285" t="s">
        <v>3</v>
      </c>
      <c r="L22" s="219">
        <v>0.40001700447875621</v>
      </c>
      <c r="M22" s="219">
        <v>0.39742042013446399</v>
      </c>
      <c r="N22" s="219">
        <v>0.39797510079706416</v>
      </c>
      <c r="O22" s="219">
        <v>0.39847084180342812</v>
      </c>
      <c r="P22" s="278"/>
      <c r="Q22" s="278"/>
      <c r="R22" s="217" t="s">
        <v>2</v>
      </c>
      <c r="S22" s="285" t="s">
        <v>3</v>
      </c>
      <c r="T22" s="219">
        <v>0</v>
      </c>
      <c r="U22" s="219">
        <v>0</v>
      </c>
      <c r="V22" s="219">
        <v>0</v>
      </c>
      <c r="W22" s="219">
        <v>0</v>
      </c>
    </row>
    <row r="23" spans="2:23" ht="15" customHeight="1">
      <c r="B23" s="217" t="s">
        <v>1361</v>
      </c>
      <c r="C23" s="285" t="s">
        <v>1362</v>
      </c>
      <c r="D23" s="219">
        <v>0.52235148029540557</v>
      </c>
      <c r="E23" s="219">
        <v>0.51923507880779862</v>
      </c>
      <c r="F23" s="219">
        <v>0.50825957498878327</v>
      </c>
      <c r="G23" s="219">
        <v>0.51661537803066249</v>
      </c>
      <c r="H23" s="278"/>
      <c r="I23" s="278"/>
      <c r="J23" s="217" t="s">
        <v>1361</v>
      </c>
      <c r="K23" s="285" t="s">
        <v>1362</v>
      </c>
      <c r="L23" s="219">
        <v>0.47764851970459449</v>
      </c>
      <c r="M23" s="219">
        <v>0.48076492119220138</v>
      </c>
      <c r="N23" s="219">
        <v>0.49174042501121673</v>
      </c>
      <c r="O23" s="219">
        <v>0.48338462196933757</v>
      </c>
      <c r="P23" s="278"/>
      <c r="Q23" s="278"/>
      <c r="R23" s="217" t="s">
        <v>1361</v>
      </c>
      <c r="S23" s="285" t="s">
        <v>1362</v>
      </c>
      <c r="T23" s="219">
        <v>0</v>
      </c>
      <c r="U23" s="219">
        <v>0</v>
      </c>
      <c r="V23" s="219">
        <v>0</v>
      </c>
      <c r="W23" s="219">
        <v>0</v>
      </c>
    </row>
    <row r="24" spans="2:23" ht="15" customHeight="1">
      <c r="B24" s="217" t="s">
        <v>1416</v>
      </c>
      <c r="C24" s="285" t="s">
        <v>6</v>
      </c>
      <c r="D24" s="219">
        <v>0.58475164806388669</v>
      </c>
      <c r="E24" s="219">
        <v>0.58235827586522171</v>
      </c>
      <c r="F24" s="219">
        <v>0.59262471882930357</v>
      </c>
      <c r="G24" s="219">
        <v>0.58657821425280388</v>
      </c>
      <c r="H24" s="278"/>
      <c r="I24" s="278"/>
      <c r="J24" s="217" t="s">
        <v>1416</v>
      </c>
      <c r="K24" s="285" t="s">
        <v>6</v>
      </c>
      <c r="L24" s="219">
        <v>0.41524835193611331</v>
      </c>
      <c r="M24" s="219">
        <v>0.41764172413477824</v>
      </c>
      <c r="N24" s="219">
        <v>0.40737528117069638</v>
      </c>
      <c r="O24" s="219">
        <v>0.41342178574719596</v>
      </c>
      <c r="P24" s="278"/>
      <c r="Q24" s="278"/>
      <c r="R24" s="217" t="s">
        <v>1416</v>
      </c>
      <c r="S24" s="285" t="s">
        <v>6</v>
      </c>
      <c r="T24" s="219">
        <v>0</v>
      </c>
      <c r="U24" s="219">
        <v>0</v>
      </c>
      <c r="V24" s="219">
        <v>0</v>
      </c>
      <c r="W24" s="219">
        <v>0</v>
      </c>
    </row>
    <row r="25" spans="2:23" ht="15" customHeight="1">
      <c r="B25" s="217" t="s">
        <v>1417</v>
      </c>
      <c r="C25" s="285" t="s">
        <v>6</v>
      </c>
      <c r="D25" s="219">
        <v>0.53650227841592957</v>
      </c>
      <c r="E25" s="219">
        <v>0.51438800241906446</v>
      </c>
      <c r="F25" s="219">
        <v>0.53655351187940137</v>
      </c>
      <c r="G25" s="219">
        <v>0.5291479309047985</v>
      </c>
      <c r="H25" s="278"/>
      <c r="I25" s="278"/>
      <c r="J25" s="217" t="s">
        <v>1417</v>
      </c>
      <c r="K25" s="285" t="s">
        <v>6</v>
      </c>
      <c r="L25" s="219">
        <v>0.46349772158407049</v>
      </c>
      <c r="M25" s="219">
        <v>0.48561199758093565</v>
      </c>
      <c r="N25" s="219">
        <v>0.46344648812059852</v>
      </c>
      <c r="O25" s="219">
        <v>0.47085206909520155</v>
      </c>
      <c r="P25" s="278"/>
      <c r="Q25" s="278"/>
      <c r="R25" s="217" t="s">
        <v>1417</v>
      </c>
      <c r="S25" s="285" t="s">
        <v>6</v>
      </c>
      <c r="T25" s="219">
        <v>0</v>
      </c>
      <c r="U25" s="219">
        <v>0</v>
      </c>
      <c r="V25" s="219">
        <v>0</v>
      </c>
      <c r="W25" s="219">
        <v>0</v>
      </c>
    </row>
    <row r="26" spans="2:23" ht="15" customHeight="1">
      <c r="B26" s="217" t="s">
        <v>1418</v>
      </c>
      <c r="C26" s="285" t="s">
        <v>6</v>
      </c>
      <c r="D26" s="219">
        <v>0.55100353853929496</v>
      </c>
      <c r="E26" s="219">
        <v>0.52002036365632565</v>
      </c>
      <c r="F26" s="219">
        <v>0.51997595174175593</v>
      </c>
      <c r="G26" s="219">
        <v>0.53033328464579221</v>
      </c>
      <c r="H26" s="278"/>
      <c r="I26" s="278"/>
      <c r="J26" s="217" t="s">
        <v>1418</v>
      </c>
      <c r="K26" s="285" t="s">
        <v>6</v>
      </c>
      <c r="L26" s="219">
        <v>0.44899646146070499</v>
      </c>
      <c r="M26" s="219">
        <v>0.47997963634367447</v>
      </c>
      <c r="N26" s="219">
        <v>0.48002404825824418</v>
      </c>
      <c r="O26" s="219">
        <v>0.46966671535420784</v>
      </c>
      <c r="P26" s="278"/>
      <c r="Q26" s="278"/>
      <c r="R26" s="217" t="s">
        <v>1418</v>
      </c>
      <c r="S26" s="285" t="s">
        <v>6</v>
      </c>
      <c r="T26" s="219">
        <v>0</v>
      </c>
      <c r="U26" s="219">
        <v>0</v>
      </c>
      <c r="V26" s="219">
        <v>0</v>
      </c>
      <c r="W26" s="219">
        <v>0</v>
      </c>
    </row>
    <row r="27" spans="2:23" ht="15" customHeight="1">
      <c r="B27" s="217" t="s">
        <v>1419</v>
      </c>
      <c r="C27" s="285" t="s">
        <v>6</v>
      </c>
      <c r="D27" s="219">
        <v>0.50675168911883262</v>
      </c>
      <c r="E27" s="219">
        <v>0.50269938924032631</v>
      </c>
      <c r="F27" s="219">
        <v>0.50498060370431752</v>
      </c>
      <c r="G27" s="219">
        <v>0.50481056068782548</v>
      </c>
      <c r="H27" s="278"/>
      <c r="I27" s="278"/>
      <c r="J27" s="217" t="s">
        <v>1419</v>
      </c>
      <c r="K27" s="285" t="s">
        <v>6</v>
      </c>
      <c r="L27" s="219">
        <v>0.4932483108811675</v>
      </c>
      <c r="M27" s="219">
        <v>0.49730061075967358</v>
      </c>
      <c r="N27" s="219">
        <v>0.49501939629568253</v>
      </c>
      <c r="O27" s="219">
        <v>0.49518943931217452</v>
      </c>
      <c r="P27" s="278"/>
      <c r="Q27" s="278"/>
      <c r="R27" s="217" t="s">
        <v>1419</v>
      </c>
      <c r="S27" s="285" t="s">
        <v>6</v>
      </c>
      <c r="T27" s="219">
        <v>0</v>
      </c>
      <c r="U27" s="219">
        <v>0</v>
      </c>
      <c r="V27" s="219">
        <v>0</v>
      </c>
      <c r="W27" s="219">
        <v>0</v>
      </c>
    </row>
    <row r="28" spans="2:23" ht="15" customHeight="1">
      <c r="B28" s="217" t="s">
        <v>1420</v>
      </c>
      <c r="C28" s="285" t="s">
        <v>6</v>
      </c>
      <c r="D28" s="219">
        <v>0.56221932284293707</v>
      </c>
      <c r="E28" s="219">
        <v>0.56071732513498296</v>
      </c>
      <c r="F28" s="219">
        <v>0.55879589580291256</v>
      </c>
      <c r="G28" s="219">
        <v>0.56057751459361083</v>
      </c>
      <c r="H28" s="278"/>
      <c r="I28" s="278"/>
      <c r="J28" s="217" t="s">
        <v>1420</v>
      </c>
      <c r="K28" s="285" t="s">
        <v>6</v>
      </c>
      <c r="L28" s="219">
        <v>0.43778067715706293</v>
      </c>
      <c r="M28" s="219">
        <v>0.4392826748650171</v>
      </c>
      <c r="N28" s="219">
        <v>0.44120410419708739</v>
      </c>
      <c r="O28" s="219">
        <v>0.43942248540638912</v>
      </c>
      <c r="P28" s="278"/>
      <c r="Q28" s="278"/>
      <c r="R28" s="217" t="s">
        <v>1420</v>
      </c>
      <c r="S28" s="285" t="s">
        <v>6</v>
      </c>
      <c r="T28" s="219">
        <v>0</v>
      </c>
      <c r="U28" s="219">
        <v>0</v>
      </c>
      <c r="V28" s="219">
        <v>0</v>
      </c>
      <c r="W28" s="219">
        <v>0</v>
      </c>
    </row>
    <row r="29" spans="2:23" ht="15" customHeight="1">
      <c r="B29" s="217" t="s">
        <v>1421</v>
      </c>
      <c r="C29" s="285" t="s">
        <v>6</v>
      </c>
      <c r="D29" s="219">
        <v>0.52937754257402803</v>
      </c>
      <c r="E29" s="219">
        <v>0.44584698236309384</v>
      </c>
      <c r="F29" s="219">
        <v>0.45249024498754292</v>
      </c>
      <c r="G29" s="219">
        <v>0.47590492330822159</v>
      </c>
      <c r="H29" s="278"/>
      <c r="I29" s="278"/>
      <c r="J29" s="217" t="s">
        <v>1421</v>
      </c>
      <c r="K29" s="285" t="s">
        <v>6</v>
      </c>
      <c r="L29" s="219">
        <v>0.47062245742597203</v>
      </c>
      <c r="M29" s="219">
        <v>0.55415301763690616</v>
      </c>
      <c r="N29" s="219">
        <v>0.54750975501245713</v>
      </c>
      <c r="O29" s="219">
        <v>0.52409507669177835</v>
      </c>
      <c r="P29" s="278"/>
      <c r="Q29" s="278"/>
      <c r="R29" s="217" t="s">
        <v>1421</v>
      </c>
      <c r="S29" s="285" t="s">
        <v>6</v>
      </c>
      <c r="T29" s="219">
        <v>0</v>
      </c>
      <c r="U29" s="219">
        <v>0</v>
      </c>
      <c r="V29" s="219">
        <v>0</v>
      </c>
      <c r="W29" s="219">
        <v>0</v>
      </c>
    </row>
    <row r="30" spans="2:23" ht="15" customHeight="1">
      <c r="B30" s="217" t="s">
        <v>1011</v>
      </c>
      <c r="C30" s="285" t="s">
        <v>1012</v>
      </c>
      <c r="D30" s="219">
        <v>0.51243831554149766</v>
      </c>
      <c r="E30" s="219">
        <v>0.49603919544270214</v>
      </c>
      <c r="F30" s="219">
        <v>0.4726441385702787</v>
      </c>
      <c r="G30" s="219">
        <v>0.49370721651815952</v>
      </c>
      <c r="H30" s="278"/>
      <c r="I30" s="278"/>
      <c r="J30" s="217" t="s">
        <v>1011</v>
      </c>
      <c r="K30" s="285" t="s">
        <v>1012</v>
      </c>
      <c r="L30" s="219">
        <v>0.48756168445850234</v>
      </c>
      <c r="M30" s="219">
        <v>0.50396080455729786</v>
      </c>
      <c r="N30" s="219">
        <v>0.52735586142972124</v>
      </c>
      <c r="O30" s="219">
        <v>0.50629278348184048</v>
      </c>
      <c r="P30" s="278"/>
      <c r="Q30" s="278"/>
      <c r="R30" s="217" t="s">
        <v>1011</v>
      </c>
      <c r="S30" s="285" t="s">
        <v>1012</v>
      </c>
      <c r="T30" s="219">
        <v>0</v>
      </c>
      <c r="U30" s="219">
        <v>0</v>
      </c>
      <c r="V30" s="219">
        <v>0</v>
      </c>
      <c r="W30" s="219">
        <v>0</v>
      </c>
    </row>
    <row r="31" spans="2:23" ht="15" customHeight="1">
      <c r="B31" s="217" t="s">
        <v>1422</v>
      </c>
      <c r="C31" s="285" t="s">
        <v>8</v>
      </c>
      <c r="D31" s="219">
        <v>0.5996159345417138</v>
      </c>
      <c r="E31" s="219">
        <v>0.59532716481138848</v>
      </c>
      <c r="F31" s="219">
        <v>0.60440525738601847</v>
      </c>
      <c r="G31" s="219">
        <v>0.59978278557970688</v>
      </c>
      <c r="H31" s="278"/>
      <c r="I31" s="278"/>
      <c r="J31" s="217" t="s">
        <v>1422</v>
      </c>
      <c r="K31" s="285" t="s">
        <v>8</v>
      </c>
      <c r="L31" s="219">
        <v>0.40038406545828631</v>
      </c>
      <c r="M31" s="219">
        <v>0.40467283518861158</v>
      </c>
      <c r="N31" s="219">
        <v>0.39559474261398159</v>
      </c>
      <c r="O31" s="219">
        <v>0.40021721442029318</v>
      </c>
      <c r="P31" s="278"/>
      <c r="Q31" s="278"/>
      <c r="R31" s="217" t="s">
        <v>1422</v>
      </c>
      <c r="S31" s="285" t="s">
        <v>8</v>
      </c>
      <c r="T31" s="219">
        <v>0</v>
      </c>
      <c r="U31" s="219">
        <v>0</v>
      </c>
      <c r="V31" s="219">
        <v>0</v>
      </c>
      <c r="W31" s="219">
        <v>0</v>
      </c>
    </row>
    <row r="32" spans="2:23" ht="15" customHeight="1">
      <c r="B32" s="217" t="s">
        <v>1423</v>
      </c>
      <c r="C32" s="285" t="s">
        <v>8</v>
      </c>
      <c r="D32" s="219">
        <v>0.59662095809245985</v>
      </c>
      <c r="E32" s="219">
        <v>0.592341961046294</v>
      </c>
      <c r="F32" s="219">
        <v>0.60457237973734612</v>
      </c>
      <c r="G32" s="219">
        <v>0.59784509962536669</v>
      </c>
      <c r="H32" s="278"/>
      <c r="I32" s="278"/>
      <c r="J32" s="217" t="s">
        <v>1423</v>
      </c>
      <c r="K32" s="285" t="s">
        <v>8</v>
      </c>
      <c r="L32" s="219">
        <v>0.4033790419075402</v>
      </c>
      <c r="M32" s="219">
        <v>0.40765803895370595</v>
      </c>
      <c r="N32" s="219">
        <v>0.39542762026265377</v>
      </c>
      <c r="O32" s="219">
        <v>0.40215490037463325</v>
      </c>
      <c r="P32" s="278"/>
      <c r="Q32" s="278"/>
      <c r="R32" s="217" t="s">
        <v>1423</v>
      </c>
      <c r="S32" s="285" t="s">
        <v>8</v>
      </c>
      <c r="T32" s="219">
        <v>0</v>
      </c>
      <c r="U32" s="219">
        <v>0</v>
      </c>
      <c r="V32" s="219">
        <v>0</v>
      </c>
      <c r="W32" s="219">
        <v>0</v>
      </c>
    </row>
    <row r="33" spans="2:23" ht="15" customHeight="1">
      <c r="B33" s="217" t="s">
        <v>1424</v>
      </c>
      <c r="C33" s="285" t="s">
        <v>8</v>
      </c>
      <c r="D33" s="219">
        <v>1</v>
      </c>
      <c r="E33" s="219">
        <v>1</v>
      </c>
      <c r="F33" s="219">
        <v>1</v>
      </c>
      <c r="G33" s="219">
        <v>1</v>
      </c>
      <c r="H33" s="278"/>
      <c r="I33" s="278"/>
      <c r="J33" s="217" t="s">
        <v>1424</v>
      </c>
      <c r="K33" s="285" t="s">
        <v>8</v>
      </c>
      <c r="L33" s="219">
        <v>0</v>
      </c>
      <c r="M33" s="219">
        <v>0</v>
      </c>
      <c r="N33" s="219">
        <v>0</v>
      </c>
      <c r="O33" s="219">
        <v>0</v>
      </c>
      <c r="P33" s="278"/>
      <c r="Q33" s="278"/>
      <c r="R33" s="217" t="s">
        <v>1424</v>
      </c>
      <c r="S33" s="285" t="s">
        <v>8</v>
      </c>
      <c r="T33" s="219">
        <v>0</v>
      </c>
      <c r="U33" s="219">
        <v>0</v>
      </c>
      <c r="V33" s="219">
        <v>0</v>
      </c>
      <c r="W33" s="219">
        <v>0</v>
      </c>
    </row>
    <row r="34" spans="2:23" ht="15" customHeight="1">
      <c r="B34" s="217" t="s">
        <v>1134</v>
      </c>
      <c r="C34" s="285" t="s">
        <v>1135</v>
      </c>
      <c r="D34" s="219">
        <v>0.49983973987904012</v>
      </c>
      <c r="E34" s="219">
        <v>0.47847930266636746</v>
      </c>
      <c r="F34" s="219">
        <v>0.47449353979583703</v>
      </c>
      <c r="G34" s="219">
        <v>0.48427086078041487</v>
      </c>
      <c r="H34" s="278"/>
      <c r="I34" s="278"/>
      <c r="J34" s="217" t="s">
        <v>1134</v>
      </c>
      <c r="K34" s="285" t="s">
        <v>1135</v>
      </c>
      <c r="L34" s="219">
        <v>0.50016026012095982</v>
      </c>
      <c r="M34" s="219">
        <v>0.52152069733363249</v>
      </c>
      <c r="N34" s="219">
        <v>0.52550646020416292</v>
      </c>
      <c r="O34" s="219">
        <v>0.51572913921958508</v>
      </c>
      <c r="P34" s="278"/>
      <c r="Q34" s="278"/>
      <c r="R34" s="217" t="s">
        <v>1134</v>
      </c>
      <c r="S34" s="285" t="s">
        <v>1135</v>
      </c>
      <c r="T34" s="219">
        <v>0</v>
      </c>
      <c r="U34" s="219">
        <v>0</v>
      </c>
      <c r="V34" s="219">
        <v>0</v>
      </c>
      <c r="W34" s="219">
        <v>0</v>
      </c>
    </row>
    <row r="35" spans="2:23" ht="15" customHeight="1"/>
    <row r="36" spans="2:23" ht="15" customHeight="1">
      <c r="B36" s="293" t="s">
        <v>839</v>
      </c>
      <c r="J36" s="293" t="s">
        <v>839</v>
      </c>
      <c r="R36" s="293" t="s">
        <v>839</v>
      </c>
    </row>
    <row r="37" spans="2:23" ht="15" customHeight="1">
      <c r="B37" s="375" t="s">
        <v>1536</v>
      </c>
      <c r="C37" s="375"/>
      <c r="D37" s="375"/>
      <c r="E37" s="375"/>
      <c r="F37" s="375"/>
      <c r="G37" s="375"/>
      <c r="H37" s="278"/>
      <c r="I37" s="278"/>
      <c r="J37" s="375" t="str">
        <f>B37</f>
        <v>[1] Ratios are weighted by actual common capital, preferred equity, and long-term debt of operating subsidiaries.</v>
      </c>
      <c r="K37" s="375"/>
      <c r="L37" s="375"/>
      <c r="M37" s="375"/>
      <c r="N37" s="375"/>
      <c r="O37" s="375"/>
      <c r="R37" s="375" t="str">
        <f>J37</f>
        <v>[1] Ratios are weighted by actual common capital, preferred equity, and long-term debt of operating subsidiaries.</v>
      </c>
      <c r="S37" s="375"/>
      <c r="T37" s="375"/>
      <c r="U37" s="375"/>
      <c r="V37" s="375"/>
      <c r="W37" s="375"/>
    </row>
    <row r="38" spans="2:23" ht="45" customHeight="1">
      <c r="B38" s="374" t="s">
        <v>1535</v>
      </c>
      <c r="C38" s="374"/>
      <c r="D38" s="374"/>
      <c r="E38" s="374"/>
      <c r="F38" s="374"/>
      <c r="G38" s="374"/>
      <c r="J38" s="374" t="str">
        <f>B38</f>
        <v>[2] Utility operating subsidiaries where data was unable to be obtained for 2025, 2024, and 2023 were removed from the analysis.</v>
      </c>
      <c r="K38" s="374"/>
      <c r="L38" s="374"/>
      <c r="M38" s="374"/>
      <c r="N38" s="374"/>
      <c r="O38" s="374"/>
      <c r="R38" s="374" t="str">
        <f>J38</f>
        <v>[2] Utility operating subsidiaries where data was unable to be obtained for 2025, 2024, and 2023 were removed from the analysis.</v>
      </c>
      <c r="S38" s="374"/>
      <c r="T38" s="374"/>
      <c r="U38" s="374"/>
      <c r="V38" s="374"/>
      <c r="W38" s="374"/>
    </row>
    <row r="39" spans="2:23" ht="15" customHeight="1">
      <c r="B39" s="217"/>
      <c r="J39" s="217"/>
      <c r="R39" s="217"/>
    </row>
    <row r="40" spans="2:23" ht="15" customHeight="1">
      <c r="B40" s="217"/>
      <c r="J40" s="217"/>
      <c r="R40" s="217"/>
    </row>
    <row r="41" spans="2:23" ht="15" customHeight="1">
      <c r="B41" s="221"/>
      <c r="J41" s="221"/>
      <c r="R41" s="221"/>
    </row>
    <row r="42" spans="2:23" ht="15" customHeight="1">
      <c r="B42" s="221"/>
      <c r="J42" s="221"/>
      <c r="R42" s="221"/>
    </row>
    <row r="43" spans="2:23" ht="15" customHeight="1">
      <c r="B43" s="14"/>
      <c r="J43" s="14"/>
      <c r="R43" s="14"/>
    </row>
    <row r="44" spans="2:23" ht="15" customHeight="1">
      <c r="B44" s="221"/>
      <c r="J44" s="221"/>
      <c r="R44" s="221"/>
    </row>
    <row r="45" spans="2:23" ht="15" customHeight="1">
      <c r="B45" s="221"/>
      <c r="J45" s="221"/>
      <c r="R45" s="221"/>
    </row>
    <row r="46" spans="2:23" ht="15" customHeight="1">
      <c r="B46" s="221"/>
      <c r="J46" s="221"/>
      <c r="R46" s="221"/>
    </row>
    <row r="47" spans="2:23" ht="15" customHeight="1">
      <c r="B47" s="221"/>
      <c r="J47" s="221"/>
      <c r="R47" s="221"/>
    </row>
    <row r="48" spans="2:23" ht="15" customHeight="1">
      <c r="B48" s="221"/>
      <c r="J48" s="221"/>
      <c r="R48" s="221"/>
    </row>
    <row r="49" spans="2:18" ht="15" customHeight="1">
      <c r="B49" s="14"/>
      <c r="J49" s="14"/>
      <c r="R49" s="14"/>
    </row>
    <row r="50" spans="2:18" ht="15" customHeight="1">
      <c r="B50" s="221"/>
      <c r="J50" s="221"/>
      <c r="R50" s="221"/>
    </row>
    <row r="51" spans="2:18" ht="15" customHeight="1">
      <c r="B51" s="221"/>
      <c r="J51" s="221"/>
      <c r="R51" s="221"/>
    </row>
    <row r="52" spans="2:18" ht="15" customHeight="1">
      <c r="B52" s="221"/>
      <c r="J52" s="221"/>
      <c r="R52" s="221"/>
    </row>
    <row r="53" spans="2:18" ht="15" customHeight="1">
      <c r="B53" s="217"/>
      <c r="J53" s="217"/>
      <c r="R53" s="217"/>
    </row>
    <row r="54" spans="2:18" ht="15" customHeight="1">
      <c r="B54" s="217"/>
      <c r="J54" s="217"/>
      <c r="R54" s="217"/>
    </row>
    <row r="55" spans="2:18" ht="15" customHeight="1">
      <c r="B55" s="221"/>
      <c r="J55" s="221"/>
      <c r="R55" s="221"/>
    </row>
    <row r="56" spans="2:18" ht="15" customHeight="1"/>
    <row r="57" spans="2:18" ht="15" customHeight="1"/>
    <row r="58" spans="2:18" ht="15" customHeight="1"/>
    <row r="59" spans="2:18" ht="15" customHeight="1"/>
  </sheetData>
  <dataConsolidate/>
  <mergeCells count="15">
    <mergeCell ref="B38:G38"/>
    <mergeCell ref="J38:O38"/>
    <mergeCell ref="R38:W38"/>
    <mergeCell ref="B20:G20"/>
    <mergeCell ref="J20:O20"/>
    <mergeCell ref="R20:W20"/>
    <mergeCell ref="B37:G37"/>
    <mergeCell ref="J37:O37"/>
    <mergeCell ref="R37:W37"/>
    <mergeCell ref="B3:G3"/>
    <mergeCell ref="J3:O3"/>
    <mergeCell ref="R3:W3"/>
    <mergeCell ref="B5:G5"/>
    <mergeCell ref="J5:O5"/>
    <mergeCell ref="R5:W5"/>
  </mergeCells>
  <printOptions horizontalCentered="1"/>
  <pageMargins left="0.7" right="0.7" top="1.25" bottom="0.75" header="0.3" footer="0.3"/>
  <pageSetup scale="60" orientation="portrait" useFirstPageNumber="1" r:id="rId1"/>
  <headerFooter scaleWithDoc="0">
    <oddHeader>&amp;C&amp;"Times New Roman,Regular"&amp;9MIDAMERICAN ENERGY COMPANY
2026 SOUTH DAKOTA GAS RATE CASE
Docket No. NG26-____
FOR THE YEAR ENDING DECEMBER 31, 2025
Individual Responsible: Ann Bulkley&amp;R&amp;"Times New Roman,Regular"&amp;9Exhibit AEB 1.1
&amp;A
Page &amp;P of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B2:M34"/>
  <sheetViews>
    <sheetView showGridLines="0" tabSelected="1" view="pageLayout" zoomScale="60" zoomScaleNormal="100" zoomScaleSheetLayoutView="115" zoomScalePageLayoutView="60" workbookViewId="0">
      <selection activeCell="G15" sqref="G15"/>
    </sheetView>
  </sheetViews>
  <sheetFormatPr defaultColWidth="8.7109375" defaultRowHeight="15" customHeight="1"/>
  <cols>
    <col min="1" max="1" width="8.7109375" style="1"/>
    <col min="2" max="2" width="29.85546875" style="1" customWidth="1"/>
    <col min="3" max="3" width="11" style="1" bestFit="1" customWidth="1"/>
    <col min="4" max="4" width="10.5703125" style="1" bestFit="1" customWidth="1"/>
    <col min="5" max="5" width="11.42578125" style="1" bestFit="1" customWidth="1"/>
    <col min="6" max="16384" width="8.7109375" style="1"/>
  </cols>
  <sheetData>
    <row r="2" spans="2:13" ht="15" customHeight="1">
      <c r="B2" s="357" t="s">
        <v>1322</v>
      </c>
      <c r="C2" s="357"/>
      <c r="D2" s="357"/>
      <c r="E2" s="357"/>
    </row>
    <row r="3" spans="2:13" ht="15" customHeight="1">
      <c r="B3" s="357" t="s">
        <v>1354</v>
      </c>
      <c r="C3" s="357"/>
      <c r="D3" s="357"/>
      <c r="E3" s="357"/>
    </row>
    <row r="4" spans="2:13" ht="15" customHeight="1">
      <c r="B4" s="2"/>
      <c r="C4" s="2"/>
      <c r="D4" s="2"/>
      <c r="E4" s="2"/>
      <c r="J4" s="3"/>
      <c r="K4" s="4"/>
      <c r="L4" s="4" t="s">
        <v>867</v>
      </c>
      <c r="M4" s="4" t="s">
        <v>868</v>
      </c>
    </row>
    <row r="5" spans="2:13" ht="15" customHeight="1">
      <c r="B5" s="4"/>
      <c r="C5" s="6"/>
      <c r="D5" s="6"/>
      <c r="E5" s="6"/>
      <c r="J5" s="3"/>
      <c r="K5" s="5" t="s">
        <v>869</v>
      </c>
      <c r="L5" s="6">
        <f>C13</f>
        <v>9.6680722436573829E-2</v>
      </c>
      <c r="M5" s="7">
        <v>7</v>
      </c>
    </row>
    <row r="6" spans="2:13" ht="15" customHeight="1">
      <c r="B6" s="144"/>
      <c r="C6" s="144"/>
      <c r="D6" s="144"/>
      <c r="E6" s="144"/>
      <c r="J6" s="3"/>
      <c r="K6" s="5"/>
      <c r="L6" s="6">
        <f>D13</f>
        <v>0.10623686617187585</v>
      </c>
      <c r="M6" s="7">
        <v>7</v>
      </c>
    </row>
    <row r="7" spans="2:13" ht="15" customHeight="1">
      <c r="B7" s="145"/>
      <c r="C7" s="146" t="s">
        <v>1099</v>
      </c>
      <c r="D7" s="146" t="s">
        <v>865</v>
      </c>
      <c r="E7" s="146" t="s">
        <v>1100</v>
      </c>
      <c r="J7" s="3"/>
      <c r="K7" s="5"/>
      <c r="L7" s="6">
        <f>E13</f>
        <v>0.11648152992630822</v>
      </c>
      <c r="M7" s="7">
        <v>7</v>
      </c>
    </row>
    <row r="8" spans="2:13" ht="15" customHeight="1">
      <c r="B8" s="145"/>
      <c r="C8" s="147" t="s">
        <v>1337</v>
      </c>
      <c r="D8" s="147" t="s">
        <v>1337</v>
      </c>
      <c r="E8" s="147" t="s">
        <v>1337</v>
      </c>
      <c r="J8" s="3"/>
      <c r="K8" s="8" t="s">
        <v>870</v>
      </c>
      <c r="L8" s="6">
        <f>MIN(C20:E21)</f>
        <v>0.11194128828474972</v>
      </c>
      <c r="M8" s="7">
        <v>5</v>
      </c>
    </row>
    <row r="9" spans="2:13" ht="15" customHeight="1">
      <c r="B9" s="270" t="s">
        <v>1041</v>
      </c>
      <c r="C9" s="146"/>
      <c r="D9" s="146"/>
      <c r="E9" s="146"/>
      <c r="J9" s="3"/>
      <c r="K9" s="8"/>
      <c r="L9" s="6">
        <f>MAX(C20:E21)</f>
        <v>0.11313363793822215</v>
      </c>
      <c r="M9" s="7">
        <v>5</v>
      </c>
    </row>
    <row r="10" spans="2:13" ht="15" customHeight="1">
      <c r="B10" s="271" t="s">
        <v>1106</v>
      </c>
      <c r="C10" s="151">
        <f>'AEB-4 CGDCF'!M19</f>
        <v>9.7357678102240955E-2</v>
      </c>
      <c r="D10" s="151">
        <f>'AEB-4 CGDCF'!N19</f>
        <v>0.10611535229189231</v>
      </c>
      <c r="E10" s="151">
        <f>'AEB-4 CGDCF'!O19</f>
        <v>0.11670143482242376</v>
      </c>
      <c r="J10" s="3"/>
      <c r="K10" s="8" t="s">
        <v>871</v>
      </c>
      <c r="L10" s="6">
        <f>MIN(C24:E25)</f>
        <v>0.11735306230847888</v>
      </c>
      <c r="M10" s="7">
        <v>2</v>
      </c>
    </row>
    <row r="11" spans="2:13" ht="15" customHeight="1">
      <c r="B11" s="271" t="s">
        <v>1107</v>
      </c>
      <c r="C11" s="151">
        <f>'AEB-4 CGDCF'!M56</f>
        <v>9.558074434350769E-2</v>
      </c>
      <c r="D11" s="151">
        <f>'AEB-4 CGDCF'!N56</f>
        <v>0.10545759764197923</v>
      </c>
      <c r="E11" s="151">
        <f>'AEB-4 CGDCF'!O56</f>
        <v>0.11617741136034541</v>
      </c>
      <c r="J11" s="3"/>
      <c r="K11" s="8"/>
      <c r="L11" s="6">
        <f>MAX(C24:E25)</f>
        <v>0.11824732454858319</v>
      </c>
      <c r="M11" s="7">
        <v>2</v>
      </c>
    </row>
    <row r="12" spans="2:13" ht="15" customHeight="1">
      <c r="B12" s="271" t="s">
        <v>1108</v>
      </c>
      <c r="C12" s="151">
        <f>'AEB-4 CGDCF'!M93</f>
        <v>9.710374486397283E-2</v>
      </c>
      <c r="D12" s="151">
        <f>'AEB-4 CGDCF'!N93</f>
        <v>0.10713764858175603</v>
      </c>
      <c r="E12" s="151">
        <f>'AEB-4 CGDCF'!O93</f>
        <v>0.11656574359615551</v>
      </c>
      <c r="J12" s="3"/>
      <c r="K12" s="9" t="s">
        <v>872</v>
      </c>
      <c r="L12" s="6">
        <f>MIN(C27:E27)</f>
        <v>0.10535151679851418</v>
      </c>
      <c r="M12" s="7">
        <v>1</v>
      </c>
    </row>
    <row r="13" spans="2:13" ht="15" customHeight="1">
      <c r="B13" s="272" t="s">
        <v>865</v>
      </c>
      <c r="C13" s="150">
        <f>AVERAGE(C10:C12)</f>
        <v>9.6680722436573829E-2</v>
      </c>
      <c r="D13" s="150">
        <f>AVERAGE(D10:D12)</f>
        <v>0.10623686617187585</v>
      </c>
      <c r="E13" s="150">
        <f>AVERAGE(E10:E12)</f>
        <v>0.11648152992630822</v>
      </c>
      <c r="J13" s="3"/>
      <c r="L13" s="6">
        <f>MAX(C27:E27)</f>
        <v>0.10698095778353162</v>
      </c>
      <c r="M13" s="7">
        <v>1</v>
      </c>
    </row>
    <row r="14" spans="2:13" ht="15" customHeight="1">
      <c r="B14" s="149"/>
      <c r="C14" s="151"/>
      <c r="D14" s="151"/>
      <c r="E14" s="151"/>
      <c r="J14" s="3"/>
      <c r="K14" s="8" t="s">
        <v>1263</v>
      </c>
      <c r="L14" s="6">
        <v>0.10249999999999999</v>
      </c>
      <c r="M14" s="7">
        <v>0</v>
      </c>
    </row>
    <row r="15" spans="2:13" ht="15" customHeight="1">
      <c r="B15" s="144"/>
      <c r="C15" s="144"/>
      <c r="D15" s="144"/>
      <c r="E15" s="144"/>
      <c r="K15" s="8"/>
      <c r="L15" s="6">
        <f>L14</f>
        <v>0.10249999999999999</v>
      </c>
      <c r="M15" s="7">
        <v>9</v>
      </c>
    </row>
    <row r="16" spans="2:13" ht="15" customHeight="1">
      <c r="B16" s="152"/>
      <c r="C16" s="222" t="s">
        <v>1425</v>
      </c>
      <c r="D16" s="222"/>
      <c r="E16" s="222"/>
      <c r="K16" s="8" t="s">
        <v>1264</v>
      </c>
      <c r="L16" s="6">
        <v>0.1125</v>
      </c>
      <c r="M16" s="7">
        <f>M14</f>
        <v>0</v>
      </c>
    </row>
    <row r="17" spans="2:13" ht="15" customHeight="1">
      <c r="B17" s="152"/>
      <c r="C17" s="223" t="s">
        <v>1101</v>
      </c>
      <c r="D17" s="223" t="s">
        <v>1102</v>
      </c>
      <c r="E17" s="223" t="s">
        <v>1103</v>
      </c>
      <c r="K17" s="4"/>
      <c r="L17" s="6">
        <f>L16</f>
        <v>0.1125</v>
      </c>
      <c r="M17" s="7">
        <v>9</v>
      </c>
    </row>
    <row r="18" spans="2:13" ht="15" customHeight="1" thickBot="1">
      <c r="B18" s="145"/>
      <c r="C18" s="224" t="s">
        <v>1133</v>
      </c>
      <c r="D18" s="224" t="s">
        <v>1096</v>
      </c>
      <c r="E18" s="224" t="s">
        <v>1096</v>
      </c>
      <c r="K18" s="5" t="s">
        <v>1109</v>
      </c>
      <c r="L18" s="6">
        <v>0.105</v>
      </c>
      <c r="M18" s="7">
        <v>3</v>
      </c>
    </row>
    <row r="19" spans="2:13" ht="15" customHeight="1">
      <c r="B19" s="270" t="s">
        <v>1261</v>
      </c>
      <c r="C19" s="146"/>
      <c r="D19" s="146"/>
      <c r="E19" s="146"/>
    </row>
    <row r="20" spans="2:13" ht="15" customHeight="1">
      <c r="B20" s="273" t="s">
        <v>1338</v>
      </c>
      <c r="C20" s="148">
        <f>'AEB-5 CAPM'!H15</f>
        <v>0.1126504549514164</v>
      </c>
      <c r="D20" s="148">
        <f>'AEB-5 CAPM'!H39</f>
        <v>0.11234128828474974</v>
      </c>
      <c r="E20" s="148">
        <f>'AEB-5 CAPM'!H63</f>
        <v>0.11194128828474972</v>
      </c>
    </row>
    <row r="21" spans="2:13" ht="15" customHeight="1">
      <c r="B21" s="273" t="s">
        <v>1339</v>
      </c>
      <c r="C21" s="148">
        <f>'AEB-5 CAPM'!H89</f>
        <v>0.11313363793822215</v>
      </c>
      <c r="D21" s="148">
        <f>'AEB-5 CAPM'!H113</f>
        <v>0.11283160588694011</v>
      </c>
      <c r="E21" s="148">
        <f>'AEB-5 CAPM'!H137</f>
        <v>0.11244083665617088</v>
      </c>
    </row>
    <row r="22" spans="2:13" ht="15" customHeight="1">
      <c r="B22" s="274"/>
      <c r="C22" s="148"/>
      <c r="D22" s="148"/>
      <c r="E22" s="148"/>
      <c r="L22" s="10"/>
    </row>
    <row r="23" spans="2:13" ht="15" customHeight="1">
      <c r="B23" s="270" t="s">
        <v>1262</v>
      </c>
      <c r="C23" s="148"/>
      <c r="D23" s="148"/>
      <c r="E23" s="148"/>
    </row>
    <row r="24" spans="2:13" ht="15" customHeight="1">
      <c r="B24" s="273" t="s">
        <v>1338</v>
      </c>
      <c r="C24" s="153">
        <f>'AEB-5 CAPM'!I15</f>
        <v>0.11788493730847888</v>
      </c>
      <c r="D24" s="153">
        <f>'AEB-5 CAPM'!I39</f>
        <v>0.11765306230847886</v>
      </c>
      <c r="E24" s="153">
        <f>'AEB-5 CAPM'!I63</f>
        <v>0.11735306230847888</v>
      </c>
    </row>
    <row r="25" spans="2:13" ht="15" customHeight="1">
      <c r="B25" s="273" t="s">
        <v>1339</v>
      </c>
      <c r="C25" s="153">
        <f>'AEB-5 CAPM'!I89</f>
        <v>0.11824732454858319</v>
      </c>
      <c r="D25" s="153">
        <f>'AEB-5 CAPM'!I113</f>
        <v>0.11802080051012165</v>
      </c>
      <c r="E25" s="153">
        <f>'AEB-5 CAPM'!I137</f>
        <v>0.11772772358704472</v>
      </c>
    </row>
    <row r="26" spans="2:13" ht="15" customHeight="1">
      <c r="B26" s="274"/>
      <c r="C26" s="153"/>
      <c r="D26" s="153"/>
      <c r="E26" s="153"/>
    </row>
    <row r="27" spans="2:13" ht="15" customHeight="1">
      <c r="B27" s="270" t="s">
        <v>1260</v>
      </c>
      <c r="C27" s="153">
        <f>'AEB-8 RiskPrem'!L49</f>
        <v>0.10698095778353162</v>
      </c>
      <c r="D27" s="153">
        <f>'AEB-8 RiskPrem'!L50</f>
        <v>0.10627059044458748</v>
      </c>
      <c r="E27" s="153">
        <f>'AEB-8 RiskPrem'!L51</f>
        <v>0.10535151679851418</v>
      </c>
    </row>
    <row r="34" spans="2:5" ht="15" customHeight="1">
      <c r="B34" s="51"/>
      <c r="C34" s="51"/>
      <c r="D34" s="51"/>
      <c r="E34" s="51"/>
    </row>
  </sheetData>
  <mergeCells count="2">
    <mergeCell ref="B3:E3"/>
    <mergeCell ref="B2:E2"/>
  </mergeCells>
  <printOptions horizontalCentered="1"/>
  <pageMargins left="0.7" right="0.7" top="1.25" bottom="0.75" header="0.3" footer="0.3"/>
  <pageSetup orientation="portrait" useFirstPageNumber="1" horizontalDpi="1200" verticalDpi="1200" r:id="rId1"/>
  <headerFooter scaleWithDoc="0">
    <oddHeader>&amp;C&amp;"Times New Roman,Regular"&amp;9MIDAMERICAN ENERGY COMPANY
2026 SOUTH DAKOTA GAS RATE CASE
Docket No. NG26-____
FOR THE YEAR ENDING DECEMBER 31, 2025
Individual Responsible: Ann Bulkley&amp;R&amp;"Times New Roman,Regular"&amp;9Exhibit AEB 1.1
&amp;A
Page &amp;P of &amp;N</oddHeader>
  </headerFooter>
  <colBreaks count="1" manualBreakCount="1">
    <brk id="7"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00371-4F86-4820-A503-EAEB5262BFB2}">
  <sheetPr codeName="Sheet4">
    <pageSetUpPr autoPageBreaks="0" fitToPage="1"/>
  </sheetPr>
  <dimension ref="B2:Q45"/>
  <sheetViews>
    <sheetView view="pageLayout" zoomScaleNormal="110" zoomScaleSheetLayoutView="100" workbookViewId="0">
      <selection activeCell="G15" sqref="G15"/>
    </sheetView>
  </sheetViews>
  <sheetFormatPr defaultColWidth="9.140625" defaultRowHeight="15" customHeight="1"/>
  <cols>
    <col min="1" max="1" width="3.140625" style="40" customWidth="1"/>
    <col min="2" max="2" width="34.140625" style="40" customWidth="1"/>
    <col min="3" max="3" width="8.42578125" style="40" customWidth="1"/>
    <col min="4" max="4" width="18.42578125" style="40" customWidth="1"/>
    <col min="5" max="5" width="13.85546875" style="40" customWidth="1"/>
    <col min="6" max="6" width="21.85546875" style="40" customWidth="1"/>
    <col min="7" max="7" width="15.5703125" style="40" customWidth="1"/>
    <col min="8" max="8" width="18.7109375" style="40" customWidth="1"/>
    <col min="9" max="9" width="17.5703125" style="40" bestFit="1" customWidth="1"/>
    <col min="10" max="10" width="7" style="40" bestFit="1" customWidth="1"/>
    <col min="11" max="12" width="8" style="40" customWidth="1"/>
    <col min="13" max="13" width="9" style="40" customWidth="1"/>
    <col min="14" max="15" width="7.5703125" style="40" customWidth="1"/>
    <col min="16" max="16" width="9.140625" style="40"/>
    <col min="17" max="17" width="6.140625" style="40" customWidth="1"/>
    <col min="18" max="16384" width="9.140625" style="40"/>
  </cols>
  <sheetData>
    <row r="2" spans="2:11" ht="12.75">
      <c r="B2" s="358" t="s">
        <v>1255</v>
      </c>
      <c r="C2" s="358"/>
      <c r="D2" s="358"/>
      <c r="E2" s="358"/>
      <c r="F2" s="358"/>
      <c r="G2" s="358"/>
      <c r="H2" s="358"/>
      <c r="I2" s="358"/>
    </row>
    <row r="3" spans="2:11" ht="15" customHeight="1">
      <c r="G3" s="41"/>
      <c r="H3" s="41"/>
    </row>
    <row r="4" spans="2:11" ht="15" customHeight="1" thickBot="1">
      <c r="D4" s="41" t="s">
        <v>859</v>
      </c>
      <c r="E4" s="41" t="s">
        <v>860</v>
      </c>
      <c r="F4" s="41" t="s">
        <v>861</v>
      </c>
      <c r="G4" s="41" t="s">
        <v>38</v>
      </c>
      <c r="H4" s="41" t="s">
        <v>39</v>
      </c>
      <c r="I4" s="41" t="s">
        <v>40</v>
      </c>
    </row>
    <row r="5" spans="2:11" ht="63.75">
      <c r="B5" s="162" t="s">
        <v>0</v>
      </c>
      <c r="C5" s="163" t="s">
        <v>37</v>
      </c>
      <c r="D5" s="164" t="s">
        <v>1256</v>
      </c>
      <c r="E5" s="165" t="s">
        <v>1444</v>
      </c>
      <c r="F5" s="165" t="s">
        <v>1358</v>
      </c>
      <c r="G5" s="165" t="s">
        <v>1359</v>
      </c>
      <c r="H5" s="165" t="s">
        <v>1363</v>
      </c>
      <c r="I5" s="165" t="s">
        <v>1257</v>
      </c>
    </row>
    <row r="6" spans="2:11" ht="12.75">
      <c r="B6" s="42" t="s">
        <v>2</v>
      </c>
      <c r="C6" s="43" t="s">
        <v>3</v>
      </c>
      <c r="D6" s="41" t="s">
        <v>1027</v>
      </c>
      <c r="E6" s="41" t="s">
        <v>1258</v>
      </c>
      <c r="F6" s="41" t="s">
        <v>1027</v>
      </c>
      <c r="G6" s="44">
        <v>1</v>
      </c>
      <c r="H6" s="166">
        <v>0.63234131770102764</v>
      </c>
      <c r="I6" s="41" t="s">
        <v>1026</v>
      </c>
      <c r="J6" s="46"/>
      <c r="K6" s="47"/>
    </row>
    <row r="7" spans="2:11" ht="12.75">
      <c r="B7" s="42" t="s">
        <v>1361</v>
      </c>
      <c r="C7" s="43" t="s">
        <v>1362</v>
      </c>
      <c r="D7" s="41" t="s">
        <v>1027</v>
      </c>
      <c r="E7" s="41" t="s">
        <v>1259</v>
      </c>
      <c r="F7" s="41" t="s">
        <v>1027</v>
      </c>
      <c r="G7" s="44">
        <v>0.85471508476087188</v>
      </c>
      <c r="H7" s="44">
        <v>0.45823251389614961</v>
      </c>
      <c r="I7" s="41" t="s">
        <v>1026</v>
      </c>
      <c r="K7" s="47"/>
    </row>
    <row r="8" spans="2:11" ht="12.75">
      <c r="B8" s="42" t="s">
        <v>5</v>
      </c>
      <c r="C8" s="43" t="s">
        <v>6</v>
      </c>
      <c r="D8" s="41" t="s">
        <v>1027</v>
      </c>
      <c r="E8" s="41" t="s">
        <v>1259</v>
      </c>
      <c r="F8" s="41" t="s">
        <v>1027</v>
      </c>
      <c r="G8" s="44">
        <v>0.99402731218537632</v>
      </c>
      <c r="H8" s="44">
        <v>0.63717116435450161</v>
      </c>
      <c r="I8" s="41" t="s">
        <v>1026</v>
      </c>
      <c r="J8" s="46"/>
      <c r="K8" s="47"/>
    </row>
    <row r="9" spans="2:11" ht="12.75">
      <c r="B9" s="42" t="s">
        <v>1011</v>
      </c>
      <c r="C9" s="43" t="s">
        <v>1012</v>
      </c>
      <c r="D9" s="41" t="s">
        <v>1027</v>
      </c>
      <c r="E9" s="41" t="s">
        <v>1258</v>
      </c>
      <c r="F9" s="41" t="s">
        <v>1027</v>
      </c>
      <c r="G9" s="44">
        <v>0.993338943993339</v>
      </c>
      <c r="H9" s="44">
        <v>0.91639995803733998</v>
      </c>
      <c r="I9" s="41" t="s">
        <v>1026</v>
      </c>
      <c r="J9" s="46"/>
      <c r="K9" s="47"/>
    </row>
    <row r="10" spans="2:11" ht="12.75">
      <c r="B10" s="42" t="s">
        <v>7</v>
      </c>
      <c r="C10" s="43" t="s">
        <v>8</v>
      </c>
      <c r="D10" s="41" t="s">
        <v>1027</v>
      </c>
      <c r="E10" s="41" t="s">
        <v>1258</v>
      </c>
      <c r="F10" s="41" t="s">
        <v>1027</v>
      </c>
      <c r="G10" s="44">
        <v>1</v>
      </c>
      <c r="H10" s="44">
        <v>1</v>
      </c>
      <c r="I10" s="41" t="s">
        <v>1026</v>
      </c>
      <c r="J10" s="46"/>
      <c r="K10" s="47"/>
    </row>
    <row r="11" spans="2:11" ht="12.75">
      <c r="B11" s="167" t="s">
        <v>1134</v>
      </c>
      <c r="C11" s="168" t="s">
        <v>1135</v>
      </c>
      <c r="D11" s="169" t="s">
        <v>1027</v>
      </c>
      <c r="E11" s="169" t="s">
        <v>1259</v>
      </c>
      <c r="F11" s="169" t="s">
        <v>1027</v>
      </c>
      <c r="G11" s="170">
        <v>0.88399069383688433</v>
      </c>
      <c r="H11" s="170">
        <v>0.98583963583562717</v>
      </c>
      <c r="I11" s="169" t="s">
        <v>1026</v>
      </c>
      <c r="J11" s="46"/>
      <c r="K11" s="47"/>
    </row>
    <row r="12" spans="2:11" ht="12.75">
      <c r="J12" s="46"/>
      <c r="K12" s="47"/>
    </row>
    <row r="13" spans="2:11" ht="12.75">
      <c r="B13" s="49" t="s">
        <v>839</v>
      </c>
      <c r="J13" s="46"/>
      <c r="K13" s="47"/>
    </row>
    <row r="14" spans="2:11" ht="12.75">
      <c r="B14" s="40" t="s">
        <v>1428</v>
      </c>
      <c r="J14" s="46"/>
      <c r="K14" s="47"/>
    </row>
    <row r="15" spans="2:11" ht="12.75">
      <c r="B15" s="40" t="s">
        <v>1427</v>
      </c>
      <c r="J15" s="46"/>
      <c r="K15" s="47"/>
    </row>
    <row r="16" spans="2:11" ht="12.75">
      <c r="B16" s="40" t="s">
        <v>1429</v>
      </c>
      <c r="J16" s="46"/>
      <c r="K16" s="47"/>
    </row>
    <row r="17" spans="2:11" ht="12.75">
      <c r="B17" s="40" t="s">
        <v>1445</v>
      </c>
      <c r="J17" s="46"/>
      <c r="K17" s="47"/>
    </row>
    <row r="18" spans="2:11" ht="12.75">
      <c r="B18" s="40" t="s">
        <v>1360</v>
      </c>
      <c r="J18" s="46"/>
      <c r="K18" s="47"/>
    </row>
    <row r="19" spans="2:11" ht="12.75">
      <c r="D19" s="41"/>
      <c r="E19" s="41"/>
      <c r="F19" s="41"/>
      <c r="G19" s="41"/>
      <c r="H19" s="45"/>
      <c r="I19" s="50"/>
      <c r="J19" s="46"/>
      <c r="K19" s="47"/>
    </row>
    <row r="20" spans="2:11" ht="12.75">
      <c r="J20" s="46"/>
      <c r="K20" s="47"/>
    </row>
    <row r="21" spans="2:11" ht="12.75">
      <c r="J21" s="46"/>
      <c r="K21" s="47"/>
    </row>
    <row r="22" spans="2:11" ht="12.75">
      <c r="J22" s="46"/>
      <c r="K22" s="47"/>
    </row>
    <row r="23" spans="2:11" ht="12.75">
      <c r="J23" s="48"/>
      <c r="K23" s="47"/>
    </row>
    <row r="24" spans="2:11" ht="12.75">
      <c r="J24" s="46"/>
      <c r="K24" s="47"/>
    </row>
    <row r="25" spans="2:11" ht="12.75">
      <c r="J25" s="46"/>
      <c r="K25" s="47"/>
    </row>
    <row r="26" spans="2:11" ht="12.75">
      <c r="J26" s="46"/>
      <c r="K26" s="47"/>
    </row>
    <row r="27" spans="2:11" ht="12.75">
      <c r="J27" s="46"/>
      <c r="K27" s="47"/>
    </row>
    <row r="28" spans="2:11" ht="12.75">
      <c r="J28" s="48"/>
      <c r="K28" s="47"/>
    </row>
    <row r="29" spans="2:11" ht="12.75">
      <c r="K29" s="47"/>
    </row>
    <row r="30" spans="2:11" ht="12.75">
      <c r="K30" s="47"/>
    </row>
    <row r="31" spans="2:11" ht="12.75"/>
    <row r="32" spans="2:11" ht="12.75"/>
    <row r="33" spans="10:17" ht="12.75"/>
    <row r="36" spans="10:17" ht="12.75" customHeight="1"/>
    <row r="37" spans="10:17" ht="12.75" customHeight="1"/>
    <row r="38" spans="10:17" ht="12.75" customHeight="1"/>
    <row r="39" spans="10:17" ht="12.75" customHeight="1"/>
    <row r="40" spans="10:17" ht="12.75"/>
    <row r="41" spans="10:17" ht="12.75"/>
    <row r="42" spans="10:17" ht="12.75">
      <c r="J42" s="45"/>
      <c r="K42" s="45"/>
      <c r="L42" s="45"/>
      <c r="M42" s="45"/>
      <c r="N42" s="45"/>
      <c r="O42" s="45"/>
      <c r="P42" s="45"/>
      <c r="Q42" s="41"/>
    </row>
    <row r="43" spans="10:17" ht="12.75"/>
    <row r="44" spans="10:17" ht="12.75"/>
    <row r="45" spans="10:17" ht="12.75"/>
  </sheetData>
  <mergeCells count="1">
    <mergeCell ref="B2:I2"/>
  </mergeCells>
  <conditionalFormatting sqref="B6:C11">
    <cfRule type="expression" dxfId="15" priority="3">
      <formula>"(blank)"</formula>
    </cfRule>
    <cfRule type="expression" dxfId="14" priority="4">
      <formula>#REF!</formula>
    </cfRule>
  </conditionalFormatting>
  <printOptions horizontalCentered="1"/>
  <pageMargins left="0.7" right="0.7" top="1.25" bottom="0.75" header="0.3" footer="0.3"/>
  <pageSetup scale="80" orientation="landscape" useFirstPageNumber="1" horizontalDpi="1200" verticalDpi="1200" r:id="rId1"/>
  <headerFooter scaleWithDoc="0">
    <oddHeader>&amp;C&amp;"Times New Roman,Regular"&amp;9MIDAMERICAN ENERGY COMPANY
2026 SOUTH DAKOTA GAS RATE CASE
Docket No. NG26-____
FOR THE YEAR ENDING DECEMBER 31, 2025
Individual Responsible: Ann Bulkley&amp;R&amp;"Times New Roman,Regular"&amp;9Exhibit AEB 1.1
&amp;A
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P109"/>
  <sheetViews>
    <sheetView showGridLines="0" view="pageLayout" zoomScale="85" zoomScaleNormal="100" zoomScaleSheetLayoutView="75" zoomScalePageLayoutView="85" workbookViewId="0">
      <selection activeCell="G15" sqref="G15"/>
    </sheetView>
  </sheetViews>
  <sheetFormatPr defaultColWidth="8.7109375" defaultRowHeight="12.75"/>
  <cols>
    <col min="1" max="1" width="8.7109375" style="85"/>
    <col min="2" max="2" width="26.85546875" style="85" customWidth="1"/>
    <col min="3" max="3" width="8.7109375" style="85"/>
    <col min="4" max="4" width="13.85546875" style="86" customWidth="1"/>
    <col min="5" max="5" width="10.5703125" style="86" customWidth="1"/>
    <col min="6" max="6" width="8.7109375" style="86"/>
    <col min="7" max="7" width="12" style="86" customWidth="1"/>
    <col min="8" max="8" width="11.42578125" style="86" customWidth="1"/>
    <col min="9" max="9" width="13.5703125" style="86" customWidth="1"/>
    <col min="10" max="10" width="12.140625" style="86" customWidth="1"/>
    <col min="11" max="11" width="11.140625" style="85" customWidth="1"/>
    <col min="12" max="12" width="2.5703125" style="85" customWidth="1"/>
    <col min="13" max="13" width="12" style="85" customWidth="1"/>
    <col min="14" max="14" width="11.28515625" style="85" customWidth="1"/>
    <col min="15" max="15" width="11.42578125" style="85" customWidth="1"/>
    <col min="16" max="16384" width="8.7109375" style="85"/>
  </cols>
  <sheetData>
    <row r="1" spans="2:16">
      <c r="B1" s="229">
        <v>46203</v>
      </c>
    </row>
    <row r="2" spans="2:16">
      <c r="B2" s="359" t="s">
        <v>1323</v>
      </c>
      <c r="C2" s="359"/>
      <c r="D2" s="359"/>
      <c r="E2" s="359"/>
      <c r="F2" s="359"/>
      <c r="G2" s="359"/>
      <c r="H2" s="359"/>
      <c r="I2" s="359"/>
      <c r="J2" s="359"/>
      <c r="K2" s="359"/>
      <c r="L2" s="359"/>
      <c r="M2" s="359"/>
      <c r="N2" s="359"/>
      <c r="O2" s="359"/>
      <c r="P2" s="87"/>
    </row>
    <row r="3" spans="2:16">
      <c r="B3" s="359" t="s">
        <v>1324</v>
      </c>
      <c r="C3" s="359"/>
      <c r="D3" s="359"/>
      <c r="E3" s="359"/>
      <c r="F3" s="359"/>
      <c r="G3" s="359"/>
      <c r="H3" s="359"/>
      <c r="I3" s="359"/>
      <c r="J3" s="359"/>
      <c r="K3" s="359"/>
      <c r="L3" s="359"/>
      <c r="M3" s="359"/>
      <c r="N3" s="359"/>
      <c r="O3" s="359"/>
      <c r="P3" s="87"/>
    </row>
    <row r="4" spans="2:16">
      <c r="B4" s="88"/>
      <c r="H4" s="360"/>
      <c r="I4" s="360"/>
      <c r="J4" s="360"/>
    </row>
    <row r="5" spans="2:16">
      <c r="B5" s="88"/>
    </row>
    <row r="6" spans="2:16">
      <c r="D6" s="89">
        <v>1</v>
      </c>
      <c r="E6" s="89">
        <v>2</v>
      </c>
      <c r="F6" s="89">
        <v>3</v>
      </c>
      <c r="G6" s="89">
        <v>4</v>
      </c>
      <c r="H6" s="89">
        <v>5</v>
      </c>
      <c r="I6" s="89">
        <v>6</v>
      </c>
      <c r="J6" s="89">
        <v>7</v>
      </c>
      <c r="K6" s="89">
        <v>8</v>
      </c>
      <c r="L6" s="89"/>
      <c r="M6" s="89">
        <v>9</v>
      </c>
      <c r="N6" s="89">
        <v>10</v>
      </c>
      <c r="O6" s="89">
        <v>11</v>
      </c>
    </row>
    <row r="7" spans="2:16">
      <c r="B7" s="154"/>
      <c r="C7" s="154"/>
      <c r="D7" s="95"/>
      <c r="E7" s="95"/>
      <c r="F7" s="95"/>
      <c r="G7" s="95" t="s">
        <v>1342</v>
      </c>
      <c r="H7" s="155" t="s">
        <v>1343</v>
      </c>
      <c r="I7" s="155"/>
      <c r="J7" s="155"/>
      <c r="K7" s="155"/>
      <c r="L7" s="95"/>
      <c r="M7" s="155" t="s">
        <v>1347</v>
      </c>
      <c r="N7" s="155"/>
      <c r="O7" s="155"/>
    </row>
    <row r="8" spans="2:16">
      <c r="B8" s="154"/>
      <c r="C8" s="154"/>
      <c r="D8" s="95"/>
      <c r="E8" s="95" t="s">
        <v>1341</v>
      </c>
      <c r="F8" s="95" t="s">
        <v>1340</v>
      </c>
      <c r="G8" s="95" t="s">
        <v>1340</v>
      </c>
      <c r="H8" s="95" t="s">
        <v>1269</v>
      </c>
      <c r="I8" s="95"/>
      <c r="J8" s="95" t="s">
        <v>1310</v>
      </c>
      <c r="K8" s="95"/>
      <c r="L8" s="95"/>
      <c r="M8" s="95" t="s">
        <v>1099</v>
      </c>
      <c r="N8" s="95" t="s">
        <v>865</v>
      </c>
      <c r="O8" s="95" t="s">
        <v>1100</v>
      </c>
    </row>
    <row r="9" spans="2:16" ht="13.5" thickBot="1">
      <c r="B9" s="156" t="s">
        <v>0</v>
      </c>
      <c r="C9" s="156" t="s">
        <v>37</v>
      </c>
      <c r="D9" s="157" t="s">
        <v>1340</v>
      </c>
      <c r="E9" s="157" t="s">
        <v>45</v>
      </c>
      <c r="F9" s="157" t="s">
        <v>1105</v>
      </c>
      <c r="G9" s="157" t="s">
        <v>1105</v>
      </c>
      <c r="H9" s="157" t="s">
        <v>1344</v>
      </c>
      <c r="I9" s="157" t="s">
        <v>1345</v>
      </c>
      <c r="J9" s="157" t="s">
        <v>1346</v>
      </c>
      <c r="K9" s="157" t="s">
        <v>865</v>
      </c>
      <c r="L9" s="157"/>
      <c r="M9" s="157" t="s">
        <v>1337</v>
      </c>
      <c r="N9" s="157" t="s">
        <v>1337</v>
      </c>
      <c r="O9" s="157" t="s">
        <v>1337</v>
      </c>
    </row>
    <row r="10" spans="2:16">
      <c r="D10" s="85"/>
      <c r="K10" s="86"/>
      <c r="L10" s="86"/>
      <c r="M10" s="86"/>
      <c r="N10" s="86"/>
      <c r="O10" s="86"/>
    </row>
    <row r="11" spans="2:16">
      <c r="B11" s="87" t="str">
        <f>'AEB-3 Proxy'!B6</f>
        <v>Atmos Energy Corporation</v>
      </c>
      <c r="C11" s="90" t="str">
        <f>'AEB-3 Proxy'!C6</f>
        <v>ATO</v>
      </c>
      <c r="D11" s="294">
        <v>4</v>
      </c>
      <c r="E11" s="294">
        <v>171.74062000000004</v>
      </c>
      <c r="F11" s="295">
        <f>D11/E11</f>
        <v>2.3290937228478616E-2</v>
      </c>
      <c r="G11" s="91">
        <f t="shared" ref="G11:G16" si="0">IFERROR(F11*(1+0.5*K11),"")</f>
        <v>2.4196300987694888E-2</v>
      </c>
      <c r="H11" s="295">
        <v>8.5000000000000006E-2</v>
      </c>
      <c r="I11" s="295">
        <v>6.8000000000000005E-2</v>
      </c>
      <c r="J11" s="295">
        <v>8.0231600000000014E-2</v>
      </c>
      <c r="K11" s="296">
        <f>AVERAGE(H11:J11)</f>
        <v>7.7743866666666675E-2</v>
      </c>
      <c r="L11" s="296"/>
      <c r="M11" s="91">
        <f>$F11*(1+0.5*MIN($H11:$J11))+MIN($H11:$J11)</f>
        <v>9.2082829094246893E-2</v>
      </c>
      <c r="N11" s="91">
        <f>K11+G11</f>
        <v>0.10194016765436156</v>
      </c>
      <c r="O11" s="91">
        <f>$F11*(1+0.5*MAX($H11:$J11))+MAX($H11:$J11)</f>
        <v>0.10928080206068896</v>
      </c>
    </row>
    <row r="12" spans="2:16">
      <c r="B12" s="87" t="str">
        <f>'AEB-3 Proxy'!B7</f>
        <v>Chesapeake Utilities Corporation</v>
      </c>
      <c r="C12" s="90" t="str">
        <f>'AEB-3 Proxy'!C7</f>
        <v>CPK</v>
      </c>
      <c r="D12" s="294">
        <v>2.94</v>
      </c>
      <c r="E12" s="294">
        <v>122.89895000000001</v>
      </c>
      <c r="F12" s="295">
        <f t="shared" ref="F12:F16" si="1">D12/E12</f>
        <v>2.3922092092731464E-2</v>
      </c>
      <c r="G12" s="91">
        <f t="shared" si="0"/>
        <v>2.5019518067485522E-2</v>
      </c>
      <c r="H12" s="295">
        <v>0.1</v>
      </c>
      <c r="I12" s="295" t="s">
        <v>1364</v>
      </c>
      <c r="J12" s="295">
        <v>8.3499999999999991E-2</v>
      </c>
      <c r="K12" s="296">
        <f>AVERAGE(H12:J12)</f>
        <v>9.1749999999999998E-2</v>
      </c>
      <c r="L12" s="296"/>
      <c r="M12" s="91">
        <f t="shared" ref="M12:M16" si="2">$F12*(1+0.5*MIN($H12:$J12))+MIN($H12:$J12)</f>
        <v>0.108420839437603</v>
      </c>
      <c r="N12" s="91">
        <f t="shared" ref="N12:N13" si="3">K12+G12</f>
        <v>0.11676951806748552</v>
      </c>
      <c r="O12" s="91">
        <f t="shared" ref="O12:O16" si="4">$F12*(1+0.5*MAX($H12:$J12))+MAX($H12:$J12)</f>
        <v>0.12511819669736804</v>
      </c>
    </row>
    <row r="13" spans="2:16">
      <c r="B13" s="87" t="str">
        <f>'AEB-3 Proxy'!B8</f>
        <v>NiSource Inc.</v>
      </c>
      <c r="C13" s="90" t="str">
        <f>'AEB-3 Proxy'!C8</f>
        <v>NI</v>
      </c>
      <c r="D13" s="294">
        <v>1.2</v>
      </c>
      <c r="E13" s="294">
        <v>47.024333333333331</v>
      </c>
      <c r="F13" s="295">
        <f t="shared" si="1"/>
        <v>2.5518703082801103E-2</v>
      </c>
      <c r="G13" s="91">
        <f t="shared" si="0"/>
        <v>2.6575011944170748E-2</v>
      </c>
      <c r="H13" s="295">
        <v>0.09</v>
      </c>
      <c r="I13" s="295">
        <v>6.0999999999999999E-2</v>
      </c>
      <c r="J13" s="295">
        <v>9.7361100000000006E-2</v>
      </c>
      <c r="K13" s="296">
        <f t="shared" ref="K13:K16" si="5">AVERAGE(H13:J13)</f>
        <v>8.2787033333333329E-2</v>
      </c>
      <c r="L13" s="296"/>
      <c r="M13" s="91">
        <f t="shared" si="2"/>
        <v>8.7297023526826528E-2</v>
      </c>
      <c r="N13" s="91">
        <f t="shared" si="3"/>
        <v>0.10936204527750408</v>
      </c>
      <c r="O13" s="91">
        <f t="shared" si="4"/>
        <v>0.12412206758415856</v>
      </c>
    </row>
    <row r="14" spans="2:16">
      <c r="B14" s="87" t="str">
        <f>'AEB-3 Proxy'!B9</f>
        <v>Northwest Natural Gas Company</v>
      </c>
      <c r="C14" s="90" t="str">
        <f>'AEB-3 Proxy'!C9</f>
        <v>NWN</v>
      </c>
      <c r="D14" s="294">
        <v>1.97</v>
      </c>
      <c r="E14" s="294">
        <v>49.491666666666667</v>
      </c>
      <c r="F14" s="295">
        <f t="shared" si="1"/>
        <v>3.9804680922714261E-2</v>
      </c>
      <c r="G14" s="91">
        <f t="shared" si="0"/>
        <v>4.1035309306280521E-2</v>
      </c>
      <c r="H14" s="295">
        <v>6.5000000000000002E-2</v>
      </c>
      <c r="I14" s="295" t="s">
        <v>1364</v>
      </c>
      <c r="J14" s="295">
        <v>5.8666700000000002E-2</v>
      </c>
      <c r="K14" s="296">
        <f t="shared" si="5"/>
        <v>6.1833350000000002E-2</v>
      </c>
      <c r="L14" s="296"/>
      <c r="M14" s="91">
        <f t="shared" si="2"/>
        <v>9.9638985559858562E-2</v>
      </c>
      <c r="N14" s="91">
        <f t="shared" ref="N14:N16" si="6">K14+G14</f>
        <v>0.10286865930628053</v>
      </c>
      <c r="O14" s="91">
        <f t="shared" si="4"/>
        <v>0.10609833305270247</v>
      </c>
    </row>
    <row r="15" spans="2:16">
      <c r="B15" s="87" t="str">
        <f>'AEB-3 Proxy'!B10</f>
        <v>ONE Gas, Inc.</v>
      </c>
      <c r="C15" s="90" t="str">
        <f>'AEB-3 Proxy'!C10</f>
        <v>OGS</v>
      </c>
      <c r="D15" s="294">
        <v>2.72</v>
      </c>
      <c r="E15" s="294">
        <v>78.552333333333323</v>
      </c>
      <c r="F15" s="295">
        <f t="shared" ref="F15" si="7">D15/E15</f>
        <v>3.4626597130575379E-2</v>
      </c>
      <c r="G15" s="91">
        <f t="shared" ref="G15" si="8">IFERROR(F15*(1+0.5*K15),"")</f>
        <v>3.573130677213069E-2</v>
      </c>
      <c r="H15" s="295">
        <v>7.0000000000000007E-2</v>
      </c>
      <c r="I15" s="295">
        <v>6.2E-2</v>
      </c>
      <c r="J15" s="295">
        <v>5.9421000000000002E-2</v>
      </c>
      <c r="K15" s="296">
        <f t="shared" ref="K15" si="9">AVERAGE(H15:J15)</f>
        <v>6.3807000000000003E-2</v>
      </c>
      <c r="L15" s="296"/>
      <c r="M15" s="91">
        <f t="shared" si="2"/>
        <v>9.5076370644623348E-2</v>
      </c>
      <c r="N15" s="91">
        <f t="shared" ref="N15" si="10">K15+G15</f>
        <v>9.9538306772130686E-2</v>
      </c>
      <c r="O15" s="91">
        <f t="shared" si="4"/>
        <v>0.10583852803014551</v>
      </c>
    </row>
    <row r="16" spans="2:16">
      <c r="B16" s="87" t="str">
        <f>'AEB-3 Proxy'!B11</f>
        <v>Southwest Gas Corporation</v>
      </c>
      <c r="C16" s="90" t="str">
        <f>'AEB-3 Proxy'!C11</f>
        <v>SWX</v>
      </c>
      <c r="D16" s="294">
        <v>2.58</v>
      </c>
      <c r="E16" s="294">
        <v>88.277666666666647</v>
      </c>
      <c r="F16" s="295">
        <f t="shared" si="1"/>
        <v>2.922596504212089E-2</v>
      </c>
      <c r="G16" s="91">
        <f t="shared" si="0"/>
        <v>3.0909822671268319E-2</v>
      </c>
      <c r="H16" s="295" t="s">
        <v>1364</v>
      </c>
      <c r="I16" s="295">
        <v>9.9000000000000005E-2</v>
      </c>
      <c r="J16" s="295">
        <v>0.13146050000000001</v>
      </c>
      <c r="K16" s="296">
        <f t="shared" si="5"/>
        <v>0.11523025000000001</v>
      </c>
      <c r="L16" s="296"/>
      <c r="M16" s="91">
        <f t="shared" si="2"/>
        <v>0.12967265031170588</v>
      </c>
      <c r="N16" s="91">
        <f t="shared" si="6"/>
        <v>0.14614007267126833</v>
      </c>
      <c r="O16" s="91">
        <f t="shared" si="4"/>
        <v>0.16260749503083077</v>
      </c>
    </row>
    <row r="18" spans="2:15">
      <c r="B18" s="297"/>
      <c r="M18" s="296"/>
      <c r="N18" s="296"/>
      <c r="O18" s="296"/>
    </row>
    <row r="19" spans="2:15">
      <c r="B19" s="297" t="s">
        <v>36</v>
      </c>
      <c r="K19" s="296"/>
      <c r="L19" s="296"/>
      <c r="M19" s="296">
        <f>MEDIAN(M11:M16)</f>
        <v>9.7357678102240955E-2</v>
      </c>
      <c r="N19" s="296">
        <f>MEDIAN(N11:N16)</f>
        <v>0.10611535229189231</v>
      </c>
      <c r="O19" s="296">
        <f>MEDIAN(O11:O16)</f>
        <v>0.11670143482242376</v>
      </c>
    </row>
    <row r="20" spans="2:15">
      <c r="B20" s="87"/>
      <c r="M20" s="296"/>
      <c r="N20" s="296"/>
      <c r="O20" s="296"/>
    </row>
    <row r="21" spans="2:15" ht="13.5" thickBot="1">
      <c r="B21" s="298"/>
      <c r="C21" s="299"/>
      <c r="D21" s="300"/>
      <c r="E21" s="300"/>
      <c r="F21" s="301"/>
      <c r="G21" s="301"/>
      <c r="H21" s="301"/>
      <c r="I21" s="301"/>
      <c r="J21" s="301"/>
      <c r="K21" s="301"/>
      <c r="L21" s="301"/>
      <c r="M21" s="301"/>
      <c r="N21" s="301"/>
      <c r="O21" s="301"/>
    </row>
    <row r="22" spans="2:15">
      <c r="K22" s="86"/>
      <c r="L22" s="86"/>
      <c r="M22" s="86"/>
      <c r="N22" s="86"/>
      <c r="O22" s="86"/>
    </row>
    <row r="23" spans="2:15">
      <c r="K23" s="86"/>
      <c r="L23" s="86"/>
      <c r="M23" s="86"/>
      <c r="N23" s="86"/>
      <c r="O23" s="86"/>
    </row>
    <row r="24" spans="2:15">
      <c r="B24" s="92" t="s">
        <v>839</v>
      </c>
      <c r="K24" s="86"/>
      <c r="L24" s="86"/>
      <c r="M24" s="86"/>
      <c r="N24" s="86"/>
      <c r="O24" s="86"/>
    </row>
    <row r="25" spans="2:15">
      <c r="B25" s="85" t="str">
        <f>"[1] Bloomberg Professional as of "&amp;TEXT(B1,"mmmm d yyyy")</f>
        <v>[1] Bloomberg Professional as of June 30 2026</v>
      </c>
      <c r="K25" s="86"/>
      <c r="L25" s="86"/>
      <c r="M25" s="86"/>
      <c r="N25" s="86"/>
      <c r="O25" s="86"/>
    </row>
    <row r="26" spans="2:15">
      <c r="B26" s="85" t="str">
        <f>"[2] Bloomberg Professional 30-day average as of "&amp;TEXT(B1,"mmmm d yyyy")</f>
        <v>[2] Bloomberg Professional 30-day average as of June 30 2026</v>
      </c>
      <c r="K26" s="86"/>
      <c r="L26" s="86"/>
      <c r="M26" s="86"/>
      <c r="N26" s="86"/>
      <c r="O26" s="86"/>
    </row>
    <row r="27" spans="2:15">
      <c r="B27" s="85" t="s">
        <v>1013</v>
      </c>
    </row>
    <row r="28" spans="2:15">
      <c r="B28" s="85" t="s">
        <v>1113</v>
      </c>
    </row>
    <row r="29" spans="2:15">
      <c r="B29" s="85" t="s">
        <v>1110</v>
      </c>
    </row>
    <row r="30" spans="2:15">
      <c r="B30" s="85" t="s">
        <v>1348</v>
      </c>
    </row>
    <row r="31" spans="2:15">
      <c r="B31" s="85" t="s">
        <v>1349</v>
      </c>
    </row>
    <row r="32" spans="2:15">
      <c r="B32" s="85" t="s">
        <v>1014</v>
      </c>
    </row>
    <row r="33" spans="2:15">
      <c r="B33" s="85" t="s">
        <v>1112</v>
      </c>
    </row>
    <row r="34" spans="2:15">
      <c r="B34" s="85" t="s">
        <v>1015</v>
      </c>
    </row>
    <row r="35" spans="2:15">
      <c r="B35" s="85" t="s">
        <v>1111</v>
      </c>
    </row>
    <row r="38" spans="2:15">
      <c r="B38" s="88"/>
    </row>
    <row r="39" spans="2:15">
      <c r="B39" s="359" t="s">
        <v>1323</v>
      </c>
      <c r="C39" s="359"/>
      <c r="D39" s="359"/>
      <c r="E39" s="359"/>
      <c r="F39" s="359"/>
      <c r="G39" s="359"/>
      <c r="H39" s="359"/>
      <c r="I39" s="359"/>
      <c r="J39" s="359"/>
      <c r="K39" s="359"/>
      <c r="L39" s="359"/>
      <c r="M39" s="359"/>
      <c r="N39" s="359"/>
      <c r="O39" s="359"/>
    </row>
    <row r="40" spans="2:15">
      <c r="B40" s="359" t="s">
        <v>1325</v>
      </c>
      <c r="C40" s="359"/>
      <c r="D40" s="359"/>
      <c r="E40" s="359"/>
      <c r="F40" s="359"/>
      <c r="G40" s="359"/>
      <c r="H40" s="359"/>
      <c r="I40" s="359"/>
      <c r="J40" s="359"/>
      <c r="K40" s="359"/>
      <c r="L40" s="359"/>
      <c r="M40" s="359"/>
      <c r="N40" s="359"/>
      <c r="O40" s="359"/>
    </row>
    <row r="41" spans="2:15">
      <c r="H41" s="360"/>
      <c r="I41" s="360"/>
      <c r="J41" s="360"/>
    </row>
    <row r="42" spans="2:15">
      <c r="B42" s="87"/>
      <c r="C42" s="87"/>
      <c r="K42" s="86"/>
      <c r="L42" s="86"/>
      <c r="M42" s="86"/>
      <c r="N42" s="86"/>
      <c r="O42" s="86"/>
    </row>
    <row r="43" spans="2:15">
      <c r="D43" s="89">
        <v>1</v>
      </c>
      <c r="E43" s="89">
        <v>2</v>
      </c>
      <c r="F43" s="89">
        <v>3</v>
      </c>
      <c r="G43" s="89">
        <v>4</v>
      </c>
      <c r="H43" s="89">
        <v>5</v>
      </c>
      <c r="I43" s="89">
        <v>6</v>
      </c>
      <c r="J43" s="89">
        <v>7</v>
      </c>
      <c r="K43" s="89">
        <v>8</v>
      </c>
      <c r="L43" s="89"/>
      <c r="M43" s="89">
        <v>9</v>
      </c>
      <c r="N43" s="89">
        <v>10</v>
      </c>
      <c r="O43" s="89">
        <v>11</v>
      </c>
    </row>
    <row r="44" spans="2:15">
      <c r="B44" s="154"/>
      <c r="C44" s="154"/>
      <c r="D44" s="95"/>
      <c r="E44" s="95"/>
      <c r="F44" s="95"/>
      <c r="G44" s="95" t="s">
        <v>1342</v>
      </c>
      <c r="H44" s="155" t="s">
        <v>1343</v>
      </c>
      <c r="I44" s="155"/>
      <c r="J44" s="155"/>
      <c r="K44" s="155"/>
      <c r="L44" s="95"/>
      <c r="M44" s="155" t="s">
        <v>1347</v>
      </c>
      <c r="N44" s="155"/>
      <c r="O44" s="155"/>
    </row>
    <row r="45" spans="2:15">
      <c r="B45" s="154"/>
      <c r="C45" s="154"/>
      <c r="D45" s="95"/>
      <c r="E45" s="95" t="s">
        <v>1341</v>
      </c>
      <c r="F45" s="95" t="s">
        <v>1340</v>
      </c>
      <c r="G45" s="95" t="s">
        <v>1340</v>
      </c>
      <c r="H45" s="95" t="s">
        <v>1269</v>
      </c>
      <c r="I45" s="95"/>
      <c r="J45" s="95" t="s">
        <v>1310</v>
      </c>
      <c r="K45" s="95"/>
      <c r="L45" s="95"/>
      <c r="M45" s="95" t="s">
        <v>1099</v>
      </c>
      <c r="N45" s="95" t="s">
        <v>865</v>
      </c>
      <c r="O45" s="95" t="s">
        <v>1100</v>
      </c>
    </row>
    <row r="46" spans="2:15" ht="13.5" thickBot="1">
      <c r="B46" s="156" t="s">
        <v>0</v>
      </c>
      <c r="C46" s="156" t="s">
        <v>37</v>
      </c>
      <c r="D46" s="157" t="s">
        <v>1340</v>
      </c>
      <c r="E46" s="157" t="s">
        <v>45</v>
      </c>
      <c r="F46" s="157" t="s">
        <v>1105</v>
      </c>
      <c r="G46" s="157" t="s">
        <v>1105</v>
      </c>
      <c r="H46" s="157" t="s">
        <v>1344</v>
      </c>
      <c r="I46" s="157" t="s">
        <v>1345</v>
      </c>
      <c r="J46" s="157" t="s">
        <v>1346</v>
      </c>
      <c r="K46" s="157" t="s">
        <v>865</v>
      </c>
      <c r="L46" s="157"/>
      <c r="M46" s="157" t="s">
        <v>1337</v>
      </c>
      <c r="N46" s="157" t="s">
        <v>1337</v>
      </c>
      <c r="O46" s="157" t="s">
        <v>1337</v>
      </c>
    </row>
    <row r="47" spans="2:15">
      <c r="D47" s="85"/>
      <c r="K47" s="86"/>
      <c r="L47" s="86"/>
      <c r="M47" s="86"/>
      <c r="N47" s="86"/>
      <c r="O47" s="86"/>
    </row>
    <row r="48" spans="2:15">
      <c r="B48" s="87" t="str">
        <f t="shared" ref="B48:D53" si="11">B11</f>
        <v>Atmos Energy Corporation</v>
      </c>
      <c r="C48" s="90" t="str">
        <f t="shared" si="11"/>
        <v>ATO</v>
      </c>
      <c r="D48" s="294">
        <f t="shared" si="11"/>
        <v>4</v>
      </c>
      <c r="E48" s="294">
        <v>179.95552555555554</v>
      </c>
      <c r="F48" s="295">
        <f>D48/E48</f>
        <v>2.2227714251347772E-2</v>
      </c>
      <c r="G48" s="91">
        <f>IFERROR(F48*(1+0.5*K48),"")</f>
        <v>2.3091748477878548E-2</v>
      </c>
      <c r="H48" s="295">
        <f t="shared" ref="H48:J53" si="12">H11</f>
        <v>8.5000000000000006E-2</v>
      </c>
      <c r="I48" s="295">
        <f t="shared" si="12"/>
        <v>6.8000000000000005E-2</v>
      </c>
      <c r="J48" s="295">
        <f t="shared" si="12"/>
        <v>8.0231600000000014E-2</v>
      </c>
      <c r="K48" s="296">
        <f>AVERAGE(H48:J48)</f>
        <v>7.7743866666666675E-2</v>
      </c>
      <c r="L48" s="296"/>
      <c r="M48" s="93">
        <f>$F48*(1+0.5*MIN($H48:$J48))+MIN($H48:$J48)</f>
        <v>9.0983456535893598E-2</v>
      </c>
      <c r="N48" s="93">
        <f>K48+G48</f>
        <v>0.10083561514454523</v>
      </c>
      <c r="O48" s="93">
        <f>$F48*(1+0.5*MAX($H48:$J48))+MAX($H48:$J48)</f>
        <v>0.10817239210703006</v>
      </c>
    </row>
    <row r="49" spans="2:15">
      <c r="B49" s="87" t="str">
        <f t="shared" si="11"/>
        <v>Chesapeake Utilities Corporation</v>
      </c>
      <c r="C49" s="90" t="str">
        <f t="shared" si="11"/>
        <v>CPK</v>
      </c>
      <c r="D49" s="294">
        <f t="shared" si="11"/>
        <v>2.94</v>
      </c>
      <c r="E49" s="294">
        <v>126.17431000000003</v>
      </c>
      <c r="F49" s="295">
        <f t="shared" ref="F49:F53" si="13">D49/E49</f>
        <v>2.3301098298060825E-2</v>
      </c>
      <c r="G49" s="91">
        <f t="shared" ref="G49:G53" si="14">IFERROR(F49*(1+0.5*K49),"")</f>
        <v>2.4370036182484369E-2</v>
      </c>
      <c r="H49" s="295">
        <f t="shared" si="12"/>
        <v>0.1</v>
      </c>
      <c r="I49" s="295" t="str">
        <f t="shared" si="12"/>
        <v>n/a</v>
      </c>
      <c r="J49" s="295">
        <f t="shared" si="12"/>
        <v>8.3499999999999991E-2</v>
      </c>
      <c r="K49" s="296">
        <f t="shared" ref="K49" si="15">AVERAGE(H49:J49)</f>
        <v>9.1749999999999998E-2</v>
      </c>
      <c r="L49" s="296"/>
      <c r="M49" s="93">
        <f t="shared" ref="M49:M53" si="16">$F49*(1+0.5*MIN($H49:$J49))+MIN($H49:$J49)</f>
        <v>0.10777391915200485</v>
      </c>
      <c r="N49" s="93">
        <f t="shared" ref="N49" si="17">K49+G49</f>
        <v>0.11612003618248437</v>
      </c>
      <c r="O49" s="93">
        <f t="shared" ref="O49:O53" si="18">$F49*(1+0.5*MAX($H49:$J49))+MAX($H49:$J49)</f>
        <v>0.12446615321296386</v>
      </c>
    </row>
    <row r="50" spans="2:15">
      <c r="B50" s="87" t="str">
        <f t="shared" si="11"/>
        <v>NiSource Inc.</v>
      </c>
      <c r="C50" s="90" t="str">
        <f t="shared" si="11"/>
        <v>NI</v>
      </c>
      <c r="D50" s="294">
        <f t="shared" si="11"/>
        <v>1.2</v>
      </c>
      <c r="E50" s="294">
        <v>46.918502222222237</v>
      </c>
      <c r="F50" s="295">
        <f t="shared" si="13"/>
        <v>2.5576264014490174E-2</v>
      </c>
      <c r="G50" s="91">
        <f t="shared" si="14"/>
        <v>2.6634955525245037E-2</v>
      </c>
      <c r="H50" s="295">
        <f t="shared" si="12"/>
        <v>0.09</v>
      </c>
      <c r="I50" s="295">
        <f t="shared" si="12"/>
        <v>6.0999999999999999E-2</v>
      </c>
      <c r="J50" s="295">
        <f t="shared" si="12"/>
        <v>9.7361100000000006E-2</v>
      </c>
      <c r="K50" s="296">
        <f t="shared" ref="K50:K53" si="19">AVERAGE(H50:J50)</f>
        <v>8.2787033333333329E-2</v>
      </c>
      <c r="L50" s="296"/>
      <c r="M50" s="93">
        <f t="shared" si="16"/>
        <v>8.7356340066932131E-2</v>
      </c>
      <c r="N50" s="93">
        <f t="shared" ref="N50" si="20">K50+G50</f>
        <v>0.10942198885857837</v>
      </c>
      <c r="O50" s="93">
        <f t="shared" si="18"/>
        <v>0.12418243061366077</v>
      </c>
    </row>
    <row r="51" spans="2:15">
      <c r="B51" s="87" t="str">
        <f t="shared" si="11"/>
        <v>Northwest Natural Gas Company</v>
      </c>
      <c r="C51" s="90" t="str">
        <f t="shared" si="11"/>
        <v>NWN</v>
      </c>
      <c r="D51" s="294">
        <f t="shared" si="11"/>
        <v>1.97</v>
      </c>
      <c r="E51" s="294">
        <v>51.208098888888898</v>
      </c>
      <c r="F51" s="295">
        <f t="shared" si="13"/>
        <v>3.8470477185151848E-2</v>
      </c>
      <c r="G51" s="91">
        <f t="shared" si="14"/>
        <v>3.9659856425380106E-2</v>
      </c>
      <c r="H51" s="295">
        <f t="shared" si="12"/>
        <v>6.5000000000000002E-2</v>
      </c>
      <c r="I51" s="295" t="str">
        <f t="shared" si="12"/>
        <v>n/a</v>
      </c>
      <c r="J51" s="295">
        <f t="shared" si="12"/>
        <v>5.8666700000000002E-2</v>
      </c>
      <c r="K51" s="296">
        <f t="shared" si="19"/>
        <v>6.1833350000000002E-2</v>
      </c>
      <c r="L51" s="296"/>
      <c r="M51" s="93">
        <f t="shared" si="16"/>
        <v>9.8265645157090922E-2</v>
      </c>
      <c r="N51" s="93">
        <f t="shared" ref="N51:N53" si="21">K51+G51</f>
        <v>0.10149320642538011</v>
      </c>
      <c r="O51" s="93">
        <f t="shared" si="18"/>
        <v>0.10472076769366928</v>
      </c>
    </row>
    <row r="52" spans="2:15">
      <c r="B52" s="87" t="str">
        <f t="shared" si="11"/>
        <v>ONE Gas, Inc.</v>
      </c>
      <c r="C52" s="90" t="str">
        <f t="shared" si="11"/>
        <v>OGS</v>
      </c>
      <c r="D52" s="294">
        <f t="shared" si="11"/>
        <v>2.72</v>
      </c>
      <c r="E52" s="294">
        <v>83.66917555555554</v>
      </c>
      <c r="F52" s="295">
        <f t="shared" ref="F52" si="22">D52/E52</f>
        <v>3.2508985321529148E-2</v>
      </c>
      <c r="G52" s="91">
        <f t="shared" ref="G52" si="23">IFERROR(F52*(1+0.5*K52),"")</f>
        <v>3.3546135734734556E-2</v>
      </c>
      <c r="H52" s="295">
        <f t="shared" si="12"/>
        <v>7.0000000000000007E-2</v>
      </c>
      <c r="I52" s="295">
        <f t="shared" si="12"/>
        <v>6.2E-2</v>
      </c>
      <c r="J52" s="295">
        <f t="shared" si="12"/>
        <v>5.9421000000000002E-2</v>
      </c>
      <c r="K52" s="296">
        <f t="shared" ref="K52" si="24">AVERAGE(H52:J52)</f>
        <v>6.3807000000000003E-2</v>
      </c>
      <c r="L52" s="296"/>
      <c r="M52" s="93">
        <f t="shared" si="16"/>
        <v>9.2895843529924443E-2</v>
      </c>
      <c r="N52" s="93">
        <f t="shared" ref="N52" si="25">K52+G52</f>
        <v>9.7353135734734558E-2</v>
      </c>
      <c r="O52" s="93">
        <f t="shared" si="18"/>
        <v>0.10364679980778267</v>
      </c>
    </row>
    <row r="53" spans="2:15">
      <c r="B53" s="87" t="str">
        <f t="shared" si="11"/>
        <v>Southwest Gas Corporation</v>
      </c>
      <c r="C53" s="90" t="str">
        <f t="shared" si="11"/>
        <v>SWX</v>
      </c>
      <c r="D53" s="294">
        <f t="shared" si="11"/>
        <v>2.58</v>
      </c>
      <c r="E53" s="294">
        <v>88.378353333333337</v>
      </c>
      <c r="F53" s="295">
        <f t="shared" si="13"/>
        <v>2.9192668823202785E-2</v>
      </c>
      <c r="G53" s="91">
        <f t="shared" si="14"/>
        <v>3.0874608086535218E-2</v>
      </c>
      <c r="H53" s="295" t="str">
        <f t="shared" si="12"/>
        <v>n/a</v>
      </c>
      <c r="I53" s="295">
        <f t="shared" si="12"/>
        <v>9.9000000000000005E-2</v>
      </c>
      <c r="J53" s="295">
        <f t="shared" si="12"/>
        <v>0.13146050000000001</v>
      </c>
      <c r="K53" s="296">
        <f t="shared" si="19"/>
        <v>0.11523025000000001</v>
      </c>
      <c r="L53" s="296"/>
      <c r="M53" s="93">
        <f t="shared" si="16"/>
        <v>0.12963770592995133</v>
      </c>
      <c r="N53" s="93">
        <f t="shared" si="21"/>
        <v>0.14610485808653523</v>
      </c>
      <c r="O53" s="93">
        <f t="shared" si="18"/>
        <v>0.16257201024311912</v>
      </c>
    </row>
    <row r="55" spans="2:15">
      <c r="B55" s="297"/>
      <c r="M55" s="296"/>
      <c r="N55" s="296"/>
      <c r="O55" s="296"/>
    </row>
    <row r="56" spans="2:15">
      <c r="B56" s="297" t="s">
        <v>36</v>
      </c>
      <c r="M56" s="296">
        <f>MEDIAN(M48:M53)</f>
        <v>9.558074434350769E-2</v>
      </c>
      <c r="N56" s="296">
        <f>MEDIAN(N48:N53)</f>
        <v>0.10545759764197923</v>
      </c>
      <c r="O56" s="296">
        <f>MEDIAN(O48:O53)</f>
        <v>0.11617741136034541</v>
      </c>
    </row>
    <row r="57" spans="2:15">
      <c r="B57" s="87"/>
      <c r="M57" s="296"/>
      <c r="N57" s="296"/>
      <c r="O57" s="296"/>
    </row>
    <row r="58" spans="2:15" ht="13.5" thickBot="1">
      <c r="B58" s="298"/>
      <c r="C58" s="299"/>
      <c r="D58" s="300"/>
      <c r="E58" s="300"/>
      <c r="F58" s="301"/>
      <c r="G58" s="301"/>
      <c r="H58" s="301"/>
      <c r="I58" s="301"/>
      <c r="J58" s="301"/>
      <c r="K58" s="301"/>
      <c r="L58" s="301"/>
      <c r="M58" s="301"/>
      <c r="N58" s="301"/>
      <c r="O58" s="301"/>
    </row>
    <row r="61" spans="2:15">
      <c r="B61" s="92" t="s">
        <v>839</v>
      </c>
    </row>
    <row r="62" spans="2:15">
      <c r="B62" s="85" t="str">
        <f>B25</f>
        <v>[1] Bloomberg Professional as of June 30 2026</v>
      </c>
    </row>
    <row r="63" spans="2:15">
      <c r="B63" s="85" t="str">
        <f>"[2] Bloomberg Professional 90-day average as of "&amp;TEXT(B1,"mmmm d yyyy")</f>
        <v>[2] Bloomberg Professional 90-day average as of June 30 2026</v>
      </c>
    </row>
    <row r="64" spans="2:15">
      <c r="B64" s="85" t="str">
        <f t="shared" ref="B64:B72" si="26">B27</f>
        <v>[3] Equals [1]/[2]</v>
      </c>
    </row>
    <row r="65" spans="2:15">
      <c r="B65" s="85" t="str">
        <f t="shared" si="26"/>
        <v>[4] Equals [3] x (1 + 0.5 x [8])</v>
      </c>
    </row>
    <row r="66" spans="2:15">
      <c r="B66" s="85" t="str">
        <f t="shared" si="26"/>
        <v>[5] Value Line</v>
      </c>
    </row>
    <row r="67" spans="2:15">
      <c r="B67" s="85" t="str">
        <f t="shared" si="26"/>
        <v>[6] Zacks</v>
      </c>
    </row>
    <row r="68" spans="2:15">
      <c r="B68" s="85" t="str">
        <f t="shared" si="26"/>
        <v>[7] S&amp;P Capital IQ Pro</v>
      </c>
    </row>
    <row r="69" spans="2:15">
      <c r="B69" s="85" t="str">
        <f t="shared" si="26"/>
        <v>[8] Equals average of [5], [6], [7]</v>
      </c>
    </row>
    <row r="70" spans="2:15">
      <c r="B70" s="85" t="str">
        <f t="shared" si="26"/>
        <v>[9] Equals [3] x (1 + 0.5 x (min([5], [6], [7])) + (min([5], [6], [7])</v>
      </c>
    </row>
    <row r="71" spans="2:15">
      <c r="B71" s="85" t="str">
        <f t="shared" si="26"/>
        <v>[10] Equals [4] + [8]</v>
      </c>
    </row>
    <row r="72" spans="2:15">
      <c r="B72" s="85" t="str">
        <f t="shared" si="26"/>
        <v>[11] Equals [3] x (1 + 0.5 x (max([5], [6], [7])) + (max([5], [6], [7])</v>
      </c>
    </row>
    <row r="75" spans="2:15">
      <c r="B75" s="88"/>
    </row>
    <row r="76" spans="2:15">
      <c r="B76" s="359" t="s">
        <v>1323</v>
      </c>
      <c r="C76" s="359"/>
      <c r="D76" s="359"/>
      <c r="E76" s="359"/>
      <c r="F76" s="359"/>
      <c r="G76" s="359"/>
      <c r="H76" s="359"/>
      <c r="I76" s="359"/>
      <c r="J76" s="359"/>
      <c r="K76" s="359"/>
      <c r="L76" s="359"/>
      <c r="M76" s="359"/>
      <c r="N76" s="359"/>
      <c r="O76" s="359"/>
    </row>
    <row r="77" spans="2:15">
      <c r="B77" s="359" t="s">
        <v>1326</v>
      </c>
      <c r="C77" s="359"/>
      <c r="D77" s="359"/>
      <c r="E77" s="359"/>
      <c r="F77" s="359"/>
      <c r="G77" s="359"/>
      <c r="H77" s="359"/>
      <c r="I77" s="359"/>
      <c r="J77" s="359"/>
      <c r="K77" s="359"/>
      <c r="L77" s="359"/>
      <c r="M77" s="359"/>
      <c r="N77" s="359"/>
      <c r="O77" s="359"/>
    </row>
    <row r="78" spans="2:15">
      <c r="B78" s="87"/>
      <c r="C78" s="87"/>
      <c r="K78" s="86"/>
      <c r="L78" s="86"/>
      <c r="M78" s="86"/>
      <c r="N78" s="86"/>
      <c r="O78" s="86"/>
    </row>
    <row r="79" spans="2:15">
      <c r="B79" s="87"/>
      <c r="C79" s="87"/>
      <c r="K79" s="86"/>
      <c r="L79" s="86"/>
      <c r="M79" s="86"/>
      <c r="N79" s="86"/>
      <c r="O79" s="86"/>
    </row>
    <row r="80" spans="2:15">
      <c r="D80" s="89">
        <v>1</v>
      </c>
      <c r="E80" s="89">
        <v>2</v>
      </c>
      <c r="F80" s="89">
        <v>3</v>
      </c>
      <c r="G80" s="89">
        <v>4</v>
      </c>
      <c r="H80" s="89">
        <v>5</v>
      </c>
      <c r="I80" s="89">
        <v>6</v>
      </c>
      <c r="J80" s="89">
        <v>7</v>
      </c>
      <c r="K80" s="89">
        <v>8</v>
      </c>
      <c r="L80" s="89"/>
      <c r="M80" s="89">
        <v>9</v>
      </c>
      <c r="N80" s="89">
        <v>10</v>
      </c>
      <c r="O80" s="89">
        <v>11</v>
      </c>
    </row>
    <row r="81" spans="2:15">
      <c r="B81" s="154"/>
      <c r="C81" s="154"/>
      <c r="D81" s="95"/>
      <c r="E81" s="95"/>
      <c r="F81" s="95"/>
      <c r="G81" s="95" t="s">
        <v>1342</v>
      </c>
      <c r="H81" s="155" t="s">
        <v>1343</v>
      </c>
      <c r="I81" s="155"/>
      <c r="J81" s="155"/>
      <c r="K81" s="155"/>
      <c r="L81" s="95"/>
      <c r="M81" s="155" t="s">
        <v>1347</v>
      </c>
      <c r="N81" s="155"/>
      <c r="O81" s="155"/>
    </row>
    <row r="82" spans="2:15">
      <c r="B82" s="154"/>
      <c r="C82" s="154"/>
      <c r="D82" s="95"/>
      <c r="E82" s="95" t="s">
        <v>1341</v>
      </c>
      <c r="F82" s="95" t="s">
        <v>1340</v>
      </c>
      <c r="G82" s="95" t="s">
        <v>1340</v>
      </c>
      <c r="H82" s="95" t="s">
        <v>1269</v>
      </c>
      <c r="I82" s="95"/>
      <c r="J82" s="95" t="s">
        <v>1310</v>
      </c>
      <c r="K82" s="95"/>
      <c r="L82" s="95"/>
      <c r="M82" s="95" t="s">
        <v>1099</v>
      </c>
      <c r="N82" s="95" t="s">
        <v>865</v>
      </c>
      <c r="O82" s="95" t="s">
        <v>1100</v>
      </c>
    </row>
    <row r="83" spans="2:15" ht="13.5" thickBot="1">
      <c r="B83" s="156" t="s">
        <v>0</v>
      </c>
      <c r="C83" s="156" t="s">
        <v>37</v>
      </c>
      <c r="D83" s="157" t="s">
        <v>1340</v>
      </c>
      <c r="E83" s="157" t="s">
        <v>45</v>
      </c>
      <c r="F83" s="157" t="s">
        <v>1105</v>
      </c>
      <c r="G83" s="157" t="s">
        <v>1105</v>
      </c>
      <c r="H83" s="157" t="s">
        <v>1344</v>
      </c>
      <c r="I83" s="157" t="s">
        <v>1345</v>
      </c>
      <c r="J83" s="157" t="s">
        <v>1346</v>
      </c>
      <c r="K83" s="157" t="s">
        <v>865</v>
      </c>
      <c r="L83" s="157"/>
      <c r="M83" s="157" t="s">
        <v>1337</v>
      </c>
      <c r="N83" s="157" t="s">
        <v>1337</v>
      </c>
      <c r="O83" s="157" t="s">
        <v>1337</v>
      </c>
    </row>
    <row r="84" spans="2:15">
      <c r="D84" s="85"/>
      <c r="K84" s="86"/>
      <c r="L84" s="86"/>
      <c r="M84" s="86"/>
      <c r="N84" s="86"/>
      <c r="O84" s="86"/>
    </row>
    <row r="85" spans="2:15">
      <c r="B85" s="87" t="str">
        <f t="shared" ref="B85:D89" si="27">B48</f>
        <v>Atmos Energy Corporation</v>
      </c>
      <c r="C85" s="90" t="str">
        <f t="shared" si="27"/>
        <v>ATO</v>
      </c>
      <c r="D85" s="294">
        <f t="shared" si="27"/>
        <v>4</v>
      </c>
      <c r="E85" s="294">
        <v>174.83126333333337</v>
      </c>
      <c r="F85" s="295">
        <f>D85/E85</f>
        <v>2.2879203202768136E-2</v>
      </c>
      <c r="G85" s="91">
        <f>IFERROR(F85*(1+0.5*K85),"")</f>
        <v>2.3768562064385927E-2</v>
      </c>
      <c r="H85" s="295">
        <f t="shared" ref="H85:J89" si="28">H48</f>
        <v>8.5000000000000006E-2</v>
      </c>
      <c r="I85" s="295">
        <f t="shared" si="28"/>
        <v>6.8000000000000005E-2</v>
      </c>
      <c r="J85" s="295">
        <f t="shared" si="28"/>
        <v>8.0231600000000014E-2</v>
      </c>
      <c r="K85" s="296">
        <f>AVERAGE(H85:J85)</f>
        <v>7.7743866666666675E-2</v>
      </c>
      <c r="L85" s="296"/>
      <c r="M85" s="93">
        <f>$F85*(1+0.5*MIN($H85:$J85))+MIN($H85:$J85)</f>
        <v>9.1657096111662256E-2</v>
      </c>
      <c r="N85" s="93">
        <f>K85+G85</f>
        <v>0.1015124287310526</v>
      </c>
      <c r="O85" s="93">
        <f>$F85*(1+0.5*MAX($H85:$J85))+MAX($H85:$J85)</f>
        <v>0.10885156933888579</v>
      </c>
    </row>
    <row r="86" spans="2:15">
      <c r="B86" s="87" t="str">
        <f t="shared" si="27"/>
        <v>Chesapeake Utilities Corporation</v>
      </c>
      <c r="C86" s="90" t="str">
        <f t="shared" si="27"/>
        <v>CPK</v>
      </c>
      <c r="D86" s="294">
        <f t="shared" si="27"/>
        <v>2.94</v>
      </c>
      <c r="E86" s="294">
        <v>127.1421105555556</v>
      </c>
      <c r="F86" s="295">
        <f t="shared" ref="F86:F90" si="29">D86/E86</f>
        <v>2.3123731288976417E-2</v>
      </c>
      <c r="G86" s="91">
        <f t="shared" ref="G86:G90" si="30">IFERROR(F86*(1+0.5*K86),"")</f>
        <v>2.4184532461858213E-2</v>
      </c>
      <c r="H86" s="295">
        <f t="shared" si="28"/>
        <v>0.1</v>
      </c>
      <c r="I86" s="295" t="str">
        <f t="shared" si="28"/>
        <v>n/a</v>
      </c>
      <c r="J86" s="295">
        <f t="shared" si="28"/>
        <v>8.3499999999999991E-2</v>
      </c>
      <c r="K86" s="296">
        <f t="shared" ref="K86:K90" si="31">AVERAGE(H86:J86)</f>
        <v>9.1749999999999998E-2</v>
      </c>
      <c r="L86" s="296"/>
      <c r="M86" s="93">
        <f t="shared" ref="M86:M90" si="32">$F86*(1+0.5*MIN($H86:$J86))+MIN($H86:$J86)</f>
        <v>0.10758914707029117</v>
      </c>
      <c r="N86" s="93">
        <f t="shared" ref="N86" si="33">K86+G86</f>
        <v>0.11593453246185821</v>
      </c>
      <c r="O86" s="93">
        <f t="shared" ref="O86:O90" si="34">$F86*(1+0.5*MAX($H86:$J86))+MAX($H86:$J86)</f>
        <v>0.12427991785342524</v>
      </c>
    </row>
    <row r="87" spans="2:15">
      <c r="B87" s="87" t="str">
        <f t="shared" si="27"/>
        <v>NiSource Inc.</v>
      </c>
      <c r="C87" s="90" t="str">
        <f t="shared" si="27"/>
        <v>NI</v>
      </c>
      <c r="D87" s="294">
        <f t="shared" si="27"/>
        <v>1.2</v>
      </c>
      <c r="E87" s="294">
        <v>44.702666111111135</v>
      </c>
      <c r="F87" s="295">
        <f t="shared" si="29"/>
        <v>2.6844036483580837E-2</v>
      </c>
      <c r="G87" s="91">
        <f t="shared" si="30"/>
        <v>2.7955205555164547E-2</v>
      </c>
      <c r="H87" s="295">
        <f t="shared" si="28"/>
        <v>0.09</v>
      </c>
      <c r="I87" s="295">
        <f t="shared" si="28"/>
        <v>6.0999999999999999E-2</v>
      </c>
      <c r="J87" s="295">
        <f t="shared" si="28"/>
        <v>9.7361100000000006E-2</v>
      </c>
      <c r="K87" s="296">
        <f t="shared" si="31"/>
        <v>8.2787033333333329E-2</v>
      </c>
      <c r="L87" s="296"/>
      <c r="M87" s="93">
        <f t="shared" si="32"/>
        <v>8.8662779596330052E-2</v>
      </c>
      <c r="N87" s="93">
        <f t="shared" ref="N87:N90" si="35">K87+G87</f>
        <v>0.11074223888849788</v>
      </c>
      <c r="O87" s="93">
        <f t="shared" si="34"/>
        <v>0.12551191894382163</v>
      </c>
    </row>
    <row r="88" spans="2:15">
      <c r="B88" s="87" t="str">
        <f t="shared" si="27"/>
        <v>Northwest Natural Gas Company</v>
      </c>
      <c r="C88" s="90" t="str">
        <f t="shared" si="27"/>
        <v>NWN</v>
      </c>
      <c r="D88" s="294">
        <f t="shared" si="27"/>
        <v>1.97</v>
      </c>
      <c r="E88" s="294">
        <v>48.703118888888902</v>
      </c>
      <c r="F88" s="295">
        <f t="shared" si="29"/>
        <v>4.0449154898977824E-2</v>
      </c>
      <c r="G88" s="91">
        <f t="shared" si="30"/>
        <v>4.169970827501418E-2</v>
      </c>
      <c r="H88" s="295">
        <f t="shared" si="28"/>
        <v>6.5000000000000002E-2</v>
      </c>
      <c r="I88" s="295" t="str">
        <f t="shared" si="28"/>
        <v>n/a</v>
      </c>
      <c r="J88" s="295">
        <f t="shared" si="28"/>
        <v>5.8666700000000002E-2</v>
      </c>
      <c r="K88" s="296">
        <f t="shared" si="31"/>
        <v>6.1833350000000002E-2</v>
      </c>
      <c r="L88" s="296"/>
      <c r="M88" s="93">
        <f t="shared" si="32"/>
        <v>0.10030236411683376</v>
      </c>
      <c r="N88" s="93">
        <f t="shared" si="35"/>
        <v>0.10353305827501419</v>
      </c>
      <c r="O88" s="93">
        <f t="shared" si="34"/>
        <v>0.10676375243319461</v>
      </c>
    </row>
    <row r="89" spans="2:15">
      <c r="B89" s="87" t="str">
        <f t="shared" si="27"/>
        <v>ONE Gas, Inc.</v>
      </c>
      <c r="C89" s="90" t="str">
        <f t="shared" si="27"/>
        <v>OGS</v>
      </c>
      <c r="D89" s="294">
        <f t="shared" si="27"/>
        <v>2.72</v>
      </c>
      <c r="E89" s="294">
        <v>81.220344444444493</v>
      </c>
      <c r="F89" s="295">
        <f t="shared" ref="F89" si="36">D89/E89</f>
        <v>3.348914632910116E-2</v>
      </c>
      <c r="G89" s="91">
        <f t="shared" ref="G89" si="37">IFERROR(F89*(1+0.5*K89),"")</f>
        <v>3.455756730901164E-2</v>
      </c>
      <c r="H89" s="295">
        <f t="shared" si="28"/>
        <v>7.0000000000000007E-2</v>
      </c>
      <c r="I89" s="295">
        <f t="shared" si="28"/>
        <v>6.2E-2</v>
      </c>
      <c r="J89" s="295">
        <f t="shared" si="28"/>
        <v>5.9421000000000002E-2</v>
      </c>
      <c r="K89" s="296">
        <f t="shared" ref="K89" si="38">AVERAGE(H89:J89)</f>
        <v>6.3807000000000003E-2</v>
      </c>
      <c r="L89" s="296"/>
      <c r="M89" s="93">
        <f t="shared" si="32"/>
        <v>9.3905125611111917E-2</v>
      </c>
      <c r="N89" s="93">
        <f t="shared" ref="N89" si="39">K89+G89</f>
        <v>9.8364567309011636E-2</v>
      </c>
      <c r="O89" s="93">
        <f t="shared" si="34"/>
        <v>0.10466126645061971</v>
      </c>
    </row>
    <row r="90" spans="2:15">
      <c r="B90" s="87" t="str">
        <f t="shared" ref="B90:C90" si="40">B53</f>
        <v>Southwest Gas Corporation</v>
      </c>
      <c r="C90" s="90" t="str">
        <f t="shared" si="40"/>
        <v>SWX</v>
      </c>
      <c r="D90" s="294">
        <f>D53</f>
        <v>2.58</v>
      </c>
      <c r="E90" s="294">
        <v>84.276799444444435</v>
      </c>
      <c r="F90" s="295">
        <f t="shared" si="29"/>
        <v>3.061340745030007E-2</v>
      </c>
      <c r="G90" s="91">
        <f t="shared" si="30"/>
        <v>3.2377202747225046E-2</v>
      </c>
      <c r="H90" s="295" t="str">
        <f t="shared" ref="H90:J90" si="41">H53</f>
        <v>n/a</v>
      </c>
      <c r="I90" s="295">
        <f t="shared" si="41"/>
        <v>9.9000000000000005E-2</v>
      </c>
      <c r="J90" s="295">
        <f t="shared" si="41"/>
        <v>0.13146050000000001</v>
      </c>
      <c r="K90" s="296">
        <f t="shared" si="31"/>
        <v>0.11523025000000001</v>
      </c>
      <c r="L90" s="296"/>
      <c r="M90" s="93">
        <f t="shared" si="32"/>
        <v>0.13112877111908994</v>
      </c>
      <c r="N90" s="93">
        <f t="shared" si="35"/>
        <v>0.14760745274722506</v>
      </c>
      <c r="O90" s="93">
        <f t="shared" si="34"/>
        <v>0.16408613437536018</v>
      </c>
    </row>
    <row r="92" spans="2:15">
      <c r="B92" s="297"/>
      <c r="M92" s="296"/>
      <c r="N92" s="296"/>
      <c r="O92" s="296"/>
    </row>
    <row r="93" spans="2:15">
      <c r="B93" s="297" t="s">
        <v>36</v>
      </c>
      <c r="M93" s="296">
        <f>MEDIAN(M85:M90)</f>
        <v>9.710374486397283E-2</v>
      </c>
      <c r="N93" s="296">
        <f>MEDIAN(N85:N90)</f>
        <v>0.10713764858175603</v>
      </c>
      <c r="O93" s="296">
        <f>MEDIAN(O85:O90)</f>
        <v>0.11656574359615551</v>
      </c>
    </row>
    <row r="94" spans="2:15">
      <c r="B94" s="87"/>
      <c r="M94" s="296"/>
      <c r="N94" s="296"/>
      <c r="O94" s="296"/>
    </row>
    <row r="95" spans="2:15" ht="13.5" thickBot="1">
      <c r="B95" s="298"/>
      <c r="C95" s="299"/>
      <c r="D95" s="300"/>
      <c r="E95" s="300"/>
      <c r="F95" s="301"/>
      <c r="G95" s="301"/>
      <c r="H95" s="301"/>
      <c r="I95" s="301"/>
      <c r="J95" s="301"/>
      <c r="K95" s="301"/>
      <c r="L95" s="301"/>
      <c r="M95" s="301"/>
      <c r="N95" s="301"/>
      <c r="O95" s="301"/>
    </row>
    <row r="98" spans="2:2">
      <c r="B98" s="92" t="s">
        <v>839</v>
      </c>
    </row>
    <row r="99" spans="2:2">
      <c r="B99" s="85" t="str">
        <f>B25</f>
        <v>[1] Bloomberg Professional as of June 30 2026</v>
      </c>
    </row>
    <row r="100" spans="2:2">
      <c r="B100" s="85" t="str">
        <f>"[2] Bloomberg Professional 180-day average as of "&amp;TEXT(B1,"mmmm d yyyy")</f>
        <v>[2] Bloomberg Professional 180-day average as of June 30 2026</v>
      </c>
    </row>
    <row r="101" spans="2:2">
      <c r="B101" s="85" t="str">
        <f>B27</f>
        <v>[3] Equals [1]/[2]</v>
      </c>
    </row>
    <row r="102" spans="2:2">
      <c r="B102" s="85" t="str">
        <f t="shared" ref="B102:B109" si="42">B28</f>
        <v>[4] Equals [3] x (1 + 0.5 x [8])</v>
      </c>
    </row>
    <row r="103" spans="2:2">
      <c r="B103" s="85" t="str">
        <f t="shared" si="42"/>
        <v>[5] Value Line</v>
      </c>
    </row>
    <row r="104" spans="2:2">
      <c r="B104" s="85" t="str">
        <f t="shared" si="42"/>
        <v>[6] Zacks</v>
      </c>
    </row>
    <row r="105" spans="2:2">
      <c r="B105" s="85" t="str">
        <f t="shared" si="42"/>
        <v>[7] S&amp;P Capital IQ Pro</v>
      </c>
    </row>
    <row r="106" spans="2:2">
      <c r="B106" s="85" t="str">
        <f t="shared" si="42"/>
        <v>[8] Equals average of [5], [6], [7]</v>
      </c>
    </row>
    <row r="107" spans="2:2">
      <c r="B107" s="85" t="str">
        <f t="shared" si="42"/>
        <v>[9] Equals [3] x (1 + 0.5 x (min([5], [6], [7])) + (min([5], [6], [7])</v>
      </c>
    </row>
    <row r="108" spans="2:2">
      <c r="B108" s="85" t="str">
        <f t="shared" si="42"/>
        <v>[10] Equals [4] + [8]</v>
      </c>
    </row>
    <row r="109" spans="2:2">
      <c r="B109" s="85" t="str">
        <f t="shared" si="42"/>
        <v>[11] Equals [3] x (1 + 0.5 x (max([5], [6], [7])) + (max([5], [6], [7])</v>
      </c>
    </row>
  </sheetData>
  <mergeCells count="8">
    <mergeCell ref="B77:O77"/>
    <mergeCell ref="H4:J4"/>
    <mergeCell ref="H41:J41"/>
    <mergeCell ref="B2:O2"/>
    <mergeCell ref="B39:O39"/>
    <mergeCell ref="B76:O76"/>
    <mergeCell ref="B3:O3"/>
    <mergeCell ref="B40:O40"/>
  </mergeCells>
  <printOptions horizontalCentered="1"/>
  <pageMargins left="0.7" right="0.7" top="1.25" bottom="0.75" header="0.3" footer="0.3"/>
  <pageSetup scale="48" orientation="portrait" useFirstPageNumber="1" r:id="rId1"/>
  <headerFooter scaleWithDoc="0">
    <oddHeader>&amp;C&amp;"Times New Roman,Regular"&amp;9MIDAMERICAN ENERGY COMPANY
2026 SOUTH DAKOTA GAS RATE CASE
Docket No. NG26-____
FOR THE YEAR ENDING DECEMBER 31, 2025
Individual Responsible: Ann Bulkley&amp;R&amp;"Times New Roman,Regular"&amp;9Exhibit AEB 1.1
&amp;A
Page &amp;P of &amp;N</oddHeader>
  </headerFooter>
  <rowBreaks count="2" manualBreakCount="2">
    <brk id="37" min="1" max="13" man="1"/>
    <brk id="74" min="1" max="13" man="1"/>
  </rowBreaks>
  <ignoredErrors>
    <ignoredError sqref="B100 B63"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autoPageBreaks="0"/>
  </sheetPr>
  <dimension ref="A1:J145"/>
  <sheetViews>
    <sheetView showGridLines="0" view="pageLayout" zoomScaleNormal="100" zoomScaleSheetLayoutView="75" workbookViewId="0">
      <selection activeCell="G15" sqref="G15"/>
    </sheetView>
  </sheetViews>
  <sheetFormatPr defaultColWidth="8.7109375" defaultRowHeight="15" customHeight="1"/>
  <cols>
    <col min="1" max="1" width="2.5703125" style="94" customWidth="1"/>
    <col min="2" max="2" width="34" style="94" customWidth="1"/>
    <col min="3" max="3" width="8.7109375" style="94"/>
    <col min="4" max="4" width="19.42578125" style="94" customWidth="1"/>
    <col min="5" max="6" width="8.7109375" style="94"/>
    <col min="7" max="7" width="9.140625" style="94" bestFit="1" customWidth="1"/>
    <col min="8" max="8" width="8.7109375" style="94"/>
    <col min="9" max="9" width="10.85546875" style="94" customWidth="1"/>
    <col min="10" max="10" width="3.85546875" style="94" customWidth="1"/>
    <col min="11" max="16384" width="8.7109375" style="94"/>
  </cols>
  <sheetData>
    <row r="1" spans="1:10" ht="15" customHeight="1">
      <c r="B1" s="302"/>
      <c r="C1" s="302"/>
      <c r="D1" s="302"/>
      <c r="E1" s="302"/>
      <c r="F1" s="302"/>
      <c r="G1" s="302"/>
      <c r="H1" s="302"/>
      <c r="I1" s="302"/>
    </row>
    <row r="2" spans="1:10" ht="15" customHeight="1">
      <c r="B2" s="361" t="s">
        <v>1121</v>
      </c>
      <c r="C2" s="361"/>
      <c r="D2" s="361"/>
      <c r="E2" s="361"/>
      <c r="F2" s="361"/>
      <c r="G2" s="361"/>
      <c r="H2" s="361"/>
      <c r="I2" s="361"/>
      <c r="J2" s="88"/>
    </row>
    <row r="3" spans="1:10" ht="15" customHeight="1">
      <c r="B3" s="361" t="s">
        <v>1327</v>
      </c>
      <c r="C3" s="361"/>
      <c r="D3" s="361"/>
      <c r="E3" s="361"/>
      <c r="F3" s="361"/>
      <c r="G3" s="361"/>
      <c r="H3" s="361"/>
      <c r="I3" s="361"/>
      <c r="J3" s="88"/>
    </row>
    <row r="4" spans="1:10" ht="15" customHeight="1">
      <c r="B4" s="95"/>
      <c r="C4" s="95"/>
      <c r="D4" s="95"/>
      <c r="E4" s="95"/>
      <c r="F4" s="95"/>
      <c r="G4" s="95"/>
      <c r="H4" s="95"/>
      <c r="I4" s="95"/>
      <c r="J4" s="88"/>
    </row>
    <row r="5" spans="1:10" ht="15" customHeight="1">
      <c r="B5" s="303"/>
      <c r="C5" s="303"/>
      <c r="D5" s="303"/>
      <c r="E5" s="303"/>
      <c r="F5" s="303"/>
      <c r="G5" s="303"/>
      <c r="H5" s="303"/>
      <c r="I5" s="303"/>
      <c r="J5" s="88"/>
    </row>
    <row r="6" spans="1:10" ht="15" customHeight="1" thickBot="1">
      <c r="B6" s="85"/>
      <c r="C6" s="85"/>
      <c r="D6" s="303" t="s">
        <v>859</v>
      </c>
      <c r="E6" s="303" t="s">
        <v>860</v>
      </c>
      <c r="F6" s="303" t="s">
        <v>861</v>
      </c>
      <c r="G6" s="303" t="s">
        <v>38</v>
      </c>
      <c r="H6" s="303" t="s">
        <v>39</v>
      </c>
      <c r="I6" s="303" t="s">
        <v>40</v>
      </c>
      <c r="J6" s="85"/>
    </row>
    <row r="7" spans="1:10" ht="60" customHeight="1">
      <c r="B7" s="96" t="s">
        <v>0</v>
      </c>
      <c r="C7" s="96" t="s">
        <v>37</v>
      </c>
      <c r="D7" s="304" t="s">
        <v>1083</v>
      </c>
      <c r="E7" s="304" t="s">
        <v>1329</v>
      </c>
      <c r="F7" s="304" t="s">
        <v>1330</v>
      </c>
      <c r="G7" s="304" t="s">
        <v>1328</v>
      </c>
      <c r="H7" s="305" t="s">
        <v>1331</v>
      </c>
      <c r="I7" s="305" t="s">
        <v>1332</v>
      </c>
      <c r="J7" s="85"/>
    </row>
    <row r="8" spans="1:10" ht="15" customHeight="1">
      <c r="B8" s="97"/>
      <c r="C8" s="97"/>
      <c r="D8" s="85"/>
      <c r="E8" s="85"/>
      <c r="F8" s="85"/>
      <c r="G8" s="85"/>
      <c r="H8" s="85"/>
      <c r="I8" s="85"/>
      <c r="J8" s="85"/>
    </row>
    <row r="9" spans="1:10" ht="15" customHeight="1">
      <c r="B9" s="87" t="str">
        <f>'AEB-3 Proxy'!B6</f>
        <v>Atmos Energy Corporation</v>
      </c>
      <c r="C9" s="90" t="str">
        <f>'AEB-3 Proxy'!C6</f>
        <v>ATO</v>
      </c>
      <c r="D9" s="306">
        <v>4.9836666666666661E-2</v>
      </c>
      <c r="E9" s="98">
        <v>0.75</v>
      </c>
      <c r="F9" s="93">
        <f>'AEB-7 MktRet'!$C$7</f>
        <v>0.1335883843796663</v>
      </c>
      <c r="G9" s="296">
        <f>F9-D9</f>
        <v>8.3751717712999635E-2</v>
      </c>
      <c r="H9" s="307">
        <f>IFERROR(G9*E9+D9, "")</f>
        <v>0.1126504549514164</v>
      </c>
      <c r="I9" s="307">
        <f>IFERROR((0.25*G9)+(0.75*E9*G9)+D9, "")</f>
        <v>0.11788493730847888</v>
      </c>
      <c r="J9" s="85"/>
    </row>
    <row r="10" spans="1:10" ht="15" customHeight="1">
      <c r="B10" s="87" t="str">
        <f>'AEB-3 Proxy'!B7</f>
        <v>Chesapeake Utilities Corporation</v>
      </c>
      <c r="C10" s="90" t="str">
        <f>'AEB-3 Proxy'!C7</f>
        <v>CPK</v>
      </c>
      <c r="D10" s="93">
        <f>D9</f>
        <v>4.9836666666666661E-2</v>
      </c>
      <c r="E10" s="98">
        <v>0.75</v>
      </c>
      <c r="F10" s="93">
        <f>'AEB-7 MktRet'!$C$7</f>
        <v>0.1335883843796663</v>
      </c>
      <c r="G10" s="296">
        <f t="shared" ref="G10" si="0">F10-D10</f>
        <v>8.3751717712999635E-2</v>
      </c>
      <c r="H10" s="307">
        <f t="shared" ref="H10" si="1">IFERROR(G10*E10+D10, "")</f>
        <v>0.1126504549514164</v>
      </c>
      <c r="I10" s="307">
        <f t="shared" ref="I10" si="2">IFERROR((0.25*G10)+(0.75*E10*G10)+D10, "")</f>
        <v>0.11788493730847888</v>
      </c>
      <c r="J10" s="85"/>
    </row>
    <row r="11" spans="1:10" ht="15" customHeight="1">
      <c r="B11" s="87" t="str">
        <f>'AEB-3 Proxy'!B8</f>
        <v>NiSource Inc.</v>
      </c>
      <c r="C11" s="90" t="str">
        <f>'AEB-3 Proxy'!C8</f>
        <v>NI</v>
      </c>
      <c r="D11" s="93">
        <f t="shared" ref="D11:D14" si="3">D10</f>
        <v>4.9836666666666661E-2</v>
      </c>
      <c r="E11" s="98">
        <v>0.85</v>
      </c>
      <c r="F11" s="93">
        <f>'AEB-7 MktRet'!$C$7</f>
        <v>0.1335883843796663</v>
      </c>
      <c r="G11" s="296">
        <f t="shared" ref="G11:G14" si="4">F11-D11</f>
        <v>8.3751717712999635E-2</v>
      </c>
      <c r="H11" s="307">
        <f t="shared" ref="H11:H14" si="5">IFERROR(G11*E11+D11, "")</f>
        <v>0.12102562672271636</v>
      </c>
      <c r="I11" s="307">
        <f t="shared" ref="I11:I14" si="6">IFERROR((0.25*G11)+(0.75*E11*G11)+D11, "")</f>
        <v>0.12416631613695384</v>
      </c>
      <c r="J11" s="85"/>
    </row>
    <row r="12" spans="1:10" ht="15" customHeight="1">
      <c r="B12" s="87" t="str">
        <f>'AEB-3 Proxy'!B9</f>
        <v>Northwest Natural Gas Company</v>
      </c>
      <c r="C12" s="90" t="str">
        <f>'AEB-3 Proxy'!C9</f>
        <v>NWN</v>
      </c>
      <c r="D12" s="93">
        <f t="shared" si="3"/>
        <v>4.9836666666666661E-2</v>
      </c>
      <c r="E12" s="98">
        <v>0.75</v>
      </c>
      <c r="F12" s="93">
        <f>'AEB-7 MktRet'!$C$7</f>
        <v>0.1335883843796663</v>
      </c>
      <c r="G12" s="296">
        <f t="shared" si="4"/>
        <v>8.3751717712999635E-2</v>
      </c>
      <c r="H12" s="307">
        <f t="shared" si="5"/>
        <v>0.1126504549514164</v>
      </c>
      <c r="I12" s="307">
        <f t="shared" si="6"/>
        <v>0.11788493730847888</v>
      </c>
      <c r="J12" s="85"/>
    </row>
    <row r="13" spans="1:10" ht="15" customHeight="1">
      <c r="B13" s="87" t="str">
        <f>'AEB-3 Proxy'!B10</f>
        <v>ONE Gas, Inc.</v>
      </c>
      <c r="C13" s="90" t="str">
        <f>'AEB-3 Proxy'!C10</f>
        <v>OGS</v>
      </c>
      <c r="D13" s="93">
        <f t="shared" si="3"/>
        <v>4.9836666666666661E-2</v>
      </c>
      <c r="E13" s="98">
        <v>0.75</v>
      </c>
      <c r="F13" s="93">
        <f>'AEB-7 MktRet'!$C$7</f>
        <v>0.1335883843796663</v>
      </c>
      <c r="G13" s="296">
        <f t="shared" ref="G13" si="7">F13-D13</f>
        <v>8.3751717712999635E-2</v>
      </c>
      <c r="H13" s="307">
        <f t="shared" ref="H13" si="8">IFERROR(G13*E13+D13, "")</f>
        <v>0.1126504549514164</v>
      </c>
      <c r="I13" s="307">
        <f t="shared" ref="I13" si="9">IFERROR((0.25*G13)+(0.75*E13*G13)+D13, "")</f>
        <v>0.11788493730847888</v>
      </c>
      <c r="J13" s="85"/>
    </row>
    <row r="14" spans="1:10" ht="15" customHeight="1">
      <c r="A14" s="269"/>
      <c r="B14" s="308" t="str">
        <f>'AEB-3 Proxy'!B11</f>
        <v>Southwest Gas Corporation</v>
      </c>
      <c r="C14" s="309" t="str">
        <f>'AEB-3 Proxy'!C11</f>
        <v>SWX</v>
      </c>
      <c r="D14" s="310">
        <f t="shared" si="3"/>
        <v>4.9836666666666661E-2</v>
      </c>
      <c r="E14" s="311">
        <v>0.8</v>
      </c>
      <c r="F14" s="310">
        <f>'AEB-7 MktRet'!$C$7</f>
        <v>0.1335883843796663</v>
      </c>
      <c r="G14" s="312">
        <f t="shared" si="4"/>
        <v>8.3751717712999635E-2</v>
      </c>
      <c r="H14" s="313">
        <f t="shared" si="5"/>
        <v>0.11683804083706636</v>
      </c>
      <c r="I14" s="313">
        <f t="shared" si="6"/>
        <v>0.12102562672271636</v>
      </c>
      <c r="J14" s="85"/>
    </row>
    <row r="15" spans="1:10" ht="15" customHeight="1" thickBot="1">
      <c r="B15" s="314" t="s">
        <v>36</v>
      </c>
      <c r="C15" s="315"/>
      <c r="D15" s="315"/>
      <c r="E15" s="316"/>
      <c r="F15" s="317"/>
      <c r="G15" s="317"/>
      <c r="H15" s="317">
        <f>MEDIAN(H9:H14)</f>
        <v>0.1126504549514164</v>
      </c>
      <c r="I15" s="317">
        <f>MEDIAN(I9:I14)</f>
        <v>0.11788493730847888</v>
      </c>
      <c r="J15" s="85"/>
    </row>
    <row r="17" spans="2:9" ht="15" customHeight="1">
      <c r="B17" s="308" t="s">
        <v>839</v>
      </c>
    </row>
    <row r="18" spans="2:9" ht="15" customHeight="1">
      <c r="B18" s="94" t="str">
        <f>"[1] Bloomberg Professional 30-day average as of "&amp;TEXT('AEB-4 CGDCF'!B1,"mmmm d yyyy")</f>
        <v>[1] Bloomberg Professional 30-day average as of June 30 2026</v>
      </c>
    </row>
    <row r="19" spans="2:9" ht="15" customHeight="1">
      <c r="B19" s="94" t="s">
        <v>1120</v>
      </c>
    </row>
    <row r="20" spans="2:9" ht="15" customHeight="1">
      <c r="B20" s="94" t="s">
        <v>1446</v>
      </c>
    </row>
    <row r="21" spans="2:9" ht="15" customHeight="1">
      <c r="B21" s="94" t="s">
        <v>862</v>
      </c>
    </row>
    <row r="22" spans="2:9" ht="15" customHeight="1">
      <c r="B22" s="318" t="s">
        <v>863</v>
      </c>
    </row>
    <row r="23" spans="2:9" ht="15" customHeight="1">
      <c r="B23" s="318" t="s">
        <v>864</v>
      </c>
    </row>
    <row r="26" spans="2:9" ht="15" customHeight="1">
      <c r="B26" s="361" t="s">
        <v>1121</v>
      </c>
      <c r="C26" s="361"/>
      <c r="D26" s="361"/>
      <c r="E26" s="361"/>
      <c r="F26" s="361"/>
      <c r="G26" s="361"/>
      <c r="H26" s="361"/>
      <c r="I26" s="361"/>
    </row>
    <row r="27" spans="2:9" ht="15" customHeight="1">
      <c r="B27" s="361" t="s">
        <v>1122</v>
      </c>
      <c r="C27" s="361"/>
      <c r="D27" s="361"/>
      <c r="E27" s="361"/>
      <c r="F27" s="361"/>
      <c r="G27" s="361"/>
      <c r="H27" s="361"/>
      <c r="I27" s="361"/>
    </row>
    <row r="28" spans="2:9" ht="15" customHeight="1">
      <c r="B28" s="95"/>
      <c r="C28" s="95"/>
      <c r="D28" s="95"/>
      <c r="E28" s="95"/>
      <c r="F28" s="95"/>
      <c r="G28" s="95"/>
      <c r="H28" s="95"/>
      <c r="I28" s="95"/>
    </row>
    <row r="29" spans="2:9" ht="15" customHeight="1">
      <c r="B29" s="303"/>
      <c r="C29" s="303"/>
      <c r="D29" s="303"/>
      <c r="E29" s="303"/>
      <c r="F29" s="303"/>
      <c r="G29" s="303"/>
      <c r="H29" s="303"/>
      <c r="I29" s="303"/>
    </row>
    <row r="30" spans="2:9" ht="15" customHeight="1" thickBot="1">
      <c r="B30" s="85"/>
      <c r="C30" s="85"/>
      <c r="D30" s="303" t="s">
        <v>859</v>
      </c>
      <c r="E30" s="303" t="s">
        <v>860</v>
      </c>
      <c r="F30" s="303" t="s">
        <v>861</v>
      </c>
      <c r="G30" s="303" t="s">
        <v>38</v>
      </c>
      <c r="H30" s="303" t="s">
        <v>39</v>
      </c>
      <c r="I30" s="303" t="s">
        <v>40</v>
      </c>
    </row>
    <row r="31" spans="2:9" ht="60" customHeight="1">
      <c r="B31" s="96" t="s">
        <v>0</v>
      </c>
      <c r="C31" s="96" t="s">
        <v>37</v>
      </c>
      <c r="D31" s="304" t="s">
        <v>1523</v>
      </c>
      <c r="E31" s="304" t="s">
        <v>1329</v>
      </c>
      <c r="F31" s="304" t="s">
        <v>1330</v>
      </c>
      <c r="G31" s="304" t="s">
        <v>1328</v>
      </c>
      <c r="H31" s="305" t="s">
        <v>1331</v>
      </c>
      <c r="I31" s="305" t="s">
        <v>1332</v>
      </c>
    </row>
    <row r="32" spans="2:9" ht="15" customHeight="1">
      <c r="B32" s="97"/>
      <c r="C32" s="97"/>
      <c r="D32" s="85"/>
      <c r="E32" s="85"/>
      <c r="F32" s="85"/>
      <c r="G32" s="85"/>
      <c r="H32" s="85"/>
      <c r="I32" s="85"/>
    </row>
    <row r="33" spans="2:9" ht="15" customHeight="1">
      <c r="B33" s="87" t="str">
        <f t="shared" ref="B33:C38" si="10">B9</f>
        <v>Atmos Energy Corporation</v>
      </c>
      <c r="C33" s="90" t="str">
        <f t="shared" si="10"/>
        <v>ATO</v>
      </c>
      <c r="D33" s="93">
        <v>4.8599999999999997E-2</v>
      </c>
      <c r="E33" s="98">
        <f t="shared" ref="E33:E38" si="11">E9</f>
        <v>0.75</v>
      </c>
      <c r="F33" s="93">
        <f>'AEB-7 MktRet'!$C$7</f>
        <v>0.1335883843796663</v>
      </c>
      <c r="G33" s="296">
        <f>F33-D33</f>
        <v>8.4988384379666299E-2</v>
      </c>
      <c r="H33" s="307">
        <f>IFERROR(G33*E33+D33, "")</f>
        <v>0.11234128828474974</v>
      </c>
      <c r="I33" s="307">
        <f>IFERROR((0.25*G33)+(0.75*E33*G33)+D33, "")</f>
        <v>0.11765306230847886</v>
      </c>
    </row>
    <row r="34" spans="2:9" ht="15" customHeight="1">
      <c r="B34" s="87" t="str">
        <f t="shared" si="10"/>
        <v>Chesapeake Utilities Corporation</v>
      </c>
      <c r="C34" s="90" t="str">
        <f t="shared" si="10"/>
        <v>CPK</v>
      </c>
      <c r="D34" s="93">
        <f>D33</f>
        <v>4.8599999999999997E-2</v>
      </c>
      <c r="E34" s="98">
        <f t="shared" si="11"/>
        <v>0.75</v>
      </c>
      <c r="F34" s="93">
        <f>'AEB-7 MktRet'!$C$7</f>
        <v>0.1335883843796663</v>
      </c>
      <c r="G34" s="296">
        <f t="shared" ref="G34" si="12">F34-D34</f>
        <v>8.4988384379666299E-2</v>
      </c>
      <c r="H34" s="307">
        <f t="shared" ref="H34" si="13">IFERROR(G34*E34+D34, "")</f>
        <v>0.11234128828474974</v>
      </c>
      <c r="I34" s="307">
        <f t="shared" ref="I34" si="14">IFERROR((0.25*G34)+(0.75*E34*G34)+D34, "")</f>
        <v>0.11765306230847886</v>
      </c>
    </row>
    <row r="35" spans="2:9" ht="15" customHeight="1">
      <c r="B35" s="87" t="str">
        <f t="shared" si="10"/>
        <v>NiSource Inc.</v>
      </c>
      <c r="C35" s="90" t="str">
        <f t="shared" si="10"/>
        <v>NI</v>
      </c>
      <c r="D35" s="93">
        <f t="shared" ref="D35:D38" si="15">D34</f>
        <v>4.8599999999999997E-2</v>
      </c>
      <c r="E35" s="98">
        <f t="shared" si="11"/>
        <v>0.85</v>
      </c>
      <c r="F35" s="93">
        <f>'AEB-7 MktRet'!$C$7</f>
        <v>0.1335883843796663</v>
      </c>
      <c r="G35" s="296">
        <f t="shared" ref="G35:G38" si="16">F35-D35</f>
        <v>8.4988384379666299E-2</v>
      </c>
      <c r="H35" s="307">
        <f t="shared" ref="H35:H38" si="17">IFERROR(G35*E35+D35, "")</f>
        <v>0.12084012672271635</v>
      </c>
      <c r="I35" s="307">
        <f t="shared" ref="I35:I38" si="18">IFERROR((0.25*G35)+(0.75*E35*G35)+D35, "")</f>
        <v>0.12402719113695385</v>
      </c>
    </row>
    <row r="36" spans="2:9" ht="15" customHeight="1">
      <c r="B36" s="87" t="str">
        <f t="shared" si="10"/>
        <v>Northwest Natural Gas Company</v>
      </c>
      <c r="C36" s="90" t="str">
        <f t="shared" si="10"/>
        <v>NWN</v>
      </c>
      <c r="D36" s="93">
        <f t="shared" si="15"/>
        <v>4.8599999999999997E-2</v>
      </c>
      <c r="E36" s="98">
        <f t="shared" si="11"/>
        <v>0.75</v>
      </c>
      <c r="F36" s="93">
        <f>'AEB-7 MktRet'!$C$7</f>
        <v>0.1335883843796663</v>
      </c>
      <c r="G36" s="296">
        <f t="shared" si="16"/>
        <v>8.4988384379666299E-2</v>
      </c>
      <c r="H36" s="307">
        <f t="shared" si="17"/>
        <v>0.11234128828474974</v>
      </c>
      <c r="I36" s="307">
        <f t="shared" si="18"/>
        <v>0.11765306230847886</v>
      </c>
    </row>
    <row r="37" spans="2:9" ht="15" customHeight="1">
      <c r="B37" s="87" t="str">
        <f t="shared" si="10"/>
        <v>ONE Gas, Inc.</v>
      </c>
      <c r="C37" s="90" t="str">
        <f t="shared" si="10"/>
        <v>OGS</v>
      </c>
      <c r="D37" s="93">
        <f t="shared" si="15"/>
        <v>4.8599999999999997E-2</v>
      </c>
      <c r="E37" s="98">
        <f t="shared" si="11"/>
        <v>0.75</v>
      </c>
      <c r="F37" s="93">
        <f>'AEB-7 MktRet'!$C$7</f>
        <v>0.1335883843796663</v>
      </c>
      <c r="G37" s="296">
        <f t="shared" ref="G37" si="19">F37-D37</f>
        <v>8.4988384379666299E-2</v>
      </c>
      <c r="H37" s="307">
        <f t="shared" ref="H37" si="20">IFERROR(G37*E37+D37, "")</f>
        <v>0.11234128828474974</v>
      </c>
      <c r="I37" s="307">
        <f t="shared" ref="I37" si="21">IFERROR((0.25*G37)+(0.75*E37*G37)+D37, "")</f>
        <v>0.11765306230847886</v>
      </c>
    </row>
    <row r="38" spans="2:9" ht="15" customHeight="1">
      <c r="B38" s="308" t="str">
        <f t="shared" si="10"/>
        <v>Southwest Gas Corporation</v>
      </c>
      <c r="C38" s="309" t="str">
        <f t="shared" si="10"/>
        <v>SWX</v>
      </c>
      <c r="D38" s="310">
        <f t="shared" si="15"/>
        <v>4.8599999999999997E-2</v>
      </c>
      <c r="E38" s="311">
        <f t="shared" si="11"/>
        <v>0.8</v>
      </c>
      <c r="F38" s="310">
        <f>'AEB-7 MktRet'!$C$7</f>
        <v>0.1335883843796663</v>
      </c>
      <c r="G38" s="312">
        <f t="shared" si="16"/>
        <v>8.4988384379666299E-2</v>
      </c>
      <c r="H38" s="313">
        <f t="shared" si="17"/>
        <v>0.11659070750373304</v>
      </c>
      <c r="I38" s="313">
        <f t="shared" si="18"/>
        <v>0.12084012672271635</v>
      </c>
    </row>
    <row r="39" spans="2:9" ht="15" customHeight="1" thickBot="1">
      <c r="B39" s="314" t="s">
        <v>36</v>
      </c>
      <c r="C39" s="315"/>
      <c r="D39" s="315"/>
      <c r="E39" s="316"/>
      <c r="F39" s="317"/>
      <c r="G39" s="317"/>
      <c r="H39" s="317">
        <f>MEDIAN(H33:H38)</f>
        <v>0.11234128828474974</v>
      </c>
      <c r="I39" s="317">
        <f>MEDIAN(I33:I38)</f>
        <v>0.11765306230847886</v>
      </c>
    </row>
    <row r="41" spans="2:9" ht="15" customHeight="1">
      <c r="B41" s="308" t="s">
        <v>839</v>
      </c>
    </row>
    <row r="42" spans="2:9" ht="15" customHeight="1">
      <c r="B42" s="94" t="s">
        <v>1524</v>
      </c>
    </row>
    <row r="43" spans="2:9" ht="15" customHeight="1">
      <c r="B43" s="94" t="s">
        <v>1119</v>
      </c>
    </row>
    <row r="44" spans="2:9" ht="15" customHeight="1">
      <c r="B44" s="94" t="s">
        <v>1446</v>
      </c>
    </row>
    <row r="45" spans="2:9" ht="15" customHeight="1">
      <c r="B45" s="94" t="s">
        <v>862</v>
      </c>
    </row>
    <row r="46" spans="2:9" ht="15" customHeight="1">
      <c r="B46" s="318" t="s">
        <v>863</v>
      </c>
    </row>
    <row r="47" spans="2:9" ht="15" customHeight="1">
      <c r="B47" s="318" t="s">
        <v>864</v>
      </c>
    </row>
    <row r="50" spans="2:9" ht="15" customHeight="1">
      <c r="B50" s="361" t="s">
        <v>1121</v>
      </c>
      <c r="C50" s="361"/>
      <c r="D50" s="361"/>
      <c r="E50" s="361"/>
      <c r="F50" s="361"/>
      <c r="G50" s="361"/>
      <c r="H50" s="361"/>
      <c r="I50" s="361"/>
    </row>
    <row r="51" spans="2:9" ht="15" customHeight="1">
      <c r="B51" s="361" t="s">
        <v>1123</v>
      </c>
      <c r="C51" s="361"/>
      <c r="D51" s="361"/>
      <c r="E51" s="361"/>
      <c r="F51" s="361"/>
      <c r="G51" s="361"/>
      <c r="H51" s="361"/>
      <c r="I51" s="361"/>
    </row>
    <row r="52" spans="2:9" ht="15" customHeight="1">
      <c r="B52" s="95"/>
      <c r="C52" s="95"/>
      <c r="D52" s="95"/>
      <c r="E52" s="95"/>
      <c r="F52" s="95"/>
      <c r="G52" s="95"/>
      <c r="H52" s="95"/>
      <c r="I52" s="95"/>
    </row>
    <row r="53" spans="2:9" ht="15" customHeight="1">
      <c r="B53" s="303"/>
      <c r="C53" s="303"/>
      <c r="D53" s="303"/>
      <c r="E53" s="303"/>
      <c r="F53" s="303"/>
      <c r="G53" s="303"/>
      <c r="H53" s="303"/>
      <c r="I53" s="303"/>
    </row>
    <row r="54" spans="2:9" ht="15" customHeight="1" thickBot="1">
      <c r="B54" s="85"/>
      <c r="C54" s="85"/>
      <c r="D54" s="303" t="s">
        <v>859</v>
      </c>
      <c r="E54" s="303" t="s">
        <v>860</v>
      </c>
      <c r="F54" s="303" t="s">
        <v>861</v>
      </c>
      <c r="G54" s="303" t="s">
        <v>38</v>
      </c>
      <c r="H54" s="303" t="s">
        <v>39</v>
      </c>
      <c r="I54" s="303" t="s">
        <v>40</v>
      </c>
    </row>
    <row r="55" spans="2:9" ht="60" customHeight="1">
      <c r="B55" s="96" t="s">
        <v>0</v>
      </c>
      <c r="C55" s="319" t="s">
        <v>37</v>
      </c>
      <c r="D55" s="304" t="s">
        <v>1462</v>
      </c>
      <c r="E55" s="304" t="s">
        <v>1329</v>
      </c>
      <c r="F55" s="304" t="s">
        <v>1330</v>
      </c>
      <c r="G55" s="304" t="s">
        <v>1328</v>
      </c>
      <c r="H55" s="305" t="s">
        <v>1331</v>
      </c>
      <c r="I55" s="305" t="s">
        <v>1332</v>
      </c>
    </row>
    <row r="56" spans="2:9" ht="15" customHeight="1">
      <c r="B56" s="97"/>
      <c r="C56" s="97"/>
      <c r="D56" s="85"/>
      <c r="E56" s="85"/>
      <c r="F56" s="85"/>
      <c r="G56" s="86"/>
      <c r="H56" s="86"/>
      <c r="I56" s="86"/>
    </row>
    <row r="57" spans="2:9" ht="15" customHeight="1">
      <c r="B57" s="87" t="str">
        <f t="shared" ref="B57:C62" si="22">B9</f>
        <v>Atmos Energy Corporation</v>
      </c>
      <c r="C57" s="90" t="str">
        <f t="shared" si="22"/>
        <v>ATO</v>
      </c>
      <c r="D57" s="93">
        <v>4.7E-2</v>
      </c>
      <c r="E57" s="98">
        <f t="shared" ref="E57:E62" si="23">E33</f>
        <v>0.75</v>
      </c>
      <c r="F57" s="93">
        <f>'AEB-7 MktRet'!$C$7</f>
        <v>0.1335883843796663</v>
      </c>
      <c r="G57" s="296">
        <f>F57-D57</f>
        <v>8.6588384379666303E-2</v>
      </c>
      <c r="H57" s="307">
        <f>IFERROR(G57*E57+D57, "")</f>
        <v>0.11194128828474972</v>
      </c>
      <c r="I57" s="307">
        <f>IFERROR((0.25*G57)+(0.75*E57*G57)+D57, "")</f>
        <v>0.11735306230847888</v>
      </c>
    </row>
    <row r="58" spans="2:9" ht="15" customHeight="1">
      <c r="B58" s="87" t="str">
        <f t="shared" si="22"/>
        <v>Chesapeake Utilities Corporation</v>
      </c>
      <c r="C58" s="90" t="str">
        <f t="shared" si="22"/>
        <v>CPK</v>
      </c>
      <c r="D58" s="93">
        <f>D57</f>
        <v>4.7E-2</v>
      </c>
      <c r="E58" s="98">
        <f t="shared" si="23"/>
        <v>0.75</v>
      </c>
      <c r="F58" s="93">
        <f>'AEB-7 MktRet'!$C$7</f>
        <v>0.1335883843796663</v>
      </c>
      <c r="G58" s="296">
        <f t="shared" ref="G58" si="24">F58-D58</f>
        <v>8.6588384379666303E-2</v>
      </c>
      <c r="H58" s="307">
        <f t="shared" ref="H58" si="25">IFERROR(G58*E58+D58, "")</f>
        <v>0.11194128828474972</v>
      </c>
      <c r="I58" s="307">
        <f t="shared" ref="I58" si="26">IFERROR((0.25*G58)+(0.75*E58*G58)+D58, "")</f>
        <v>0.11735306230847888</v>
      </c>
    </row>
    <row r="59" spans="2:9" ht="15" customHeight="1">
      <c r="B59" s="87" t="str">
        <f t="shared" si="22"/>
        <v>NiSource Inc.</v>
      </c>
      <c r="C59" s="90" t="str">
        <f t="shared" si="22"/>
        <v>NI</v>
      </c>
      <c r="D59" s="93">
        <f t="shared" ref="D59:D62" si="27">D58</f>
        <v>4.7E-2</v>
      </c>
      <c r="E59" s="98">
        <f t="shared" si="23"/>
        <v>0.85</v>
      </c>
      <c r="F59" s="93">
        <f>'AEB-7 MktRet'!$C$7</f>
        <v>0.1335883843796663</v>
      </c>
      <c r="G59" s="296">
        <f t="shared" ref="G59:G62" si="28">F59-D59</f>
        <v>8.6588384379666303E-2</v>
      </c>
      <c r="H59" s="307">
        <f t="shared" ref="H59:H62" si="29">IFERROR(G59*E59+D59, "")</f>
        <v>0.12060012672271636</v>
      </c>
      <c r="I59" s="307">
        <f t="shared" ref="I59:I62" si="30">IFERROR((0.25*G59)+(0.75*E59*G59)+D59, "")</f>
        <v>0.12384719113695385</v>
      </c>
    </row>
    <row r="60" spans="2:9" ht="15" customHeight="1">
      <c r="B60" s="87" t="str">
        <f t="shared" si="22"/>
        <v>Northwest Natural Gas Company</v>
      </c>
      <c r="C60" s="90" t="str">
        <f t="shared" si="22"/>
        <v>NWN</v>
      </c>
      <c r="D60" s="93">
        <f t="shared" si="27"/>
        <v>4.7E-2</v>
      </c>
      <c r="E60" s="98">
        <f t="shared" si="23"/>
        <v>0.75</v>
      </c>
      <c r="F60" s="93">
        <f>'AEB-7 MktRet'!$C$7</f>
        <v>0.1335883843796663</v>
      </c>
      <c r="G60" s="296">
        <f t="shared" si="28"/>
        <v>8.6588384379666303E-2</v>
      </c>
      <c r="H60" s="307">
        <f t="shared" si="29"/>
        <v>0.11194128828474972</v>
      </c>
      <c r="I60" s="307">
        <f t="shared" si="30"/>
        <v>0.11735306230847888</v>
      </c>
    </row>
    <row r="61" spans="2:9" ht="15" customHeight="1">
      <c r="B61" s="87" t="str">
        <f t="shared" si="22"/>
        <v>ONE Gas, Inc.</v>
      </c>
      <c r="C61" s="90" t="str">
        <f t="shared" si="22"/>
        <v>OGS</v>
      </c>
      <c r="D61" s="93">
        <f t="shared" si="27"/>
        <v>4.7E-2</v>
      </c>
      <c r="E61" s="98">
        <f t="shared" si="23"/>
        <v>0.75</v>
      </c>
      <c r="F61" s="93">
        <f>'AEB-7 MktRet'!$C$7</f>
        <v>0.1335883843796663</v>
      </c>
      <c r="G61" s="296">
        <f t="shared" ref="G61" si="31">F61-D61</f>
        <v>8.6588384379666303E-2</v>
      </c>
      <c r="H61" s="307">
        <f t="shared" ref="H61" si="32">IFERROR(G61*E61+D61, "")</f>
        <v>0.11194128828474972</v>
      </c>
      <c r="I61" s="307">
        <f t="shared" ref="I61" si="33">IFERROR((0.25*G61)+(0.75*E61*G61)+D61, "")</f>
        <v>0.11735306230847888</v>
      </c>
    </row>
    <row r="62" spans="2:9" ht="15" customHeight="1">
      <c r="B62" s="308" t="str">
        <f t="shared" si="22"/>
        <v>Southwest Gas Corporation</v>
      </c>
      <c r="C62" s="309" t="str">
        <f t="shared" si="22"/>
        <v>SWX</v>
      </c>
      <c r="D62" s="310">
        <f t="shared" si="27"/>
        <v>4.7E-2</v>
      </c>
      <c r="E62" s="311">
        <f t="shared" si="23"/>
        <v>0.8</v>
      </c>
      <c r="F62" s="310">
        <f>'AEB-7 MktRet'!$C$7</f>
        <v>0.1335883843796663</v>
      </c>
      <c r="G62" s="312">
        <f t="shared" si="28"/>
        <v>8.6588384379666303E-2</v>
      </c>
      <c r="H62" s="313">
        <f t="shared" si="29"/>
        <v>0.11627070750373304</v>
      </c>
      <c r="I62" s="313">
        <f t="shared" si="30"/>
        <v>0.12060012672271636</v>
      </c>
    </row>
    <row r="63" spans="2:9" ht="15" customHeight="1" thickBot="1">
      <c r="B63" s="314" t="s">
        <v>36</v>
      </c>
      <c r="C63" s="315"/>
      <c r="D63" s="315"/>
      <c r="E63" s="316"/>
      <c r="F63" s="317"/>
      <c r="G63" s="317"/>
      <c r="H63" s="317">
        <f>MEDIAN(H57:H62)</f>
        <v>0.11194128828474972</v>
      </c>
      <c r="I63" s="317">
        <f>MEDIAN(I57:I62)</f>
        <v>0.11735306230847888</v>
      </c>
    </row>
    <row r="64" spans="2:9" ht="15" customHeight="1">
      <c r="G64" s="320"/>
      <c r="H64" s="320"/>
      <c r="I64" s="320"/>
    </row>
    <row r="65" spans="2:9" ht="15" customHeight="1">
      <c r="B65" s="308" t="s">
        <v>839</v>
      </c>
      <c r="G65" s="320"/>
      <c r="H65" s="320"/>
      <c r="I65" s="320"/>
    </row>
    <row r="66" spans="2:9" ht="15" customHeight="1">
      <c r="B66" s="94" t="s">
        <v>1463</v>
      </c>
      <c r="G66" s="320"/>
      <c r="H66" s="320"/>
      <c r="I66" s="320"/>
    </row>
    <row r="67" spans="2:9" ht="15" customHeight="1">
      <c r="B67" s="94" t="s">
        <v>1119</v>
      </c>
      <c r="G67" s="320"/>
      <c r="H67" s="320"/>
      <c r="I67" s="320"/>
    </row>
    <row r="68" spans="2:9" ht="15" customHeight="1">
      <c r="B68" s="94" t="s">
        <v>1446</v>
      </c>
      <c r="G68" s="320"/>
      <c r="H68" s="320"/>
      <c r="I68" s="320"/>
    </row>
    <row r="69" spans="2:9" ht="15" customHeight="1">
      <c r="B69" s="94" t="s">
        <v>862</v>
      </c>
      <c r="G69" s="320"/>
      <c r="H69" s="320"/>
      <c r="I69" s="320"/>
    </row>
    <row r="70" spans="2:9" ht="15" customHeight="1">
      <c r="B70" s="318" t="s">
        <v>863</v>
      </c>
      <c r="G70" s="320"/>
      <c r="H70" s="320"/>
      <c r="I70" s="320"/>
    </row>
    <row r="71" spans="2:9" ht="15" customHeight="1">
      <c r="B71" s="318" t="s">
        <v>864</v>
      </c>
      <c r="G71" s="320"/>
      <c r="H71" s="320"/>
      <c r="I71" s="320"/>
    </row>
    <row r="76" spans="2:9" ht="15" customHeight="1">
      <c r="B76" s="361" t="s">
        <v>1121</v>
      </c>
      <c r="C76" s="361"/>
      <c r="D76" s="361"/>
      <c r="E76" s="361"/>
      <c r="F76" s="361"/>
      <c r="G76" s="361"/>
      <c r="H76" s="361"/>
      <c r="I76" s="361"/>
    </row>
    <row r="77" spans="2:9" ht="15" customHeight="1">
      <c r="B77" s="361" t="s">
        <v>1124</v>
      </c>
      <c r="C77" s="361"/>
      <c r="D77" s="361"/>
      <c r="E77" s="361"/>
      <c r="F77" s="361"/>
      <c r="G77" s="361"/>
      <c r="H77" s="361"/>
      <c r="I77" s="361"/>
    </row>
    <row r="78" spans="2:9" ht="15" customHeight="1">
      <c r="B78" s="95"/>
      <c r="C78" s="95"/>
      <c r="D78" s="95"/>
      <c r="E78" s="95"/>
      <c r="F78" s="95"/>
      <c r="G78" s="95"/>
      <c r="H78" s="95"/>
      <c r="I78" s="95"/>
    </row>
    <row r="79" spans="2:9" ht="15" customHeight="1">
      <c r="B79" s="303"/>
      <c r="C79" s="303"/>
      <c r="D79" s="303"/>
      <c r="E79" s="303"/>
      <c r="F79" s="303"/>
      <c r="G79" s="303"/>
      <c r="H79" s="303"/>
      <c r="I79" s="303"/>
    </row>
    <row r="80" spans="2:9" ht="15" customHeight="1" thickBot="1">
      <c r="B80" s="85"/>
      <c r="C80" s="85"/>
      <c r="D80" s="86" t="s">
        <v>859</v>
      </c>
      <c r="E80" s="86" t="s">
        <v>860</v>
      </c>
      <c r="F80" s="86" t="s">
        <v>861</v>
      </c>
      <c r="G80" s="86" t="s">
        <v>38</v>
      </c>
      <c r="H80" s="86" t="s">
        <v>39</v>
      </c>
      <c r="I80" s="86" t="s">
        <v>40</v>
      </c>
    </row>
    <row r="81" spans="2:9" ht="60" customHeight="1">
      <c r="B81" s="96" t="s">
        <v>0</v>
      </c>
      <c r="C81" s="319" t="s">
        <v>37</v>
      </c>
      <c r="D81" s="321" t="str">
        <f>D7</f>
        <v>Current 30-day average of 30-year U.S. Treasury bond yield</v>
      </c>
      <c r="E81" s="304" t="s">
        <v>1329</v>
      </c>
      <c r="F81" s="304" t="s">
        <v>1330</v>
      </c>
      <c r="G81" s="304" t="s">
        <v>1328</v>
      </c>
      <c r="H81" s="305" t="s">
        <v>1331</v>
      </c>
      <c r="I81" s="305" t="s">
        <v>1332</v>
      </c>
    </row>
    <row r="82" spans="2:9" ht="15" customHeight="1">
      <c r="B82" s="97"/>
      <c r="C82" s="97"/>
      <c r="D82" s="85"/>
      <c r="E82" s="85"/>
      <c r="F82" s="85"/>
      <c r="G82" s="86"/>
      <c r="H82" s="86"/>
      <c r="I82" s="86"/>
    </row>
    <row r="83" spans="2:9" ht="15" customHeight="1">
      <c r="B83" s="87" t="str">
        <f t="shared" ref="B83:D88" si="34">B9</f>
        <v>Atmos Energy Corporation</v>
      </c>
      <c r="C83" s="90" t="str">
        <f t="shared" si="34"/>
        <v>ATO</v>
      </c>
      <c r="D83" s="91">
        <f t="shared" si="34"/>
        <v>4.9836666666666661E-2</v>
      </c>
      <c r="E83" s="98">
        <f>'AEB-6 LT Beta'!P7</f>
        <v>0.76153846153846161</v>
      </c>
      <c r="F83" s="93">
        <f>'AEB-7 MktRet'!$C$7</f>
        <v>0.1335883843796663</v>
      </c>
      <c r="G83" s="296">
        <f>F83-D83</f>
        <v>8.3751717712999635E-2</v>
      </c>
      <c r="H83" s="307">
        <f>IFERROR(G83*E83+D83, "")</f>
        <v>0.11361682092502792</v>
      </c>
      <c r="I83" s="307">
        <f>IFERROR((0.25*G83)+(0.75*E83*G83)+D83, "")</f>
        <v>0.11860971178868754</v>
      </c>
    </row>
    <row r="84" spans="2:9" ht="15" customHeight="1">
      <c r="B84" s="87" t="str">
        <f t="shared" si="34"/>
        <v>Chesapeake Utilities Corporation</v>
      </c>
      <c r="C84" s="90" t="str">
        <f t="shared" si="34"/>
        <v>CPK</v>
      </c>
      <c r="D84" s="91">
        <f t="shared" si="34"/>
        <v>4.9836666666666661E-2</v>
      </c>
      <c r="E84" s="98">
        <f>'AEB-6 LT Beta'!P8</f>
        <v>0.72307692307692295</v>
      </c>
      <c r="F84" s="93">
        <f>'AEB-7 MktRet'!$C$7</f>
        <v>0.1335883843796663</v>
      </c>
      <c r="G84" s="296">
        <f t="shared" ref="G84" si="35">F84-D84</f>
        <v>8.3751717712999635E-2</v>
      </c>
      <c r="H84" s="307">
        <f t="shared" ref="H84" si="36">IFERROR(G84*E84+D84, "")</f>
        <v>0.11039560101298947</v>
      </c>
      <c r="I84" s="307">
        <f t="shared" ref="I84" si="37">IFERROR((0.25*G84)+(0.75*E84*G84)+D84, "")</f>
        <v>0.11619379685465867</v>
      </c>
    </row>
    <row r="85" spans="2:9" ht="15" customHeight="1">
      <c r="B85" s="87" t="str">
        <f t="shared" si="34"/>
        <v>NiSource Inc.</v>
      </c>
      <c r="C85" s="90" t="str">
        <f t="shared" si="34"/>
        <v>NI</v>
      </c>
      <c r="D85" s="91">
        <f t="shared" si="34"/>
        <v>4.9836666666666661E-2</v>
      </c>
      <c r="E85" s="98">
        <f>'AEB-6 LT Beta'!P9</f>
        <v>0.78181818181818175</v>
      </c>
      <c r="F85" s="93">
        <f>'AEB-7 MktRet'!$C$7</f>
        <v>0.1335883843796663</v>
      </c>
      <c r="G85" s="296">
        <f t="shared" ref="G85:G88" si="38">F85-D85</f>
        <v>8.3751717712999635E-2</v>
      </c>
      <c r="H85" s="307">
        <f t="shared" ref="H85:H88" si="39">IFERROR(G85*E85+D85, "")</f>
        <v>0.11531528233319363</v>
      </c>
      <c r="I85" s="307">
        <f t="shared" ref="I85:I88" si="40">IFERROR((0.25*G85)+(0.75*E85*G85)+D85, "")</f>
        <v>0.11988355784481181</v>
      </c>
    </row>
    <row r="86" spans="2:9" ht="15" customHeight="1">
      <c r="B86" s="87" t="str">
        <f t="shared" si="34"/>
        <v>Northwest Natural Gas Company</v>
      </c>
      <c r="C86" s="90" t="str">
        <f t="shared" si="34"/>
        <v>NWN</v>
      </c>
      <c r="D86" s="91">
        <f t="shared" si="34"/>
        <v>4.9836666666666661E-2</v>
      </c>
      <c r="E86" s="98">
        <f>'AEB-6 LT Beta'!P10</f>
        <v>0.72692307692307689</v>
      </c>
      <c r="F86" s="93">
        <f>'AEB-7 MktRet'!$C$7</f>
        <v>0.1335883843796663</v>
      </c>
      <c r="G86" s="296">
        <f t="shared" si="38"/>
        <v>8.3751717712999635E-2</v>
      </c>
      <c r="H86" s="307">
        <f t="shared" si="39"/>
        <v>0.11071772300419332</v>
      </c>
      <c r="I86" s="307">
        <f t="shared" si="40"/>
        <v>0.11643538834806155</v>
      </c>
    </row>
    <row r="87" spans="2:9" ht="15" customHeight="1">
      <c r="B87" s="87" t="str">
        <f t="shared" si="34"/>
        <v>ONE Gas, Inc.</v>
      </c>
      <c r="C87" s="90" t="str">
        <f t="shared" si="34"/>
        <v>OGS</v>
      </c>
      <c r="D87" s="91">
        <f t="shared" si="34"/>
        <v>4.9836666666666661E-2</v>
      </c>
      <c r="E87" s="98">
        <f>'AEB-6 LT Beta'!P11</f>
        <v>0.74999999999999989</v>
      </c>
      <c r="F87" s="93">
        <f>'AEB-7 MktRet'!$C$7</f>
        <v>0.1335883843796663</v>
      </c>
      <c r="G87" s="296">
        <f t="shared" ref="G87" si="41">F87-D87</f>
        <v>8.3751717712999635E-2</v>
      </c>
      <c r="H87" s="307">
        <f t="shared" ref="H87" si="42">IFERROR(G87*E87+D87, "")</f>
        <v>0.11265045495141637</v>
      </c>
      <c r="I87" s="307">
        <f t="shared" ref="I87" si="43">IFERROR((0.25*G87)+(0.75*E87*G87)+D87, "")</f>
        <v>0.11788493730847885</v>
      </c>
    </row>
    <row r="88" spans="2:9" ht="15" customHeight="1">
      <c r="B88" s="308" t="str">
        <f t="shared" si="34"/>
        <v>Southwest Gas Corporation</v>
      </c>
      <c r="C88" s="309" t="str">
        <f t="shared" si="34"/>
        <v>SWX</v>
      </c>
      <c r="D88" s="310">
        <f t="shared" si="34"/>
        <v>4.9836666666666661E-2</v>
      </c>
      <c r="E88" s="311">
        <f>'AEB-6 LT Beta'!P12</f>
        <v>0.83076923076923082</v>
      </c>
      <c r="F88" s="310">
        <f>'AEB-7 MktRet'!$C$7</f>
        <v>0.1335883843796663</v>
      </c>
      <c r="G88" s="312">
        <f t="shared" si="38"/>
        <v>8.3751717712999635E-2</v>
      </c>
      <c r="H88" s="313">
        <f t="shared" si="39"/>
        <v>0.11941501676669714</v>
      </c>
      <c r="I88" s="313">
        <f t="shared" si="40"/>
        <v>0.12295835866993943</v>
      </c>
    </row>
    <row r="89" spans="2:9" ht="15" customHeight="1" thickBot="1">
      <c r="B89" s="314" t="s">
        <v>36</v>
      </c>
      <c r="C89" s="315"/>
      <c r="D89" s="315"/>
      <c r="E89" s="316"/>
      <c r="F89" s="317"/>
      <c r="G89" s="317"/>
      <c r="H89" s="317">
        <f>MEDIAN(H83:H88)</f>
        <v>0.11313363793822215</v>
      </c>
      <c r="I89" s="317">
        <f>MEDIAN(I83:I88)</f>
        <v>0.11824732454858319</v>
      </c>
    </row>
    <row r="90" spans="2:9" ht="15" customHeight="1">
      <c r="G90" s="320"/>
      <c r="H90" s="320"/>
      <c r="I90" s="320"/>
    </row>
    <row r="91" spans="2:9" ht="15" customHeight="1">
      <c r="B91" s="308" t="s">
        <v>839</v>
      </c>
    </row>
    <row r="92" spans="2:9" ht="15" customHeight="1">
      <c r="B92" s="318" t="str">
        <f>B18</f>
        <v>[1] Bloomberg Professional 30-day average as of June 30 2026</v>
      </c>
    </row>
    <row r="93" spans="2:9" ht="15" customHeight="1">
      <c r="B93" s="94" t="s">
        <v>1464</v>
      </c>
    </row>
    <row r="94" spans="2:9" ht="15" customHeight="1">
      <c r="B94" s="94" t="str">
        <f>$B$20</f>
        <v>[3] Exhibit AEB 1.1, Schedule 7</v>
      </c>
    </row>
    <row r="95" spans="2:9" ht="15" customHeight="1">
      <c r="B95" s="94" t="s">
        <v>862</v>
      </c>
    </row>
    <row r="96" spans="2:9" ht="15" customHeight="1">
      <c r="B96" s="318" t="s">
        <v>863</v>
      </c>
    </row>
    <row r="97" spans="2:9" ht="15" customHeight="1">
      <c r="B97" s="318" t="s">
        <v>864</v>
      </c>
    </row>
    <row r="100" spans="2:9" ht="15" customHeight="1">
      <c r="B100" s="361" t="s">
        <v>1121</v>
      </c>
      <c r="C100" s="361"/>
      <c r="D100" s="361"/>
      <c r="E100" s="361"/>
      <c r="F100" s="361"/>
      <c r="G100" s="361"/>
      <c r="H100" s="361"/>
      <c r="I100" s="361"/>
    </row>
    <row r="101" spans="2:9" ht="15" customHeight="1">
      <c r="B101" s="361" t="s">
        <v>1125</v>
      </c>
      <c r="C101" s="361"/>
      <c r="D101" s="361"/>
      <c r="E101" s="361"/>
      <c r="F101" s="361"/>
      <c r="G101" s="361"/>
      <c r="H101" s="361"/>
      <c r="I101" s="361"/>
    </row>
    <row r="102" spans="2:9" ht="15" customHeight="1">
      <c r="B102" s="95"/>
      <c r="C102" s="95"/>
      <c r="D102" s="95"/>
      <c r="E102" s="95"/>
      <c r="F102" s="95"/>
      <c r="G102" s="95"/>
      <c r="H102" s="95"/>
      <c r="I102" s="95"/>
    </row>
    <row r="103" spans="2:9" ht="15" customHeight="1">
      <c r="B103" s="303"/>
      <c r="C103" s="303"/>
      <c r="D103" s="303"/>
      <c r="E103" s="303"/>
      <c r="F103" s="303"/>
      <c r="G103" s="303"/>
      <c r="H103" s="303"/>
      <c r="I103" s="303"/>
    </row>
    <row r="104" spans="2:9" ht="15" customHeight="1" thickBot="1">
      <c r="B104" s="85"/>
      <c r="C104" s="85"/>
      <c r="D104" s="86" t="s">
        <v>859</v>
      </c>
      <c r="E104" s="86" t="s">
        <v>860</v>
      </c>
      <c r="F104" s="86" t="s">
        <v>861</v>
      </c>
      <c r="G104" s="86" t="s">
        <v>38</v>
      </c>
      <c r="H104" s="86" t="s">
        <v>39</v>
      </c>
      <c r="I104" s="86" t="s">
        <v>40</v>
      </c>
    </row>
    <row r="105" spans="2:9" ht="60" customHeight="1">
      <c r="B105" s="96" t="s">
        <v>0</v>
      </c>
      <c r="C105" s="319" t="s">
        <v>37</v>
      </c>
      <c r="D105" s="304" t="str">
        <f>D31</f>
        <v>Near-term projected 30-year U.S. Treasury bond yield (Q4 2026 - Q4 2027)</v>
      </c>
      <c r="E105" s="304" t="s">
        <v>1329</v>
      </c>
      <c r="F105" s="304" t="s">
        <v>1330</v>
      </c>
      <c r="G105" s="304" t="s">
        <v>1328</v>
      </c>
      <c r="H105" s="305" t="s">
        <v>1331</v>
      </c>
      <c r="I105" s="305" t="s">
        <v>1332</v>
      </c>
    </row>
    <row r="106" spans="2:9" ht="15" customHeight="1">
      <c r="B106" s="97"/>
      <c r="C106" s="97"/>
      <c r="D106" s="85"/>
      <c r="E106" s="85"/>
      <c r="F106" s="85"/>
      <c r="G106" s="86"/>
      <c r="H106" s="86"/>
      <c r="I106" s="86"/>
    </row>
    <row r="107" spans="2:9" ht="15" customHeight="1">
      <c r="B107" s="87" t="str">
        <f t="shared" ref="B107:C112" si="44">B9</f>
        <v>Atmos Energy Corporation</v>
      </c>
      <c r="C107" s="90" t="str">
        <f t="shared" si="44"/>
        <v>ATO</v>
      </c>
      <c r="D107" s="93">
        <f t="shared" ref="D107:D112" si="45">D33</f>
        <v>4.8599999999999997E-2</v>
      </c>
      <c r="E107" s="98">
        <f t="shared" ref="E107:E112" si="46">E83</f>
        <v>0.76153846153846161</v>
      </c>
      <c r="F107" s="93">
        <f>'AEB-7 MktRet'!$C$7</f>
        <v>0.1335883843796663</v>
      </c>
      <c r="G107" s="296">
        <f>F107-D107</f>
        <v>8.4988384379666299E-2</v>
      </c>
      <c r="H107" s="307">
        <f>IFERROR(G107*E107+D107, "")</f>
        <v>0.1133219234891305</v>
      </c>
      <c r="I107" s="307">
        <f>IFERROR((0.25*G107)+(0.75*E107*G107)+D107, "")</f>
        <v>0.11838853871176444</v>
      </c>
    </row>
    <row r="108" spans="2:9" ht="15" customHeight="1">
      <c r="B108" s="87" t="str">
        <f t="shared" si="44"/>
        <v>Chesapeake Utilities Corporation</v>
      </c>
      <c r="C108" s="90" t="str">
        <f t="shared" si="44"/>
        <v>CPK</v>
      </c>
      <c r="D108" s="93">
        <f t="shared" si="45"/>
        <v>4.8599999999999997E-2</v>
      </c>
      <c r="E108" s="98">
        <f t="shared" si="46"/>
        <v>0.72307692307692295</v>
      </c>
      <c r="F108" s="93">
        <f>'AEB-7 MktRet'!$C$7</f>
        <v>0.1335883843796663</v>
      </c>
      <c r="G108" s="296">
        <f t="shared" ref="G108:G112" si="47">F108-D108</f>
        <v>8.4988384379666299E-2</v>
      </c>
      <c r="H108" s="307">
        <f t="shared" ref="H108:H112" si="48">IFERROR(G108*E108+D108, "")</f>
        <v>0.11005313947452793</v>
      </c>
      <c r="I108" s="307">
        <f t="shared" ref="I108:I112" si="49">IFERROR((0.25*G108)+(0.75*E108*G108)+D108, "")</f>
        <v>0.11593695070081253</v>
      </c>
    </row>
    <row r="109" spans="2:9" ht="15" customHeight="1">
      <c r="B109" s="87" t="str">
        <f t="shared" si="44"/>
        <v>NiSource Inc.</v>
      </c>
      <c r="C109" s="90" t="str">
        <f t="shared" si="44"/>
        <v>NI</v>
      </c>
      <c r="D109" s="93">
        <f t="shared" si="45"/>
        <v>4.8599999999999997E-2</v>
      </c>
      <c r="E109" s="98">
        <f t="shared" si="46"/>
        <v>0.78181818181818175</v>
      </c>
      <c r="F109" s="93">
        <f>'AEB-7 MktRet'!$C$7</f>
        <v>0.1335883843796663</v>
      </c>
      <c r="G109" s="296">
        <f t="shared" si="47"/>
        <v>8.4988384379666299E-2</v>
      </c>
      <c r="H109" s="307">
        <f t="shared" si="48"/>
        <v>0.11504546415137545</v>
      </c>
      <c r="I109" s="307">
        <f t="shared" si="49"/>
        <v>0.11968119420844817</v>
      </c>
    </row>
    <row r="110" spans="2:9" ht="15" customHeight="1">
      <c r="B110" s="87" t="str">
        <f t="shared" si="44"/>
        <v>Northwest Natural Gas Company</v>
      </c>
      <c r="C110" s="90" t="str">
        <f t="shared" si="44"/>
        <v>NWN</v>
      </c>
      <c r="D110" s="93">
        <f t="shared" si="45"/>
        <v>4.8599999999999997E-2</v>
      </c>
      <c r="E110" s="98">
        <f t="shared" si="46"/>
        <v>0.72692307692307689</v>
      </c>
      <c r="F110" s="93">
        <f>'AEB-7 MktRet'!$C$7</f>
        <v>0.1335883843796663</v>
      </c>
      <c r="G110" s="296">
        <f t="shared" si="47"/>
        <v>8.4988384379666299E-2</v>
      </c>
      <c r="H110" s="307">
        <f t="shared" si="48"/>
        <v>0.1103800178759882</v>
      </c>
      <c r="I110" s="307">
        <f t="shared" si="49"/>
        <v>0.11618210950190772</v>
      </c>
    </row>
    <row r="111" spans="2:9" ht="15" customHeight="1">
      <c r="B111" s="87" t="str">
        <f t="shared" si="44"/>
        <v>ONE Gas, Inc.</v>
      </c>
      <c r="C111" s="90" t="str">
        <f t="shared" si="44"/>
        <v>OGS</v>
      </c>
      <c r="D111" s="93">
        <f t="shared" si="45"/>
        <v>4.8599999999999997E-2</v>
      </c>
      <c r="E111" s="98">
        <f t="shared" si="46"/>
        <v>0.74999999999999989</v>
      </c>
      <c r="F111" s="93">
        <f>'AEB-7 MktRet'!$C$7</f>
        <v>0.1335883843796663</v>
      </c>
      <c r="G111" s="296">
        <f t="shared" ref="G111" si="50">F111-D111</f>
        <v>8.4988384379666299E-2</v>
      </c>
      <c r="H111" s="307">
        <f t="shared" ref="H111" si="51">IFERROR(G111*E111+D111, "")</f>
        <v>0.11234128828474971</v>
      </c>
      <c r="I111" s="307">
        <f t="shared" ref="I111" si="52">IFERROR((0.25*G111)+(0.75*E111*G111)+D111, "")</f>
        <v>0.11765306230847886</v>
      </c>
    </row>
    <row r="112" spans="2:9" ht="15" customHeight="1">
      <c r="B112" s="308" t="str">
        <f t="shared" si="44"/>
        <v>Southwest Gas Corporation</v>
      </c>
      <c r="C112" s="309" t="str">
        <f t="shared" si="44"/>
        <v>SWX</v>
      </c>
      <c r="D112" s="310">
        <f t="shared" si="45"/>
        <v>4.8599999999999997E-2</v>
      </c>
      <c r="E112" s="311">
        <f t="shared" si="46"/>
        <v>0.83076923076923082</v>
      </c>
      <c r="F112" s="310">
        <f>'AEB-7 MktRet'!$C$7</f>
        <v>0.1335883843796663</v>
      </c>
      <c r="G112" s="312">
        <f t="shared" si="47"/>
        <v>8.4988384379666299E-2</v>
      </c>
      <c r="H112" s="313">
        <f t="shared" si="48"/>
        <v>0.11920573471541507</v>
      </c>
      <c r="I112" s="313">
        <f t="shared" si="49"/>
        <v>0.12280139713147789</v>
      </c>
    </row>
    <row r="113" spans="2:9" ht="15" customHeight="1" thickBot="1">
      <c r="B113" s="314" t="s">
        <v>36</v>
      </c>
      <c r="C113" s="315"/>
      <c r="D113" s="315"/>
      <c r="E113" s="316"/>
      <c r="F113" s="317"/>
      <c r="G113" s="317"/>
      <c r="H113" s="317">
        <f>MEDIAN(H107:H112)</f>
        <v>0.11283160588694011</v>
      </c>
      <c r="I113" s="317">
        <f>MEDIAN(I107:I112)</f>
        <v>0.11802080051012165</v>
      </c>
    </row>
    <row r="114" spans="2:9" ht="15" customHeight="1">
      <c r="G114" s="320"/>
      <c r="H114" s="320"/>
      <c r="I114" s="320"/>
    </row>
    <row r="115" spans="2:9" ht="15" customHeight="1">
      <c r="B115" s="308" t="s">
        <v>839</v>
      </c>
    </row>
    <row r="116" spans="2:9" ht="15" customHeight="1">
      <c r="B116" s="94" t="str">
        <f>B42</f>
        <v>[1] Blue Chip Financial Forecasts, Vol. 45, No. 7, July 1, 2026, at 9</v>
      </c>
    </row>
    <row r="117" spans="2:9" ht="15" customHeight="1">
      <c r="B117" s="94" t="str">
        <f>$B$93</f>
        <v>[2] Exhibit AEB 1.1, Schedule 6</v>
      </c>
    </row>
    <row r="118" spans="2:9" ht="15" customHeight="1">
      <c r="B118" s="94" t="str">
        <f>$B$20</f>
        <v>[3] Exhibit AEB 1.1, Schedule 7</v>
      </c>
    </row>
    <row r="119" spans="2:9" ht="15" customHeight="1">
      <c r="B119" s="94" t="s">
        <v>862</v>
      </c>
    </row>
    <row r="120" spans="2:9" ht="15" customHeight="1">
      <c r="B120" s="318" t="s">
        <v>863</v>
      </c>
    </row>
    <row r="121" spans="2:9" ht="15" customHeight="1">
      <c r="B121" s="318" t="s">
        <v>864</v>
      </c>
    </row>
    <row r="124" spans="2:9" ht="15" customHeight="1">
      <c r="B124" s="361" t="s">
        <v>1121</v>
      </c>
      <c r="C124" s="361"/>
      <c r="D124" s="361"/>
      <c r="E124" s="361"/>
      <c r="F124" s="361"/>
      <c r="G124" s="361"/>
      <c r="H124" s="361"/>
      <c r="I124" s="361"/>
    </row>
    <row r="125" spans="2:9" ht="15" customHeight="1">
      <c r="B125" s="361" t="s">
        <v>1126</v>
      </c>
      <c r="C125" s="361"/>
      <c r="D125" s="361"/>
      <c r="E125" s="361"/>
      <c r="F125" s="361"/>
      <c r="G125" s="361"/>
      <c r="H125" s="361"/>
      <c r="I125" s="361"/>
    </row>
    <row r="126" spans="2:9" ht="15" customHeight="1">
      <c r="B126" s="95"/>
      <c r="C126" s="95"/>
      <c r="D126" s="95"/>
      <c r="E126" s="95"/>
      <c r="F126" s="95"/>
      <c r="G126" s="95"/>
      <c r="H126" s="95"/>
      <c r="I126" s="95"/>
    </row>
    <row r="127" spans="2:9" ht="15" customHeight="1">
      <c r="B127" s="303"/>
      <c r="C127" s="303"/>
      <c r="D127" s="303"/>
      <c r="E127" s="303"/>
      <c r="F127" s="303"/>
      <c r="G127" s="303"/>
      <c r="H127" s="303"/>
      <c r="I127" s="303"/>
    </row>
    <row r="128" spans="2:9" ht="15" customHeight="1" thickBot="1">
      <c r="B128" s="85"/>
      <c r="C128" s="85"/>
      <c r="D128" s="86" t="s">
        <v>859</v>
      </c>
      <c r="E128" s="86" t="s">
        <v>860</v>
      </c>
      <c r="F128" s="86" t="s">
        <v>861</v>
      </c>
      <c r="G128" s="86" t="s">
        <v>38</v>
      </c>
      <c r="H128" s="86" t="s">
        <v>39</v>
      </c>
      <c r="I128" s="86" t="s">
        <v>40</v>
      </c>
    </row>
    <row r="129" spans="2:9" ht="60" customHeight="1">
      <c r="B129" s="96" t="s">
        <v>0</v>
      </c>
      <c r="C129" s="319" t="s">
        <v>37</v>
      </c>
      <c r="D129" s="321" t="str">
        <f>D55</f>
        <v>Longer-Term Projected 30-year U.S. Treasury bond yield (2028 - 2032)</v>
      </c>
      <c r="E129" s="304" t="s">
        <v>1329</v>
      </c>
      <c r="F129" s="304" t="s">
        <v>1330</v>
      </c>
      <c r="G129" s="304" t="s">
        <v>1328</v>
      </c>
      <c r="H129" s="305" t="s">
        <v>1331</v>
      </c>
      <c r="I129" s="305" t="s">
        <v>1332</v>
      </c>
    </row>
    <row r="130" spans="2:9" ht="15" customHeight="1">
      <c r="B130" s="97"/>
      <c r="C130" s="97"/>
      <c r="D130" s="85"/>
      <c r="E130" s="85"/>
      <c r="F130" s="85"/>
      <c r="G130" s="86"/>
      <c r="H130" s="86"/>
      <c r="I130" s="86"/>
    </row>
    <row r="131" spans="2:9" ht="15" customHeight="1">
      <c r="B131" s="87" t="str">
        <f t="shared" ref="B131:C135" si="53">B9</f>
        <v>Atmos Energy Corporation</v>
      </c>
      <c r="C131" s="90" t="str">
        <f t="shared" si="53"/>
        <v>ATO</v>
      </c>
      <c r="D131" s="91">
        <f t="shared" ref="D131:D136" si="54">D57</f>
        <v>4.7E-2</v>
      </c>
      <c r="E131" s="98">
        <f t="shared" ref="E131:E136" si="55">E107</f>
        <v>0.76153846153846161</v>
      </c>
      <c r="F131" s="93">
        <f>'AEB-7 MktRet'!$C$7</f>
        <v>0.1335883843796663</v>
      </c>
      <c r="G131" s="296">
        <f>F131-D131</f>
        <v>8.6588384379666303E-2</v>
      </c>
      <c r="H131" s="307">
        <f>IFERROR(G131*E131+D131, "")</f>
        <v>0.11294038502759203</v>
      </c>
      <c r="I131" s="307">
        <f>IFERROR((0.25*G131)+(0.75*E131*G131)+D131, "")</f>
        <v>0.1181023848656106</v>
      </c>
    </row>
    <row r="132" spans="2:9" ht="15" customHeight="1">
      <c r="B132" s="87" t="str">
        <f t="shared" si="53"/>
        <v>Chesapeake Utilities Corporation</v>
      </c>
      <c r="C132" s="90" t="str">
        <f t="shared" si="53"/>
        <v>CPK</v>
      </c>
      <c r="D132" s="91">
        <f t="shared" si="54"/>
        <v>4.7E-2</v>
      </c>
      <c r="E132" s="98">
        <f t="shared" si="55"/>
        <v>0.72307692307692295</v>
      </c>
      <c r="F132" s="93">
        <f>'AEB-7 MktRet'!$C$7</f>
        <v>0.1335883843796663</v>
      </c>
      <c r="G132" s="296">
        <f t="shared" ref="G132:G136" si="56">F132-D132</f>
        <v>8.6588384379666303E-2</v>
      </c>
      <c r="H132" s="307">
        <f t="shared" ref="H132:H136" si="57">IFERROR(G132*E132+D132, "")</f>
        <v>0.109610062551451</v>
      </c>
      <c r="I132" s="307">
        <f t="shared" ref="I132:I136" si="58">IFERROR((0.25*G132)+(0.75*E132*G132)+D132, "")</f>
        <v>0.11560464300850483</v>
      </c>
    </row>
    <row r="133" spans="2:9" ht="15" customHeight="1">
      <c r="B133" s="87" t="str">
        <f t="shared" si="53"/>
        <v>NiSource Inc.</v>
      </c>
      <c r="C133" s="90" t="str">
        <f t="shared" si="53"/>
        <v>NI</v>
      </c>
      <c r="D133" s="91">
        <f t="shared" si="54"/>
        <v>4.7E-2</v>
      </c>
      <c r="E133" s="98">
        <f t="shared" si="55"/>
        <v>0.78181818181818175</v>
      </c>
      <c r="F133" s="93">
        <f>'AEB-7 MktRet'!$C$7</f>
        <v>0.1335883843796663</v>
      </c>
      <c r="G133" s="296">
        <f t="shared" si="56"/>
        <v>8.6588384379666303E-2</v>
      </c>
      <c r="H133" s="307">
        <f t="shared" si="57"/>
        <v>0.11469637324228456</v>
      </c>
      <c r="I133" s="307">
        <f t="shared" si="58"/>
        <v>0.11941937602663</v>
      </c>
    </row>
    <row r="134" spans="2:9" ht="15" customHeight="1">
      <c r="B134" s="87" t="str">
        <f t="shared" si="53"/>
        <v>Northwest Natural Gas Company</v>
      </c>
      <c r="C134" s="90" t="str">
        <f t="shared" si="53"/>
        <v>NWN</v>
      </c>
      <c r="D134" s="91">
        <f t="shared" si="54"/>
        <v>4.7E-2</v>
      </c>
      <c r="E134" s="98">
        <f t="shared" si="55"/>
        <v>0.72692307692307689</v>
      </c>
      <c r="F134" s="93">
        <f>'AEB-7 MktRet'!$C$7</f>
        <v>0.1335883843796663</v>
      </c>
      <c r="G134" s="296">
        <f t="shared" si="56"/>
        <v>8.6588384379666303E-2</v>
      </c>
      <c r="H134" s="307">
        <f t="shared" si="57"/>
        <v>0.10994309479906511</v>
      </c>
      <c r="I134" s="307">
        <f t="shared" si="58"/>
        <v>0.11585441719421541</v>
      </c>
    </row>
    <row r="135" spans="2:9" ht="15" customHeight="1">
      <c r="B135" s="87" t="str">
        <f t="shared" si="53"/>
        <v>ONE Gas, Inc.</v>
      </c>
      <c r="C135" s="90" t="str">
        <f t="shared" si="53"/>
        <v>OGS</v>
      </c>
      <c r="D135" s="91">
        <f t="shared" si="54"/>
        <v>4.7E-2</v>
      </c>
      <c r="E135" s="98">
        <f t="shared" si="55"/>
        <v>0.74999999999999989</v>
      </c>
      <c r="F135" s="93">
        <f>'AEB-7 MktRet'!$C$7</f>
        <v>0.1335883843796663</v>
      </c>
      <c r="G135" s="296">
        <f t="shared" ref="G135" si="59">F135-D135</f>
        <v>8.6588384379666303E-2</v>
      </c>
      <c r="H135" s="307">
        <f t="shared" ref="H135" si="60">IFERROR(G135*E135+D135, "")</f>
        <v>0.11194128828474972</v>
      </c>
      <c r="I135" s="307">
        <f t="shared" ref="I135" si="61">IFERROR((0.25*G135)+(0.75*E135*G135)+D135, "")</f>
        <v>0.11735306230847886</v>
      </c>
    </row>
    <row r="136" spans="2:9" ht="15" customHeight="1">
      <c r="B136" s="308" t="str">
        <f t="shared" ref="B136:C136" si="62">B14</f>
        <v>Southwest Gas Corporation</v>
      </c>
      <c r="C136" s="309" t="str">
        <f t="shared" si="62"/>
        <v>SWX</v>
      </c>
      <c r="D136" s="310">
        <f t="shared" si="54"/>
        <v>4.7E-2</v>
      </c>
      <c r="E136" s="311">
        <f t="shared" si="55"/>
        <v>0.83076923076923082</v>
      </c>
      <c r="F136" s="310">
        <f>'AEB-7 MktRet'!$C$7</f>
        <v>0.1335883843796663</v>
      </c>
      <c r="G136" s="312">
        <f t="shared" si="56"/>
        <v>8.6588384379666303E-2</v>
      </c>
      <c r="H136" s="313">
        <f t="shared" si="57"/>
        <v>0.11893496548464585</v>
      </c>
      <c r="I136" s="313">
        <f t="shared" si="58"/>
        <v>0.12259832020840096</v>
      </c>
    </row>
    <row r="137" spans="2:9" ht="15" customHeight="1" thickBot="1">
      <c r="B137" s="314" t="s">
        <v>36</v>
      </c>
      <c r="C137" s="315"/>
      <c r="D137" s="315"/>
      <c r="E137" s="316"/>
      <c r="F137" s="317"/>
      <c r="G137" s="317"/>
      <c r="H137" s="317">
        <f>MEDIAN(H131:H136)</f>
        <v>0.11244083665617088</v>
      </c>
      <c r="I137" s="317">
        <f>MEDIAN(I131:I136)</f>
        <v>0.11772772358704472</v>
      </c>
    </row>
    <row r="138" spans="2:9" ht="15" customHeight="1">
      <c r="G138" s="320"/>
      <c r="H138" s="320"/>
      <c r="I138" s="320"/>
    </row>
    <row r="139" spans="2:9" ht="15" customHeight="1">
      <c r="B139" s="308" t="s">
        <v>839</v>
      </c>
      <c r="G139" s="320"/>
      <c r="H139" s="320"/>
      <c r="I139" s="320"/>
    </row>
    <row r="140" spans="2:9" ht="15" customHeight="1">
      <c r="B140" s="318" t="str">
        <f>B66</f>
        <v>[1] Blue Chip Financial Forecasts, Vol. 45, No. 6, June 1, 2026, at 14</v>
      </c>
      <c r="G140" s="320"/>
      <c r="H140" s="320"/>
      <c r="I140" s="320"/>
    </row>
    <row r="141" spans="2:9" ht="15" customHeight="1">
      <c r="B141" s="94" t="str">
        <f>$B$93</f>
        <v>[2] Exhibit AEB 1.1, Schedule 6</v>
      </c>
      <c r="G141" s="320"/>
      <c r="H141" s="320"/>
      <c r="I141" s="320"/>
    </row>
    <row r="142" spans="2:9" ht="15" customHeight="1">
      <c r="B142" s="94" t="str">
        <f>$B$20</f>
        <v>[3] Exhibit AEB 1.1, Schedule 7</v>
      </c>
      <c r="G142" s="320"/>
      <c r="H142" s="320"/>
      <c r="I142" s="320"/>
    </row>
    <row r="143" spans="2:9" ht="15" customHeight="1">
      <c r="B143" s="94" t="s">
        <v>862</v>
      </c>
      <c r="G143" s="320"/>
      <c r="H143" s="320"/>
      <c r="I143" s="320"/>
    </row>
    <row r="144" spans="2:9" ht="15" customHeight="1">
      <c r="B144" s="318" t="s">
        <v>863</v>
      </c>
      <c r="G144" s="320"/>
      <c r="H144" s="320"/>
      <c r="I144" s="320"/>
    </row>
    <row r="145" spans="2:9" ht="15" customHeight="1">
      <c r="B145" s="318" t="s">
        <v>864</v>
      </c>
      <c r="G145" s="320"/>
      <c r="H145" s="320"/>
      <c r="I145" s="320"/>
    </row>
  </sheetData>
  <mergeCells count="12">
    <mergeCell ref="B125:I125"/>
    <mergeCell ref="B51:I51"/>
    <mergeCell ref="B76:I76"/>
    <mergeCell ref="B100:I100"/>
    <mergeCell ref="B124:I124"/>
    <mergeCell ref="B77:I77"/>
    <mergeCell ref="B101:I101"/>
    <mergeCell ref="B2:I2"/>
    <mergeCell ref="B26:I26"/>
    <mergeCell ref="B50:I50"/>
    <mergeCell ref="B3:I3"/>
    <mergeCell ref="B27:I27"/>
  </mergeCells>
  <conditionalFormatting sqref="D9">
    <cfRule type="expression" dxfId="13" priority="1">
      <formula>$D9="Yes"</formula>
    </cfRule>
  </conditionalFormatting>
  <conditionalFormatting sqref="D33:E38">
    <cfRule type="expression" dxfId="12" priority="57">
      <formula>$E9="Yes"</formula>
    </cfRule>
  </conditionalFormatting>
  <conditionalFormatting sqref="D57:E62">
    <cfRule type="expression" dxfId="11" priority="72">
      <formula>$E9="Yes"</formula>
    </cfRule>
  </conditionalFormatting>
  <conditionalFormatting sqref="D83:E88">
    <cfRule type="expression" dxfId="10" priority="52">
      <formula>$E9="Yes"</formula>
    </cfRule>
  </conditionalFormatting>
  <conditionalFormatting sqref="D107:E112">
    <cfRule type="expression" dxfId="9" priority="73">
      <formula>$E9="Yes"</formula>
    </cfRule>
  </conditionalFormatting>
  <conditionalFormatting sqref="D131:E136">
    <cfRule type="expression" dxfId="8" priority="74">
      <formula>$E9="Yes"</formula>
    </cfRule>
  </conditionalFormatting>
  <conditionalFormatting sqref="E9:F9 D10:F14 E15:I15 F33:F38 E39:I39 F57:F62 E63:I63 F83:F88 E89:I89 F107:F112 E113:I113 F131:F136 E137:I137">
    <cfRule type="expression" dxfId="7" priority="64">
      <formula>$E9="Yes"</formula>
    </cfRule>
  </conditionalFormatting>
  <printOptions horizontalCentered="1"/>
  <pageMargins left="0.7" right="0.7" top="1.25" bottom="0.75" header="0.3" footer="0.3"/>
  <pageSetup scale="60" orientation="portrait" useFirstPageNumber="1" horizontalDpi="1200" verticalDpi="1200" r:id="rId1"/>
  <headerFooter scaleWithDoc="0">
    <oddHeader>&amp;C&amp;"Times New Roman,Regular"&amp;9MIDAMERICAN ENERGY COMPANY
2026 SOUTH DAKOTA GAS RATE CASE
Docket No. NG26-____
FOR THE YEAR ENDING DECEMBER 31, 2025
Individual Responsible: Ann Bulkley&amp;R&amp;"Times New Roman,Regular"&amp;9Exhibit AEB 1.1
&amp;A
Page &amp;P of &amp;N</oddHeader>
  </headerFooter>
  <rowBreaks count="2" manualBreakCount="2">
    <brk id="48" max="16383" man="1"/>
    <brk id="9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autoPageBreaks="0" fitToPage="1"/>
  </sheetPr>
  <dimension ref="A2:P29"/>
  <sheetViews>
    <sheetView showGridLines="0" view="pageLayout" zoomScale="70" zoomScaleNormal="86" zoomScaleSheetLayoutView="75" zoomScalePageLayoutView="70" workbookViewId="0">
      <selection activeCell="G15" sqref="G15"/>
    </sheetView>
  </sheetViews>
  <sheetFormatPr defaultColWidth="14.140625" defaultRowHeight="15" customHeight="1"/>
  <cols>
    <col min="1" max="1" width="25.5703125" style="94" customWidth="1"/>
    <col min="2" max="2" width="6.28515625" style="94" bestFit="1" customWidth="1"/>
    <col min="3" max="16" width="10.5703125" style="94" customWidth="1"/>
    <col min="17" max="16384" width="14.140625" style="94"/>
  </cols>
  <sheetData>
    <row r="2" spans="1:16" ht="15" customHeight="1">
      <c r="A2" s="359" t="s">
        <v>1127</v>
      </c>
      <c r="B2" s="359"/>
      <c r="C2" s="359"/>
      <c r="D2" s="359"/>
      <c r="E2" s="359"/>
      <c r="F2" s="359"/>
      <c r="G2" s="359"/>
      <c r="H2" s="359"/>
      <c r="I2" s="359"/>
      <c r="J2" s="359"/>
      <c r="K2" s="359"/>
      <c r="L2" s="359"/>
      <c r="M2" s="359"/>
      <c r="N2" s="359"/>
      <c r="O2" s="359"/>
      <c r="P2" s="359"/>
    </row>
    <row r="4" spans="1:16" ht="15" customHeight="1" thickBot="1">
      <c r="C4" s="99" t="s">
        <v>859</v>
      </c>
      <c r="D4" s="99" t="s">
        <v>860</v>
      </c>
      <c r="E4" s="99" t="s">
        <v>861</v>
      </c>
      <c r="F4" s="99" t="s">
        <v>38</v>
      </c>
      <c r="G4" s="99" t="s">
        <v>39</v>
      </c>
      <c r="H4" s="99" t="s">
        <v>40</v>
      </c>
      <c r="I4" s="99" t="s">
        <v>847</v>
      </c>
      <c r="J4" s="99" t="s">
        <v>848</v>
      </c>
      <c r="K4" s="99" t="s">
        <v>849</v>
      </c>
      <c r="L4" s="99" t="s">
        <v>850</v>
      </c>
      <c r="M4" s="99" t="s">
        <v>851</v>
      </c>
      <c r="N4" s="99" t="s">
        <v>1333</v>
      </c>
      <c r="O4" s="99" t="s">
        <v>1334</v>
      </c>
      <c r="P4" s="99" t="s">
        <v>1355</v>
      </c>
    </row>
    <row r="5" spans="1:16" ht="15" customHeight="1">
      <c r="A5" s="100" t="s">
        <v>0</v>
      </c>
      <c r="B5" s="96" t="s">
        <v>37</v>
      </c>
      <c r="C5" s="101">
        <v>41639</v>
      </c>
      <c r="D5" s="101">
        <v>42004</v>
      </c>
      <c r="E5" s="101">
        <v>42369</v>
      </c>
      <c r="F5" s="102">
        <v>42735</v>
      </c>
      <c r="G5" s="103">
        <v>43100</v>
      </c>
      <c r="H5" s="102">
        <v>43465</v>
      </c>
      <c r="I5" s="103">
        <v>43830</v>
      </c>
      <c r="J5" s="102">
        <v>44196</v>
      </c>
      <c r="K5" s="102">
        <v>44561</v>
      </c>
      <c r="L5" s="103">
        <v>44926</v>
      </c>
      <c r="M5" s="102">
        <v>45291</v>
      </c>
      <c r="N5" s="102">
        <v>45657</v>
      </c>
      <c r="O5" s="102">
        <v>46022</v>
      </c>
      <c r="P5" s="102" t="s">
        <v>865</v>
      </c>
    </row>
    <row r="6" spans="1:16" ht="15" customHeight="1">
      <c r="A6" s="97"/>
      <c r="B6" s="97"/>
      <c r="C6" s="87"/>
      <c r="D6" s="87"/>
      <c r="E6" s="87"/>
    </row>
    <row r="7" spans="1:16" ht="15" customHeight="1">
      <c r="A7" s="87" t="str">
        <f>'AEB-3 Proxy'!B6</f>
        <v>Atmos Energy Corporation</v>
      </c>
      <c r="B7" s="90" t="str">
        <f>'AEB-3 Proxy'!C6</f>
        <v>ATO</v>
      </c>
      <c r="C7" s="98">
        <v>0.8</v>
      </c>
      <c r="D7" s="98">
        <v>0.8</v>
      </c>
      <c r="E7" s="98">
        <v>0.8</v>
      </c>
      <c r="F7" s="98">
        <v>0.7</v>
      </c>
      <c r="G7" s="98">
        <v>0.7</v>
      </c>
      <c r="H7" s="98">
        <v>0.6</v>
      </c>
      <c r="I7" s="98">
        <v>0.6</v>
      </c>
      <c r="J7" s="98">
        <v>0.8</v>
      </c>
      <c r="K7" s="98">
        <v>0.8</v>
      </c>
      <c r="L7" s="98">
        <v>0.8</v>
      </c>
      <c r="M7" s="98">
        <v>0.85</v>
      </c>
      <c r="N7" s="98">
        <v>0.9</v>
      </c>
      <c r="O7" s="98">
        <v>0.75</v>
      </c>
      <c r="P7" s="104">
        <f>AVERAGE(C7:O7)</f>
        <v>0.76153846153846161</v>
      </c>
    </row>
    <row r="8" spans="1:16" ht="15" customHeight="1">
      <c r="A8" s="87" t="str">
        <f>'AEB-3 Proxy'!B7</f>
        <v>Chesapeake Utilities Corporation</v>
      </c>
      <c r="B8" s="90" t="str">
        <f>'AEB-3 Proxy'!C7</f>
        <v>CPK</v>
      </c>
      <c r="C8" s="98">
        <v>0.7</v>
      </c>
      <c r="D8" s="98">
        <v>0.65</v>
      </c>
      <c r="E8" s="98">
        <v>0.65</v>
      </c>
      <c r="F8" s="98">
        <v>0.65</v>
      </c>
      <c r="G8" s="98">
        <v>0.7</v>
      </c>
      <c r="H8" s="98">
        <v>0.65</v>
      </c>
      <c r="I8" s="98">
        <v>0.65</v>
      </c>
      <c r="J8" s="98">
        <v>0.8</v>
      </c>
      <c r="K8" s="98">
        <v>0.8</v>
      </c>
      <c r="L8" s="98">
        <v>0.8</v>
      </c>
      <c r="M8" s="98">
        <v>0.8</v>
      </c>
      <c r="N8" s="98">
        <v>0.85</v>
      </c>
      <c r="O8" s="98">
        <v>0.7</v>
      </c>
      <c r="P8" s="104">
        <f t="shared" ref="P8:P12" si="0">AVERAGE(C8:O8)</f>
        <v>0.72307692307692295</v>
      </c>
    </row>
    <row r="9" spans="1:16" ht="15" customHeight="1">
      <c r="A9" s="87" t="str">
        <f>'AEB-3 Proxy'!B8</f>
        <v>NiSource Inc.</v>
      </c>
      <c r="B9" s="90" t="str">
        <f>'AEB-3 Proxy'!C8</f>
        <v>NI</v>
      </c>
      <c r="C9" s="98">
        <v>0.85</v>
      </c>
      <c r="D9" s="98">
        <v>0.85</v>
      </c>
      <c r="E9" s="98" t="s">
        <v>866</v>
      </c>
      <c r="F9" s="98" t="s">
        <v>866</v>
      </c>
      <c r="G9" s="98">
        <v>0.6</v>
      </c>
      <c r="H9" s="98">
        <v>0.5</v>
      </c>
      <c r="I9" s="98">
        <v>0.55000000000000004</v>
      </c>
      <c r="J9" s="98">
        <v>0.85</v>
      </c>
      <c r="K9" s="98">
        <v>0.85</v>
      </c>
      <c r="L9" s="98">
        <v>0.85</v>
      </c>
      <c r="M9" s="98">
        <v>0.9</v>
      </c>
      <c r="N9" s="98">
        <v>0.95</v>
      </c>
      <c r="O9" s="98">
        <v>0.85</v>
      </c>
      <c r="P9" s="104">
        <f t="shared" si="0"/>
        <v>0.78181818181818175</v>
      </c>
    </row>
    <row r="10" spans="1:16" ht="15" customHeight="1">
      <c r="A10" s="87" t="str">
        <f>'AEB-3 Proxy'!B9</f>
        <v>Northwest Natural Gas Company</v>
      </c>
      <c r="B10" s="90" t="str">
        <f>'AEB-3 Proxy'!C9</f>
        <v>NWN</v>
      </c>
      <c r="C10" s="98">
        <v>0.65</v>
      </c>
      <c r="D10" s="98">
        <v>0.7</v>
      </c>
      <c r="E10" s="98">
        <v>0.65</v>
      </c>
      <c r="F10" s="98">
        <v>0.65</v>
      </c>
      <c r="G10" s="98">
        <v>0.7</v>
      </c>
      <c r="H10" s="98">
        <v>0.6</v>
      </c>
      <c r="I10" s="98">
        <v>0.6</v>
      </c>
      <c r="J10" s="98">
        <v>0.8</v>
      </c>
      <c r="K10" s="98">
        <v>0.85</v>
      </c>
      <c r="L10" s="98">
        <v>0.8</v>
      </c>
      <c r="M10" s="98">
        <v>0.8</v>
      </c>
      <c r="N10" s="98">
        <v>0.9</v>
      </c>
      <c r="O10" s="98">
        <v>0.75</v>
      </c>
      <c r="P10" s="104">
        <f t="shared" si="0"/>
        <v>0.72692307692307689</v>
      </c>
    </row>
    <row r="11" spans="1:16" ht="15" customHeight="1">
      <c r="A11" s="87" t="str">
        <f>'AEB-3 Proxy'!B10</f>
        <v>ONE Gas, Inc.</v>
      </c>
      <c r="B11" s="90" t="str">
        <f>'AEB-3 Proxy'!C10</f>
        <v>OGS</v>
      </c>
      <c r="C11" s="98"/>
      <c r="D11" s="98"/>
      <c r="E11" s="98"/>
      <c r="F11" s="98">
        <v>0.7</v>
      </c>
      <c r="G11" s="98">
        <v>0.7</v>
      </c>
      <c r="H11" s="98">
        <v>0.65</v>
      </c>
      <c r="I11" s="98">
        <v>0.65</v>
      </c>
      <c r="J11" s="98">
        <v>0.8</v>
      </c>
      <c r="K11" s="98">
        <v>0.8</v>
      </c>
      <c r="L11" s="98">
        <v>0.8</v>
      </c>
      <c r="M11" s="98">
        <v>0.8</v>
      </c>
      <c r="N11" s="98">
        <v>0.85</v>
      </c>
      <c r="O11" s="98">
        <v>0.75</v>
      </c>
      <c r="P11" s="104">
        <f t="shared" si="0"/>
        <v>0.74999999999999989</v>
      </c>
    </row>
    <row r="12" spans="1:16" ht="15" customHeight="1">
      <c r="A12" s="87" t="str">
        <f>'AEB-3 Proxy'!B11</f>
        <v>Southwest Gas Corporation</v>
      </c>
      <c r="B12" s="90" t="str">
        <f>'AEB-3 Proxy'!C11</f>
        <v>SWX</v>
      </c>
      <c r="C12" s="98">
        <v>0.8</v>
      </c>
      <c r="D12" s="98">
        <v>0.85</v>
      </c>
      <c r="E12" s="98">
        <v>0.8</v>
      </c>
      <c r="F12" s="98">
        <v>0.75</v>
      </c>
      <c r="G12" s="98">
        <v>0.8</v>
      </c>
      <c r="H12" s="98">
        <v>0.7</v>
      </c>
      <c r="I12" s="98">
        <v>0.7</v>
      </c>
      <c r="J12" s="98">
        <v>0.95</v>
      </c>
      <c r="K12" s="98">
        <v>0.95</v>
      </c>
      <c r="L12" s="98">
        <v>0.9</v>
      </c>
      <c r="M12" s="98">
        <v>0.9</v>
      </c>
      <c r="N12" s="98">
        <v>0.95</v>
      </c>
      <c r="O12" s="98">
        <v>0.75</v>
      </c>
      <c r="P12" s="104">
        <f t="shared" si="0"/>
        <v>0.83076923076923082</v>
      </c>
    </row>
    <row r="13" spans="1:16" ht="15" customHeight="1" thickBot="1">
      <c r="A13" s="105" t="s">
        <v>35</v>
      </c>
      <c r="B13" s="105"/>
      <c r="C13" s="106">
        <f t="shared" ref="C13:P13" si="1">AVERAGE(C7:C12)</f>
        <v>0.76</v>
      </c>
      <c r="D13" s="106">
        <f t="shared" si="1"/>
        <v>0.77</v>
      </c>
      <c r="E13" s="106">
        <f t="shared" si="1"/>
        <v>0.72500000000000009</v>
      </c>
      <c r="F13" s="106">
        <f t="shared" si="1"/>
        <v>0.69000000000000006</v>
      </c>
      <c r="G13" s="106">
        <f t="shared" si="1"/>
        <v>0.70000000000000007</v>
      </c>
      <c r="H13" s="106">
        <f t="shared" si="1"/>
        <v>0.6166666666666667</v>
      </c>
      <c r="I13" s="106">
        <f t="shared" si="1"/>
        <v>0.625</v>
      </c>
      <c r="J13" s="106">
        <f t="shared" si="1"/>
        <v>0.83333333333333337</v>
      </c>
      <c r="K13" s="106">
        <f t="shared" si="1"/>
        <v>0.84166666666666679</v>
      </c>
      <c r="L13" s="106">
        <f t="shared" si="1"/>
        <v>0.82500000000000007</v>
      </c>
      <c r="M13" s="106">
        <f t="shared" si="1"/>
        <v>0.84166666666666667</v>
      </c>
      <c r="N13" s="106">
        <f t="shared" si="1"/>
        <v>0.9</v>
      </c>
      <c r="O13" s="106">
        <f t="shared" si="1"/>
        <v>0.7583333333333333</v>
      </c>
      <c r="P13" s="106">
        <f t="shared" si="1"/>
        <v>0.76235431235431239</v>
      </c>
    </row>
    <row r="15" spans="1:16" ht="15" customHeight="1">
      <c r="A15" s="92" t="s">
        <v>839</v>
      </c>
    </row>
    <row r="16" spans="1:16" ht="15" customHeight="1">
      <c r="A16" s="87" t="s">
        <v>1055</v>
      </c>
    </row>
    <row r="17" spans="1:1" ht="15" customHeight="1">
      <c r="A17" s="87" t="s">
        <v>1056</v>
      </c>
    </row>
    <row r="18" spans="1:1" ht="15" customHeight="1">
      <c r="A18" s="87" t="s">
        <v>1057</v>
      </c>
    </row>
    <row r="19" spans="1:1" ht="15" customHeight="1">
      <c r="A19" s="87" t="s">
        <v>1077</v>
      </c>
    </row>
    <row r="20" spans="1:1" ht="15" customHeight="1">
      <c r="A20" s="85" t="s">
        <v>1078</v>
      </c>
    </row>
    <row r="21" spans="1:1" ht="15" customHeight="1">
      <c r="A21" s="85" t="s">
        <v>1079</v>
      </c>
    </row>
    <row r="22" spans="1:1" ht="15" customHeight="1">
      <c r="A22" s="158" t="s">
        <v>1080</v>
      </c>
    </row>
    <row r="23" spans="1:1" ht="15" customHeight="1">
      <c r="A23" s="85" t="s">
        <v>1081</v>
      </c>
    </row>
    <row r="24" spans="1:1" ht="15" customHeight="1">
      <c r="A24" s="85" t="s">
        <v>1082</v>
      </c>
    </row>
    <row r="25" spans="1:1" ht="15" customHeight="1">
      <c r="A25" s="85" t="s">
        <v>1136</v>
      </c>
    </row>
    <row r="26" spans="1:1" ht="15" customHeight="1">
      <c r="A26" s="94" t="s">
        <v>1137</v>
      </c>
    </row>
    <row r="27" spans="1:1" ht="15" customHeight="1">
      <c r="A27" s="94" t="s">
        <v>1138</v>
      </c>
    </row>
    <row r="28" spans="1:1" ht="15" customHeight="1">
      <c r="A28" s="94" t="s">
        <v>1357</v>
      </c>
    </row>
    <row r="29" spans="1:1" ht="15" customHeight="1">
      <c r="A29" s="94" t="s">
        <v>1356</v>
      </c>
    </row>
  </sheetData>
  <mergeCells count="1">
    <mergeCell ref="A2:P2"/>
  </mergeCells>
  <printOptions horizontalCentered="1"/>
  <pageMargins left="0.7" right="0.7" top="1.25" bottom="0.75" header="0.3" footer="0.3"/>
  <pageSetup scale="68" orientation="landscape" useFirstPageNumber="1" horizontalDpi="1200" verticalDpi="1200" r:id="rId1"/>
  <headerFooter scaleWithDoc="0">
    <oddHeader>&amp;C&amp;"Times New Roman,Regular"&amp;9MIDAMERICAN ENERGY COMPANY
2026 SOUTH DAKOTA GAS RATE CASE
Docket No. NG26-____
FOR THE YEAR ENDING DECEMBER 31, 2025
Individual Responsible: Ann Bulkley&amp;R&amp;"Times New Roman,Regular"&amp;9Exhibit AEB 1.1
&amp;A
Page &amp;P of &amp;N</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autoPageBreaks="0"/>
  </sheetPr>
  <dimension ref="B1:K530"/>
  <sheetViews>
    <sheetView showGridLines="0" view="pageLayout" zoomScale="60" zoomScaleNormal="90" zoomScaleSheetLayoutView="70" zoomScalePageLayoutView="60" workbookViewId="0">
      <selection activeCell="G15" sqref="G15"/>
    </sheetView>
  </sheetViews>
  <sheetFormatPr defaultColWidth="8.7109375" defaultRowHeight="15" customHeight="1"/>
  <cols>
    <col min="1" max="1" width="3.7109375" style="107" customWidth="1"/>
    <col min="2" max="2" width="45.5703125" style="107" customWidth="1"/>
    <col min="3" max="3" width="8.7109375" style="107"/>
    <col min="4" max="4" width="19.7109375" style="107" customWidth="1"/>
    <col min="5" max="5" width="15.28515625" style="107" customWidth="1"/>
    <col min="6" max="6" width="20.28515625" style="107" customWidth="1"/>
    <col min="7" max="11" width="13.5703125" style="107" customWidth="1"/>
    <col min="12" max="16384" width="8.7109375" style="107"/>
  </cols>
  <sheetData>
    <row r="1" spans="2:11" ht="15" customHeight="1">
      <c r="B1" s="362" t="s">
        <v>1336</v>
      </c>
      <c r="C1" s="362"/>
      <c r="D1" s="362"/>
      <c r="E1" s="362"/>
      <c r="F1" s="362"/>
      <c r="G1" s="362"/>
      <c r="H1" s="362"/>
      <c r="I1" s="362"/>
      <c r="J1" s="362"/>
      <c r="K1" s="362"/>
    </row>
    <row r="2" spans="2:11" ht="15" customHeight="1">
      <c r="B2" s="108"/>
      <c r="C2" s="108"/>
    </row>
    <row r="3" spans="2:11" ht="15" customHeight="1">
      <c r="B3" s="282" t="s">
        <v>1249</v>
      </c>
      <c r="C3" s="322">
        <f>SUM(I15:I517)</f>
        <v>1.2691741388890038E-2</v>
      </c>
      <c r="D3" s="323"/>
    </row>
    <row r="4" spans="2:11" ht="15" customHeight="1">
      <c r="B4" s="282"/>
      <c r="C4" s="108"/>
      <c r="D4" s="108"/>
    </row>
    <row r="5" spans="2:11" ht="15" customHeight="1">
      <c r="B5" s="282" t="s">
        <v>1075</v>
      </c>
      <c r="C5" s="322">
        <f>SUM(K15:K517)</f>
        <v>0.1201342863436699</v>
      </c>
      <c r="D5" s="323"/>
    </row>
    <row r="6" spans="2:11" ht="15" customHeight="1">
      <c r="B6" s="282"/>
      <c r="C6" s="108"/>
      <c r="D6" s="108"/>
    </row>
    <row r="7" spans="2:11" ht="15" customHeight="1">
      <c r="B7" s="282" t="s">
        <v>1076</v>
      </c>
      <c r="C7" s="322">
        <f>C3*(1+0.5*C5)+C5</f>
        <v>0.1335883843796663</v>
      </c>
      <c r="D7" s="323"/>
    </row>
    <row r="9" spans="2:11" ht="15" customHeight="1">
      <c r="G9" s="324"/>
      <c r="H9" s="324"/>
      <c r="I9" s="324"/>
      <c r="J9" s="324"/>
      <c r="K9" s="324"/>
    </row>
    <row r="10" spans="2:11" ht="15" customHeight="1" thickBot="1">
      <c r="B10" s="108"/>
      <c r="C10" s="108"/>
      <c r="D10" s="325" t="s">
        <v>38</v>
      </c>
      <c r="E10" s="325" t="s">
        <v>39</v>
      </c>
      <c r="F10" s="325" t="s">
        <v>40</v>
      </c>
      <c r="G10" s="325" t="s">
        <v>847</v>
      </c>
      <c r="H10" s="325" t="s">
        <v>848</v>
      </c>
      <c r="I10" s="325" t="s">
        <v>849</v>
      </c>
      <c r="J10" s="325" t="s">
        <v>850</v>
      </c>
      <c r="K10" s="325" t="s">
        <v>851</v>
      </c>
    </row>
    <row r="11" spans="2:11" ht="15" customHeight="1">
      <c r="B11" s="326"/>
      <c r="C11" s="326"/>
      <c r="D11" s="327"/>
      <c r="E11" s="327"/>
      <c r="F11" s="327"/>
      <c r="G11" s="326"/>
      <c r="H11" s="326"/>
      <c r="I11" s="326"/>
      <c r="J11" s="328"/>
      <c r="K11" s="328" t="s">
        <v>852</v>
      </c>
    </row>
    <row r="12" spans="2:11" ht="15" customHeight="1">
      <c r="B12" s="108"/>
      <c r="C12" s="108"/>
      <c r="D12" s="325" t="s">
        <v>41</v>
      </c>
      <c r="E12" s="329"/>
      <c r="F12" s="325" t="s">
        <v>42</v>
      </c>
      <c r="G12" s="324" t="s">
        <v>853</v>
      </c>
      <c r="H12" s="324" t="s">
        <v>854</v>
      </c>
      <c r="I12" s="324" t="s">
        <v>855</v>
      </c>
      <c r="J12" s="324" t="s">
        <v>856</v>
      </c>
      <c r="K12" s="324" t="s">
        <v>856</v>
      </c>
    </row>
    <row r="13" spans="2:11" ht="15" customHeight="1">
      <c r="B13" s="330" t="s">
        <v>43</v>
      </c>
      <c r="C13" s="330" t="s">
        <v>37</v>
      </c>
      <c r="D13" s="331" t="s">
        <v>44</v>
      </c>
      <c r="E13" s="331" t="s">
        <v>45</v>
      </c>
      <c r="F13" s="331" t="s">
        <v>46</v>
      </c>
      <c r="G13" s="330" t="s">
        <v>857</v>
      </c>
      <c r="H13" s="330" t="s">
        <v>1</v>
      </c>
      <c r="I13" s="330" t="s">
        <v>1</v>
      </c>
      <c r="J13" s="330" t="s">
        <v>858</v>
      </c>
      <c r="K13" s="330" t="s">
        <v>858</v>
      </c>
    </row>
    <row r="14" spans="2:11" ht="15" customHeight="1">
      <c r="B14" s="332"/>
      <c r="C14" s="332"/>
      <c r="D14" s="332"/>
      <c r="E14" s="332"/>
      <c r="F14" s="332"/>
      <c r="G14" s="332"/>
      <c r="H14" s="332"/>
      <c r="I14" s="332"/>
      <c r="J14" s="332"/>
      <c r="K14" s="332"/>
    </row>
    <row r="15" spans="2:11" ht="15" customHeight="1">
      <c r="B15" s="333" t="s">
        <v>47</v>
      </c>
      <c r="C15" s="334" t="s">
        <v>48</v>
      </c>
      <c r="D15" s="335">
        <v>282.43194</v>
      </c>
      <c r="E15" s="335">
        <v>132.83000000000001</v>
      </c>
      <c r="F15" s="335">
        <f>IFERROR(D15*E15,"")</f>
        <v>37515.434590200006</v>
      </c>
      <c r="G15" s="336">
        <f t="shared" ref="G15:G78" si="0">IF(AND(ISNUMBER($J15)), IF(AND($J15&lt;=20%,$J15&gt;0%), $F15/SUMIFS($F$15:$F$517,$J$15:$J$517, "&gt;"&amp;0%,$J$15:$J$517, "&lt;="&amp;20%),""),"")</f>
        <v>7.5874769102159958E-4</v>
      </c>
      <c r="H15" s="109">
        <v>7.6789881803809371E-3</v>
      </c>
      <c r="I15" s="110">
        <f>IFERROR(G15*H15,"")</f>
        <v>5.8264145512461907E-6</v>
      </c>
      <c r="J15" s="110">
        <v>8.4349999999999994E-2</v>
      </c>
      <c r="K15" s="110">
        <f>IFERROR(G15*J15,"")</f>
        <v>6.4000367737671921E-5</v>
      </c>
    </row>
    <row r="16" spans="2:11" ht="15" customHeight="1">
      <c r="B16" s="333" t="s">
        <v>49</v>
      </c>
      <c r="C16" s="334" t="s">
        <v>50</v>
      </c>
      <c r="D16" s="335">
        <v>14687.356</v>
      </c>
      <c r="E16" s="335">
        <v>289.36</v>
      </c>
      <c r="F16" s="335">
        <f t="shared" ref="F16:F79" si="1">IFERROR(D16*E16,"")</f>
        <v>4249933.3321599998</v>
      </c>
      <c r="G16" s="336">
        <f t="shared" si="0"/>
        <v>8.5954678067743567E-2</v>
      </c>
      <c r="H16" s="109">
        <v>3.7323748963229196E-3</v>
      </c>
      <c r="I16" s="110">
        <f t="shared" ref="I16:I79" si="2">IFERROR(G16*H16,"")</f>
        <v>3.2081508264156434E-4</v>
      </c>
      <c r="J16" s="110">
        <v>0.1215</v>
      </c>
      <c r="K16" s="110">
        <f t="shared" ref="K16:K79" si="3">IFERROR(G16*J16,"")</f>
        <v>1.0443493385230844E-2</v>
      </c>
    </row>
    <row r="17" spans="2:11" ht="15" customHeight="1">
      <c r="B17" s="333" t="s">
        <v>51</v>
      </c>
      <c r="C17" s="334" t="s">
        <v>52</v>
      </c>
      <c r="D17" s="335">
        <v>1766.7928199999999</v>
      </c>
      <c r="E17" s="335">
        <v>251.64</v>
      </c>
      <c r="F17" s="335">
        <f t="shared" si="1"/>
        <v>444595.74522479996</v>
      </c>
      <c r="G17" s="336">
        <f t="shared" si="0"/>
        <v>8.9919255584330927E-3</v>
      </c>
      <c r="H17" s="109">
        <v>2.7499602606898745E-2</v>
      </c>
      <c r="I17" s="110">
        <f t="shared" si="2"/>
        <v>2.472743795277261E-4</v>
      </c>
      <c r="J17" s="110">
        <v>0.16425000000000001</v>
      </c>
      <c r="K17" s="110">
        <f t="shared" si="3"/>
        <v>1.4769237729726355E-3</v>
      </c>
    </row>
    <row r="18" spans="2:11" ht="15" customHeight="1">
      <c r="B18" s="333" t="s">
        <v>1162</v>
      </c>
      <c r="C18" s="334" t="s">
        <v>1163</v>
      </c>
      <c r="D18" s="335">
        <v>417.93022999999999</v>
      </c>
      <c r="E18" s="335">
        <v>143.1</v>
      </c>
      <c r="F18" s="335">
        <f t="shared" si="1"/>
        <v>59805.815912999999</v>
      </c>
      <c r="G18" s="336">
        <f t="shared" si="0"/>
        <v>1.2095694806506484E-3</v>
      </c>
      <c r="H18" s="109" t="s">
        <v>4</v>
      </c>
      <c r="I18" s="110" t="str">
        <f t="shared" si="2"/>
        <v/>
      </c>
      <c r="J18" s="110">
        <v>0.15739999999999998</v>
      </c>
      <c r="K18" s="110">
        <f t="shared" si="3"/>
        <v>1.9038623625441205E-4</v>
      </c>
    </row>
    <row r="19" spans="2:11" ht="15" customHeight="1">
      <c r="B19" s="333" t="s">
        <v>53</v>
      </c>
      <c r="C19" s="334" t="s">
        <v>54</v>
      </c>
      <c r="D19" s="335">
        <v>1741.8124299999999</v>
      </c>
      <c r="E19" s="335">
        <v>90.74</v>
      </c>
      <c r="F19" s="335">
        <f t="shared" si="1"/>
        <v>158052.05989819998</v>
      </c>
      <c r="G19" s="336">
        <f t="shared" si="0"/>
        <v>3.1965945968354423E-3</v>
      </c>
      <c r="H19" s="109">
        <v>2.7771655278818603E-2</v>
      </c>
      <c r="I19" s="110">
        <f t="shared" si="2"/>
        <v>8.8774723209448031E-5</v>
      </c>
      <c r="J19" s="110">
        <v>8.4000000000000005E-2</v>
      </c>
      <c r="K19" s="110">
        <f t="shared" si="3"/>
        <v>2.6851394613417714E-4</v>
      </c>
    </row>
    <row r="20" spans="2:11" ht="15" customHeight="1">
      <c r="B20" s="333" t="s">
        <v>1130</v>
      </c>
      <c r="C20" s="334" t="s">
        <v>1131</v>
      </c>
      <c r="D20" s="335">
        <v>349.38959</v>
      </c>
      <c r="E20" s="335">
        <v>97.06</v>
      </c>
      <c r="F20" s="335">
        <f t="shared" si="1"/>
        <v>33911.753605400001</v>
      </c>
      <c r="G20" s="336">
        <f t="shared" si="0"/>
        <v>6.8586343268197444E-4</v>
      </c>
      <c r="H20" s="109" t="s">
        <v>4</v>
      </c>
      <c r="I20" s="110" t="str">
        <f t="shared" si="2"/>
        <v/>
      </c>
      <c r="J20" s="110">
        <v>4.3249999999999997E-2</v>
      </c>
      <c r="K20" s="110">
        <f t="shared" si="3"/>
        <v>2.9663593463495391E-5</v>
      </c>
    </row>
    <row r="21" spans="2:11" ht="15" customHeight="1">
      <c r="B21" s="333" t="s">
        <v>55</v>
      </c>
      <c r="C21" s="334" t="s">
        <v>56</v>
      </c>
      <c r="D21" s="335">
        <v>613.93926999999996</v>
      </c>
      <c r="E21" s="335">
        <v>124.44</v>
      </c>
      <c r="F21" s="335">
        <f t="shared" si="1"/>
        <v>76398.6027588</v>
      </c>
      <c r="G21" s="336">
        <f t="shared" si="0"/>
        <v>1.5451577217143167E-3</v>
      </c>
      <c r="H21" s="109">
        <v>5.2394728383156536E-2</v>
      </c>
      <c r="I21" s="110">
        <f t="shared" si="2"/>
        <v>8.0958119138358595E-5</v>
      </c>
      <c r="J21" s="110">
        <v>5.5E-2</v>
      </c>
      <c r="K21" s="110">
        <f t="shared" si="3"/>
        <v>8.4983674694287414E-5</v>
      </c>
    </row>
    <row r="22" spans="2:11" ht="15" customHeight="1">
      <c r="B22" s="333" t="s">
        <v>57</v>
      </c>
      <c r="C22" s="334" t="s">
        <v>58</v>
      </c>
      <c r="D22" s="335">
        <v>397.5</v>
      </c>
      <c r="E22" s="335">
        <v>205.02</v>
      </c>
      <c r="F22" s="335">
        <f t="shared" si="1"/>
        <v>81495.45</v>
      </c>
      <c r="G22" s="336">
        <f t="shared" si="0"/>
        <v>1.6482411890390034E-3</v>
      </c>
      <c r="H22" s="109" t="s">
        <v>4</v>
      </c>
      <c r="I22" s="110" t="str">
        <f t="shared" si="2"/>
        <v/>
      </c>
      <c r="J22" s="110">
        <v>0.16</v>
      </c>
      <c r="K22" s="110">
        <f t="shared" si="3"/>
        <v>2.6371859024624053E-4</v>
      </c>
    </row>
    <row r="23" spans="2:11" ht="15" customHeight="1">
      <c r="B23" s="333" t="s">
        <v>59</v>
      </c>
      <c r="C23" s="334" t="s">
        <v>60</v>
      </c>
      <c r="D23" s="335">
        <v>487.08704</v>
      </c>
      <c r="E23" s="335">
        <v>397.17</v>
      </c>
      <c r="F23" s="335">
        <f t="shared" si="1"/>
        <v>193456.3596768</v>
      </c>
      <c r="G23" s="336" t="str">
        <f t="shared" si="0"/>
        <v/>
      </c>
      <c r="H23" s="109">
        <v>1.1078379535211623E-2</v>
      </c>
      <c r="I23" s="110" t="str">
        <f t="shared" si="2"/>
        <v/>
      </c>
      <c r="J23" s="110">
        <v>0.2152</v>
      </c>
      <c r="K23" s="110" t="str">
        <f t="shared" si="3"/>
        <v/>
      </c>
    </row>
    <row r="24" spans="2:11" ht="15" customHeight="1">
      <c r="B24" s="333" t="s">
        <v>61</v>
      </c>
      <c r="C24" s="334" t="s">
        <v>62</v>
      </c>
      <c r="D24" s="335">
        <v>481.95652999999999</v>
      </c>
      <c r="E24" s="335">
        <v>76.400000000000006</v>
      </c>
      <c r="F24" s="335">
        <f t="shared" si="1"/>
        <v>36821.478891999999</v>
      </c>
      <c r="G24" s="336">
        <f t="shared" si="0"/>
        <v>7.447124735322603E-4</v>
      </c>
      <c r="H24" s="109">
        <v>2.7225130890052355E-2</v>
      </c>
      <c r="I24" s="110">
        <f t="shared" si="2"/>
        <v>2.0274894567370435E-5</v>
      </c>
      <c r="J24" s="110">
        <v>7.0000000000000007E-2</v>
      </c>
      <c r="K24" s="110">
        <f t="shared" si="3"/>
        <v>5.2129873147258226E-5</v>
      </c>
    </row>
    <row r="25" spans="2:11" ht="15" customHeight="1">
      <c r="B25" s="333" t="s">
        <v>63</v>
      </c>
      <c r="C25" s="334" t="s">
        <v>64</v>
      </c>
      <c r="D25" s="335">
        <v>399.73428000000001</v>
      </c>
      <c r="E25" s="335">
        <v>223.95</v>
      </c>
      <c r="F25" s="335">
        <f t="shared" si="1"/>
        <v>89520.492006</v>
      </c>
      <c r="G25" s="336">
        <f t="shared" si="0"/>
        <v>1.810547241438952E-3</v>
      </c>
      <c r="H25" s="109">
        <v>3.0363920517972761E-2</v>
      </c>
      <c r="I25" s="110">
        <f t="shared" si="2"/>
        <v>5.4975312533087173E-5</v>
      </c>
      <c r="J25" s="110">
        <v>6.5000000000000002E-2</v>
      </c>
      <c r="K25" s="110">
        <f t="shared" si="3"/>
        <v>1.1768557069353188E-4</v>
      </c>
    </row>
    <row r="26" spans="2:11" ht="15" customHeight="1">
      <c r="B26" s="333" t="s">
        <v>65</v>
      </c>
      <c r="C26" s="334" t="s">
        <v>66</v>
      </c>
      <c r="D26" s="335">
        <v>211</v>
      </c>
      <c r="E26" s="335">
        <v>194.42</v>
      </c>
      <c r="F26" s="335">
        <f t="shared" si="1"/>
        <v>41022.619999999995</v>
      </c>
      <c r="G26" s="336">
        <f t="shared" si="0"/>
        <v>8.296803314331683E-4</v>
      </c>
      <c r="H26" s="109" t="s">
        <v>4</v>
      </c>
      <c r="I26" s="110" t="str">
        <f t="shared" si="2"/>
        <v/>
      </c>
      <c r="J26" s="110">
        <v>0.15605000000000002</v>
      </c>
      <c r="K26" s="110">
        <f t="shared" si="3"/>
        <v>1.2947161572014594E-4</v>
      </c>
    </row>
    <row r="27" spans="2:11" ht="15" customHeight="1">
      <c r="B27" s="333" t="s">
        <v>67</v>
      </c>
      <c r="C27" s="334" t="s">
        <v>10</v>
      </c>
      <c r="D27" s="335">
        <v>276.7</v>
      </c>
      <c r="E27" s="335">
        <v>113.04</v>
      </c>
      <c r="F27" s="335">
        <f t="shared" si="1"/>
        <v>31278.168000000001</v>
      </c>
      <c r="G27" s="336">
        <f t="shared" si="0"/>
        <v>6.3259930235714645E-4</v>
      </c>
      <c r="H27" s="109">
        <v>2.6539278131634817E-2</v>
      </c>
      <c r="I27" s="110">
        <f t="shared" si="2"/>
        <v>1.6788728831134458E-5</v>
      </c>
      <c r="J27" s="110">
        <v>7.8499999999999986E-2</v>
      </c>
      <c r="K27" s="110">
        <f t="shared" si="3"/>
        <v>4.9659045235035986E-5</v>
      </c>
    </row>
    <row r="28" spans="2:11" ht="15" customHeight="1">
      <c r="B28" s="333" t="s">
        <v>68</v>
      </c>
      <c r="C28" s="334" t="s">
        <v>11</v>
      </c>
      <c r="D28" s="335">
        <v>567.64833999999996</v>
      </c>
      <c r="E28" s="335">
        <v>136.81</v>
      </c>
      <c r="F28" s="335">
        <f t="shared" si="1"/>
        <v>77659.969395399996</v>
      </c>
      <c r="G28" s="336">
        <f t="shared" si="0"/>
        <v>1.5706687955831485E-3</v>
      </c>
      <c r="H28" s="109">
        <v>2.7775747386886922E-2</v>
      </c>
      <c r="I28" s="110">
        <f t="shared" si="2"/>
        <v>4.3626499694583467E-5</v>
      </c>
      <c r="J28" s="110">
        <v>6.7665000000000003E-2</v>
      </c>
      <c r="K28" s="110">
        <f t="shared" si="3"/>
        <v>1.0627930405313375E-4</v>
      </c>
    </row>
    <row r="29" spans="2:11" ht="15" customHeight="1">
      <c r="B29" s="333" t="s">
        <v>69</v>
      </c>
      <c r="C29" s="334" t="s">
        <v>70</v>
      </c>
      <c r="D29" s="335">
        <v>713.15770999999995</v>
      </c>
      <c r="E29" s="335">
        <v>14.66</v>
      </c>
      <c r="F29" s="335">
        <f t="shared" si="1"/>
        <v>10454.892028599999</v>
      </c>
      <c r="G29" s="336" t="str">
        <f t="shared" si="0"/>
        <v/>
      </c>
      <c r="H29" s="109">
        <v>4.8008185538881309E-2</v>
      </c>
      <c r="I29" s="110" t="str">
        <f t="shared" si="2"/>
        <v/>
      </c>
      <c r="J29" s="110">
        <v>0.3</v>
      </c>
      <c r="K29" s="110" t="str">
        <f t="shared" si="3"/>
        <v/>
      </c>
    </row>
    <row r="30" spans="2:11" ht="15" customHeight="1">
      <c r="B30" s="333" t="s">
        <v>71</v>
      </c>
      <c r="C30" s="334" t="s">
        <v>72</v>
      </c>
      <c r="D30" s="335">
        <v>508.98489999999998</v>
      </c>
      <c r="E30" s="335">
        <v>117.25</v>
      </c>
      <c r="F30" s="335">
        <f t="shared" si="1"/>
        <v>59678.479524999995</v>
      </c>
      <c r="G30" s="336">
        <f t="shared" si="0"/>
        <v>1.206994108902102E-3</v>
      </c>
      <c r="H30" s="109">
        <v>2.0810234541577825E-2</v>
      </c>
      <c r="I30" s="110">
        <f t="shared" si="2"/>
        <v>2.5117830496555471E-5</v>
      </c>
      <c r="J30" s="110">
        <v>7.5300000000000006E-2</v>
      </c>
      <c r="K30" s="110">
        <f t="shared" si="3"/>
        <v>9.0886656400328294E-5</v>
      </c>
    </row>
    <row r="31" spans="2:11" ht="15" customHeight="1">
      <c r="B31" s="333" t="s">
        <v>73</v>
      </c>
      <c r="C31" s="334" t="s">
        <v>74</v>
      </c>
      <c r="D31" s="335">
        <v>530.20622000000003</v>
      </c>
      <c r="E31" s="335">
        <v>74.53</v>
      </c>
      <c r="F31" s="335">
        <f t="shared" si="1"/>
        <v>39516.269576600003</v>
      </c>
      <c r="G31" s="336">
        <f t="shared" si="0"/>
        <v>7.9921447336410792E-4</v>
      </c>
      <c r="H31" s="109">
        <v>2.6834831611431638E-2</v>
      </c>
      <c r="I31" s="110">
        <f t="shared" si="2"/>
        <v>2.1446785814144852E-5</v>
      </c>
      <c r="J31" s="110">
        <v>9.0499999999999997E-2</v>
      </c>
      <c r="K31" s="110">
        <f t="shared" si="3"/>
        <v>7.2328909839451761E-5</v>
      </c>
    </row>
    <row r="32" spans="2:11" ht="15" customHeight="1">
      <c r="B32" s="333" t="s">
        <v>75</v>
      </c>
      <c r="C32" s="334" t="s">
        <v>76</v>
      </c>
      <c r="D32" s="335">
        <v>49.547640000000001</v>
      </c>
      <c r="E32" s="335">
        <v>268.52999999999997</v>
      </c>
      <c r="F32" s="335">
        <f t="shared" si="1"/>
        <v>13305.027769199998</v>
      </c>
      <c r="G32" s="336">
        <f t="shared" si="0"/>
        <v>2.6909348669776248E-4</v>
      </c>
      <c r="H32" s="109">
        <v>1.3108405019923287E-2</v>
      </c>
      <c r="I32" s="110">
        <f t="shared" si="2"/>
        <v>3.5273864118576101E-6</v>
      </c>
      <c r="J32" s="110">
        <v>9.5000000000000001E-2</v>
      </c>
      <c r="K32" s="110">
        <f t="shared" si="3"/>
        <v>2.5563881236287436E-5</v>
      </c>
    </row>
    <row r="33" spans="2:11" ht="15" customHeight="1">
      <c r="B33" s="333" t="s">
        <v>77</v>
      </c>
      <c r="C33" s="334" t="s">
        <v>78</v>
      </c>
      <c r="D33" s="335">
        <v>256.89999999999998</v>
      </c>
      <c r="E33" s="335">
        <v>229.57</v>
      </c>
      <c r="F33" s="335">
        <f t="shared" si="1"/>
        <v>58976.532999999996</v>
      </c>
      <c r="G33" s="336">
        <f t="shared" si="0"/>
        <v>1.1927972773611044E-3</v>
      </c>
      <c r="H33" s="109">
        <v>1.2196715598728057E-2</v>
      </c>
      <c r="I33" s="110">
        <f t="shared" si="2"/>
        <v>1.4548209158910539E-5</v>
      </c>
      <c r="J33" s="110">
        <v>0.155</v>
      </c>
      <c r="K33" s="110">
        <f t="shared" si="3"/>
        <v>1.8488357799097116E-4</v>
      </c>
    </row>
    <row r="34" spans="2:11" ht="15" customHeight="1">
      <c r="B34" s="333" t="s">
        <v>79</v>
      </c>
      <c r="C34" s="334" t="s">
        <v>80</v>
      </c>
      <c r="D34" s="335">
        <v>145.38544999999999</v>
      </c>
      <c r="E34" s="335">
        <v>118.21</v>
      </c>
      <c r="F34" s="335">
        <f t="shared" si="1"/>
        <v>17186.0140445</v>
      </c>
      <c r="G34" s="336">
        <f t="shared" si="0"/>
        <v>3.4758622994961918E-4</v>
      </c>
      <c r="H34" s="109" t="s">
        <v>4</v>
      </c>
      <c r="I34" s="110" t="str">
        <f t="shared" si="2"/>
        <v/>
      </c>
      <c r="J34" s="110">
        <v>8.1449999999999995E-2</v>
      </c>
      <c r="K34" s="110">
        <f t="shared" si="3"/>
        <v>2.831089842939648E-5</v>
      </c>
    </row>
    <row r="35" spans="2:11" ht="15" customHeight="1">
      <c r="B35" s="333" t="s">
        <v>81</v>
      </c>
      <c r="C35" s="334" t="s">
        <v>82</v>
      </c>
      <c r="D35" s="335">
        <v>117.93465</v>
      </c>
      <c r="E35" s="335">
        <v>135.03</v>
      </c>
      <c r="F35" s="335">
        <f t="shared" si="1"/>
        <v>15924.7157895</v>
      </c>
      <c r="G35" s="336" t="str">
        <f t="shared" si="0"/>
        <v/>
      </c>
      <c r="H35" s="109">
        <v>1.1997333925794268E-2</v>
      </c>
      <c r="I35" s="110" t="str">
        <f t="shared" si="2"/>
        <v/>
      </c>
      <c r="J35" s="110">
        <v>0.9103</v>
      </c>
      <c r="K35" s="110" t="str">
        <f t="shared" si="3"/>
        <v/>
      </c>
    </row>
    <row r="36" spans="2:11" ht="15" customHeight="1">
      <c r="B36" s="333" t="s">
        <v>83</v>
      </c>
      <c r="C36" s="334" t="s">
        <v>84</v>
      </c>
      <c r="D36" s="335">
        <v>71.618129999999994</v>
      </c>
      <c r="E36" s="335">
        <v>168.66</v>
      </c>
      <c r="F36" s="335">
        <f t="shared" si="1"/>
        <v>12079.113805799998</v>
      </c>
      <c r="G36" s="336">
        <f t="shared" si="0"/>
        <v>2.4429944127935031E-4</v>
      </c>
      <c r="H36" s="109" t="s">
        <v>4</v>
      </c>
      <c r="I36" s="110" t="str">
        <f t="shared" si="2"/>
        <v/>
      </c>
      <c r="J36" s="110">
        <v>0.11144999999999999</v>
      </c>
      <c r="K36" s="110">
        <f t="shared" si="3"/>
        <v>2.7227172730583592E-5</v>
      </c>
    </row>
    <row r="37" spans="2:11" ht="15" customHeight="1">
      <c r="B37" s="333" t="s">
        <v>85</v>
      </c>
      <c r="C37" s="334" t="s">
        <v>86</v>
      </c>
      <c r="D37" s="335">
        <v>257.42093</v>
      </c>
      <c r="E37" s="335">
        <v>237.94</v>
      </c>
      <c r="F37" s="335">
        <f t="shared" si="1"/>
        <v>61250.736084199998</v>
      </c>
      <c r="G37" s="336">
        <f t="shared" si="0"/>
        <v>1.2387929151006099E-3</v>
      </c>
      <c r="H37" s="109">
        <v>1.8155837606119191E-2</v>
      </c>
      <c r="I37" s="110">
        <f t="shared" si="2"/>
        <v>2.2491322994177671E-5</v>
      </c>
      <c r="J37" s="110">
        <v>9.7650000000000001E-2</v>
      </c>
      <c r="K37" s="110">
        <f t="shared" si="3"/>
        <v>1.2096812815957456E-4</v>
      </c>
    </row>
    <row r="38" spans="2:11" ht="15" customHeight="1">
      <c r="B38" s="333" t="s">
        <v>87</v>
      </c>
      <c r="C38" s="334" t="s">
        <v>88</v>
      </c>
      <c r="D38" s="335">
        <v>85.935860000000005</v>
      </c>
      <c r="E38" s="335">
        <v>140.49</v>
      </c>
      <c r="F38" s="335">
        <f t="shared" si="1"/>
        <v>12073.128971400001</v>
      </c>
      <c r="G38" s="336">
        <f t="shared" si="0"/>
        <v>2.441783983184531E-4</v>
      </c>
      <c r="H38" s="109">
        <v>1.5659477542885616E-2</v>
      </c>
      <c r="I38" s="110">
        <f t="shared" si="2"/>
        <v>3.823706144925595E-6</v>
      </c>
      <c r="J38" s="110">
        <v>6.0049999999999999E-2</v>
      </c>
      <c r="K38" s="110">
        <f t="shared" si="3"/>
        <v>1.4662912819023109E-5</v>
      </c>
    </row>
    <row r="39" spans="2:11" ht="15" customHeight="1">
      <c r="B39" s="333" t="s">
        <v>89</v>
      </c>
      <c r="C39" s="334" t="s">
        <v>90</v>
      </c>
      <c r="D39" s="335">
        <v>793.95943</v>
      </c>
      <c r="E39" s="335">
        <v>723</v>
      </c>
      <c r="F39" s="335">
        <f t="shared" si="1"/>
        <v>574032.66789000004</v>
      </c>
      <c r="G39" s="336">
        <f t="shared" si="0"/>
        <v>1.1609780510080563E-2</v>
      </c>
      <c r="H39" s="109">
        <v>2.9322268326417707E-3</v>
      </c>
      <c r="I39" s="110">
        <f t="shared" si="2"/>
        <v>3.4042509932739687E-5</v>
      </c>
      <c r="J39" s="110">
        <v>0.18754999999999999</v>
      </c>
      <c r="K39" s="110">
        <f t="shared" si="3"/>
        <v>2.1774143346656094E-3</v>
      </c>
    </row>
    <row r="40" spans="2:11" ht="15" customHeight="1">
      <c r="B40" s="333" t="s">
        <v>91</v>
      </c>
      <c r="C40" s="334" t="s">
        <v>92</v>
      </c>
      <c r="D40" s="335">
        <v>462.34568999999999</v>
      </c>
      <c r="E40" s="335">
        <v>43.35</v>
      </c>
      <c r="F40" s="335">
        <f t="shared" si="1"/>
        <v>20042.6856615</v>
      </c>
      <c r="G40" s="336">
        <f t="shared" si="0"/>
        <v>4.0536226312322648E-4</v>
      </c>
      <c r="H40" s="109">
        <v>5.9976931949250287E-2</v>
      </c>
      <c r="I40" s="110">
        <f t="shared" si="2"/>
        <v>2.4312384870135843E-5</v>
      </c>
      <c r="J40" s="110">
        <v>7.9149999999999998E-2</v>
      </c>
      <c r="K40" s="110">
        <f t="shared" si="3"/>
        <v>3.2084423126203373E-5</v>
      </c>
    </row>
    <row r="41" spans="2:11" ht="15" customHeight="1">
      <c r="B41" s="333" t="s">
        <v>93</v>
      </c>
      <c r="C41" s="334" t="s">
        <v>94</v>
      </c>
      <c r="D41" s="335">
        <v>1630.6006400000001</v>
      </c>
      <c r="E41" s="335">
        <v>580.91</v>
      </c>
      <c r="F41" s="335">
        <f t="shared" si="1"/>
        <v>947232.21778239997</v>
      </c>
      <c r="G41" s="336" t="str">
        <f t="shared" si="0"/>
        <v/>
      </c>
      <c r="H41" s="109" t="s">
        <v>4</v>
      </c>
      <c r="I41" s="110" t="str">
        <f t="shared" si="2"/>
        <v/>
      </c>
      <c r="J41" s="110">
        <v>0.42920000000000003</v>
      </c>
      <c r="K41" s="110" t="str">
        <f t="shared" si="3"/>
        <v/>
      </c>
    </row>
    <row r="42" spans="2:11" ht="15" customHeight="1">
      <c r="B42" s="333" t="s">
        <v>95</v>
      </c>
      <c r="C42" s="334" t="s">
        <v>96</v>
      </c>
      <c r="D42" s="335">
        <v>229.203</v>
      </c>
      <c r="E42" s="335">
        <v>241.94</v>
      </c>
      <c r="F42" s="335">
        <f t="shared" si="1"/>
        <v>55453.373820000001</v>
      </c>
      <c r="G42" s="336">
        <f t="shared" si="0"/>
        <v>1.1215415682875687E-3</v>
      </c>
      <c r="H42" s="109">
        <v>5.6212284037364642E-3</v>
      </c>
      <c r="I42" s="110">
        <f t="shared" si="2"/>
        <v>6.3044413196292208E-6</v>
      </c>
      <c r="J42" s="110">
        <v>8.7850000000000011E-2</v>
      </c>
      <c r="K42" s="110">
        <f t="shared" si="3"/>
        <v>9.8527426774062921E-5</v>
      </c>
    </row>
    <row r="43" spans="2:11" ht="15" customHeight="1">
      <c r="B43" s="333" t="s">
        <v>97</v>
      </c>
      <c r="C43" s="334" t="s">
        <v>98</v>
      </c>
      <c r="D43" s="335">
        <v>539.70826999999997</v>
      </c>
      <c r="E43" s="335">
        <v>362.12</v>
      </c>
      <c r="F43" s="335">
        <f t="shared" si="1"/>
        <v>195439.15873239998</v>
      </c>
      <c r="G43" s="336">
        <f t="shared" si="0"/>
        <v>3.9527467039432692E-3</v>
      </c>
      <c r="H43" s="109">
        <v>2.7836076438749587E-2</v>
      </c>
      <c r="I43" s="110">
        <f t="shared" si="2"/>
        <v>1.1002895939398033E-4</v>
      </c>
      <c r="J43" s="110">
        <v>5.3100000000000001E-2</v>
      </c>
      <c r="K43" s="110">
        <f t="shared" si="3"/>
        <v>2.0989084997938759E-4</v>
      </c>
    </row>
    <row r="44" spans="2:11" ht="15" customHeight="1">
      <c r="B44" s="333" t="s">
        <v>99</v>
      </c>
      <c r="C44" s="334" t="s">
        <v>100</v>
      </c>
      <c r="D44" s="335">
        <v>90.689670000000007</v>
      </c>
      <c r="E44" s="335">
        <v>458.76</v>
      </c>
      <c r="F44" s="335">
        <f t="shared" si="1"/>
        <v>41604.793009200002</v>
      </c>
      <c r="G44" s="336">
        <f t="shared" si="0"/>
        <v>8.4145474991800687E-4</v>
      </c>
      <c r="H44" s="109">
        <v>1.4822565175690992E-2</v>
      </c>
      <c r="I44" s="110">
        <f t="shared" si="2"/>
        <v>1.2472517873054422E-5</v>
      </c>
      <c r="J44" s="110">
        <v>0.11554999999999999</v>
      </c>
      <c r="K44" s="110">
        <f t="shared" si="3"/>
        <v>9.7230096353025685E-5</v>
      </c>
    </row>
    <row r="45" spans="2:11" ht="15" customHeight="1">
      <c r="B45" s="333" t="s">
        <v>101</v>
      </c>
      <c r="C45" s="334" t="s">
        <v>102</v>
      </c>
      <c r="D45" s="335">
        <v>465.89307000000002</v>
      </c>
      <c r="E45" s="335">
        <v>163.57</v>
      </c>
      <c r="F45" s="335">
        <f t="shared" si="1"/>
        <v>76206.129459899996</v>
      </c>
      <c r="G45" s="336">
        <f t="shared" si="0"/>
        <v>1.5412649593694592E-3</v>
      </c>
      <c r="H45" s="109">
        <v>4.3773308063825886E-2</v>
      </c>
      <c r="I45" s="110">
        <f t="shared" si="2"/>
        <v>6.7466265874459419E-5</v>
      </c>
      <c r="J45" s="110">
        <v>3.1300000000000001E-2</v>
      </c>
      <c r="K45" s="110">
        <f t="shared" si="3"/>
        <v>4.8241593228264073E-5</v>
      </c>
    </row>
    <row r="46" spans="2:11" ht="15" customHeight="1">
      <c r="B46" s="333" t="s">
        <v>103</v>
      </c>
      <c r="C46" s="334" t="s">
        <v>104</v>
      </c>
      <c r="D46" s="335">
        <v>10757.10944</v>
      </c>
      <c r="E46" s="335">
        <v>238.34</v>
      </c>
      <c r="F46" s="335">
        <f t="shared" si="1"/>
        <v>2563849.4639296001</v>
      </c>
      <c r="G46" s="336">
        <f t="shared" si="0"/>
        <v>5.1853720532181069E-2</v>
      </c>
      <c r="H46" s="109" t="s">
        <v>4</v>
      </c>
      <c r="I46" s="110" t="str">
        <f t="shared" si="2"/>
        <v/>
      </c>
      <c r="J46" s="110">
        <v>0.17815</v>
      </c>
      <c r="K46" s="110">
        <f t="shared" si="3"/>
        <v>9.2377403128080567E-3</v>
      </c>
    </row>
    <row r="47" spans="2:11" ht="15" customHeight="1">
      <c r="B47" s="333" t="s">
        <v>105</v>
      </c>
      <c r="C47" s="334" t="s">
        <v>106</v>
      </c>
      <c r="D47" s="335">
        <v>1259.2025900000001</v>
      </c>
      <c r="E47" s="335">
        <v>169.88</v>
      </c>
      <c r="F47" s="335">
        <f t="shared" si="1"/>
        <v>213913.33598920002</v>
      </c>
      <c r="G47" s="336">
        <f t="shared" si="0"/>
        <v>4.3263859670955723E-3</v>
      </c>
      <c r="H47" s="109" t="s">
        <v>4</v>
      </c>
      <c r="I47" s="110" t="str">
        <f t="shared" si="2"/>
        <v/>
      </c>
      <c r="J47" s="110">
        <v>0.1643</v>
      </c>
      <c r="K47" s="110">
        <f t="shared" si="3"/>
        <v>7.1082521439380251E-4</v>
      </c>
    </row>
    <row r="48" spans="2:11" ht="15" customHeight="1">
      <c r="B48" s="333" t="s">
        <v>107</v>
      </c>
      <c r="C48" s="334" t="s">
        <v>108</v>
      </c>
      <c r="D48" s="335">
        <v>213.57695000000001</v>
      </c>
      <c r="E48" s="335">
        <v>331.69</v>
      </c>
      <c r="F48" s="335">
        <f t="shared" si="1"/>
        <v>70841.33854550001</v>
      </c>
      <c r="G48" s="336">
        <f t="shared" si="0"/>
        <v>1.4327623453499493E-3</v>
      </c>
      <c r="H48" s="109">
        <v>9.8887515451174281E-3</v>
      </c>
      <c r="I48" s="110">
        <f t="shared" si="2"/>
        <v>1.4168230856365381E-5</v>
      </c>
      <c r="J48" s="110">
        <v>8.4850000000000009E-2</v>
      </c>
      <c r="K48" s="110">
        <f t="shared" si="3"/>
        <v>1.2156988500294322E-4</v>
      </c>
    </row>
    <row r="49" spans="2:11" ht="15" customHeight="1">
      <c r="B49" s="333" t="s">
        <v>109</v>
      </c>
      <c r="C49" s="334" t="s">
        <v>110</v>
      </c>
      <c r="D49" s="335">
        <v>111.96547</v>
      </c>
      <c r="E49" s="335">
        <v>62.72</v>
      </c>
      <c r="F49" s="335">
        <f t="shared" si="1"/>
        <v>7022.4742784</v>
      </c>
      <c r="G49" s="336">
        <f t="shared" si="0"/>
        <v>1.4202917285107124E-4</v>
      </c>
      <c r="H49" s="109">
        <v>2.2959183673469389E-2</v>
      </c>
      <c r="I49" s="110">
        <f t="shared" si="2"/>
        <v>3.2608738664786768E-6</v>
      </c>
      <c r="J49" s="110">
        <v>7.4999999999999997E-2</v>
      </c>
      <c r="K49" s="110">
        <f t="shared" si="3"/>
        <v>1.0652187963830343E-5</v>
      </c>
    </row>
    <row r="50" spans="2:11" ht="15" customHeight="1">
      <c r="B50" s="333" t="s">
        <v>111</v>
      </c>
      <c r="C50" s="334" t="s">
        <v>112</v>
      </c>
      <c r="D50" s="335">
        <v>353.47023000000002</v>
      </c>
      <c r="E50" s="335">
        <v>32.57</v>
      </c>
      <c r="F50" s="335">
        <f t="shared" si="1"/>
        <v>11512.5253911</v>
      </c>
      <c r="G50" s="336">
        <f t="shared" si="0"/>
        <v>2.3284022039841957E-4</v>
      </c>
      <c r="H50" s="109">
        <v>3.0703101013202332E-2</v>
      </c>
      <c r="I50" s="110">
        <f t="shared" si="2"/>
        <v>7.1489168068289696E-6</v>
      </c>
      <c r="J50" s="110">
        <v>8.5000000000000006E-2</v>
      </c>
      <c r="K50" s="110">
        <f t="shared" si="3"/>
        <v>1.9791418733865663E-5</v>
      </c>
    </row>
    <row r="51" spans="2:11" ht="15" customHeight="1">
      <c r="B51" s="333" t="s">
        <v>113</v>
      </c>
      <c r="C51" s="334" t="s">
        <v>114</v>
      </c>
      <c r="D51" s="335">
        <v>222.68069</v>
      </c>
      <c r="E51" s="335">
        <v>291.36989999999997</v>
      </c>
      <c r="F51" s="335">
        <f t="shared" si="1"/>
        <v>64882.450377230991</v>
      </c>
      <c r="G51" s="336">
        <f t="shared" si="0"/>
        <v>1.3122441456244656E-3</v>
      </c>
      <c r="H51" s="109">
        <v>2.4848139770099798E-2</v>
      </c>
      <c r="I51" s="110">
        <f t="shared" si="2"/>
        <v>3.2606825942971913E-5</v>
      </c>
      <c r="J51" s="110">
        <v>6.1749999999999999E-2</v>
      </c>
      <c r="K51" s="110">
        <f t="shared" si="3"/>
        <v>8.1031075992310742E-5</v>
      </c>
    </row>
    <row r="52" spans="2:11" ht="15" customHeight="1">
      <c r="B52" s="333" t="s">
        <v>115</v>
      </c>
      <c r="C52" s="334" t="s">
        <v>116</v>
      </c>
      <c r="D52" s="335">
        <v>1230.2344499999999</v>
      </c>
      <c r="E52" s="335">
        <v>176.32</v>
      </c>
      <c r="F52" s="335">
        <f t="shared" si="1"/>
        <v>216914.93822399998</v>
      </c>
      <c r="G52" s="336" t="str">
        <f t="shared" si="0"/>
        <v/>
      </c>
      <c r="H52" s="109">
        <v>5.6715063520871144E-3</v>
      </c>
      <c r="I52" s="110" t="str">
        <f t="shared" si="2"/>
        <v/>
      </c>
      <c r="J52" s="110">
        <v>0.23754999999999998</v>
      </c>
      <c r="K52" s="110" t="str">
        <f t="shared" si="3"/>
        <v/>
      </c>
    </row>
    <row r="53" spans="2:11" ht="15" customHeight="1">
      <c r="B53" s="333" t="s">
        <v>1228</v>
      </c>
      <c r="C53" s="334" t="s">
        <v>1229</v>
      </c>
      <c r="D53" s="335">
        <v>576.51751000000002</v>
      </c>
      <c r="E53" s="335">
        <v>118.31</v>
      </c>
      <c r="F53" s="335">
        <f t="shared" si="1"/>
        <v>68207.78660810001</v>
      </c>
      <c r="G53" s="336">
        <f t="shared" si="0"/>
        <v>1.3794988959586502E-3</v>
      </c>
      <c r="H53" s="109">
        <v>1.9017834502577973E-2</v>
      </c>
      <c r="I53" s="110">
        <f t="shared" si="2"/>
        <v>2.6235081699830639E-5</v>
      </c>
      <c r="J53" s="110">
        <v>0.13059999999999999</v>
      </c>
      <c r="K53" s="110">
        <f t="shared" si="3"/>
        <v>1.8016255581219972E-4</v>
      </c>
    </row>
    <row r="54" spans="2:11" ht="15" customHeight="1">
      <c r="B54" s="333" t="s">
        <v>1193</v>
      </c>
      <c r="C54" s="334" t="s">
        <v>1194</v>
      </c>
      <c r="D54" s="335">
        <v>305.73200000000003</v>
      </c>
      <c r="E54" s="335">
        <v>515.23</v>
      </c>
      <c r="F54" s="335">
        <f t="shared" si="1"/>
        <v>157522.29836000002</v>
      </c>
      <c r="G54" s="336" t="str">
        <f t="shared" si="0"/>
        <v/>
      </c>
      <c r="H54" s="109" t="s">
        <v>4</v>
      </c>
      <c r="I54" s="110" t="str">
        <f t="shared" si="2"/>
        <v/>
      </c>
      <c r="J54" s="110">
        <v>0.41549999999999998</v>
      </c>
      <c r="K54" s="110" t="str">
        <f t="shared" si="3"/>
        <v/>
      </c>
    </row>
    <row r="55" spans="2:11" ht="15" customHeight="1">
      <c r="B55" s="333" t="s">
        <v>117</v>
      </c>
      <c r="C55" s="334" t="s">
        <v>118</v>
      </c>
      <c r="D55" s="335">
        <v>211.62053</v>
      </c>
      <c r="E55" s="335">
        <v>61.38</v>
      </c>
      <c r="F55" s="335">
        <f t="shared" si="1"/>
        <v>12989.2681314</v>
      </c>
      <c r="G55" s="336">
        <f t="shared" si="0"/>
        <v>2.6270726463434671E-4</v>
      </c>
      <c r="H55" s="109" t="s">
        <v>4</v>
      </c>
      <c r="I55" s="110" t="str">
        <f t="shared" si="2"/>
        <v/>
      </c>
      <c r="J55" s="110">
        <v>0.1356</v>
      </c>
      <c r="K55" s="110">
        <f t="shared" si="3"/>
        <v>3.5623105084417412E-5</v>
      </c>
    </row>
    <row r="56" spans="2:11" ht="15" customHeight="1">
      <c r="B56" s="333" t="s">
        <v>119</v>
      </c>
      <c r="C56" s="334" t="s">
        <v>120</v>
      </c>
      <c r="D56" s="335">
        <v>174.26947999999999</v>
      </c>
      <c r="E56" s="335">
        <v>52.85</v>
      </c>
      <c r="F56" s="335">
        <f t="shared" si="1"/>
        <v>9210.1420180000005</v>
      </c>
      <c r="G56" s="336" t="str">
        <f t="shared" si="0"/>
        <v/>
      </c>
      <c r="H56" s="109">
        <v>5.4493850520340587E-2</v>
      </c>
      <c r="I56" s="110" t="str">
        <f t="shared" si="2"/>
        <v/>
      </c>
      <c r="J56" s="110">
        <v>-7.8800000000000009E-2</v>
      </c>
      <c r="K56" s="110" t="str">
        <f t="shared" si="3"/>
        <v/>
      </c>
    </row>
    <row r="57" spans="2:11" ht="15" customHeight="1">
      <c r="B57" s="333" t="s">
        <v>1430</v>
      </c>
      <c r="C57" s="334" t="s">
        <v>1431</v>
      </c>
      <c r="D57" s="335">
        <v>222.02842000000001</v>
      </c>
      <c r="E57" s="335">
        <v>111.31</v>
      </c>
      <c r="F57" s="335">
        <f t="shared" si="1"/>
        <v>24713.983430200002</v>
      </c>
      <c r="G57" s="336" t="str">
        <f t="shared" si="0"/>
        <v/>
      </c>
      <c r="H57" s="109">
        <v>4.8513161441020573E-2</v>
      </c>
      <c r="I57" s="110" t="str">
        <f t="shared" si="2"/>
        <v/>
      </c>
      <c r="J57" s="110">
        <v>0.25369999999999998</v>
      </c>
      <c r="K57" s="110" t="str">
        <f t="shared" si="3"/>
        <v/>
      </c>
    </row>
    <row r="58" spans="2:11" ht="15" customHeight="1">
      <c r="B58" s="333" t="s">
        <v>121</v>
      </c>
      <c r="C58" s="334" t="s">
        <v>3</v>
      </c>
      <c r="D58" s="335">
        <v>166.91981999999999</v>
      </c>
      <c r="E58" s="335">
        <v>172.27</v>
      </c>
      <c r="F58" s="335">
        <f t="shared" si="1"/>
        <v>28755.277391399999</v>
      </c>
      <c r="G58" s="336">
        <f t="shared" si="0"/>
        <v>5.815739725192941E-4</v>
      </c>
      <c r="H58" s="109">
        <v>2.3219364950368606E-2</v>
      </c>
      <c r="I58" s="110">
        <f t="shared" si="2"/>
        <v>1.3503778313561132E-5</v>
      </c>
      <c r="J58" s="110">
        <v>8.5000000000000006E-2</v>
      </c>
      <c r="K58" s="110">
        <f t="shared" si="3"/>
        <v>4.943378766414E-5</v>
      </c>
    </row>
    <row r="59" spans="2:11" ht="15" customHeight="1">
      <c r="B59" s="333" t="s">
        <v>122</v>
      </c>
      <c r="C59" s="334" t="s">
        <v>123</v>
      </c>
      <c r="D59" s="335">
        <v>139.11206999999999</v>
      </c>
      <c r="E59" s="335">
        <v>188.69</v>
      </c>
      <c r="F59" s="335">
        <f t="shared" si="1"/>
        <v>26249.056488299997</v>
      </c>
      <c r="G59" s="336">
        <f t="shared" si="0"/>
        <v>5.3088578659824025E-4</v>
      </c>
      <c r="H59" s="109">
        <v>3.7733849170597279E-2</v>
      </c>
      <c r="I59" s="110">
        <f t="shared" si="2"/>
        <v>2.0032364198311893E-5</v>
      </c>
      <c r="J59" s="110">
        <v>4.5899999999999996E-2</v>
      </c>
      <c r="K59" s="110">
        <f t="shared" si="3"/>
        <v>2.4367657604859224E-5</v>
      </c>
    </row>
    <row r="60" spans="2:11" ht="15" customHeight="1">
      <c r="B60" s="333" t="s">
        <v>124</v>
      </c>
      <c r="C60" s="334" t="s">
        <v>125</v>
      </c>
      <c r="D60" s="335">
        <v>4757.5802000000003</v>
      </c>
      <c r="E60" s="335">
        <v>377.75</v>
      </c>
      <c r="F60" s="335">
        <f t="shared" si="1"/>
        <v>1797175.9205500002</v>
      </c>
      <c r="G60" s="336" t="str">
        <f t="shared" si="0"/>
        <v/>
      </c>
      <c r="H60" s="109">
        <v>6.8828590337524824E-3</v>
      </c>
      <c r="I60" s="110" t="str">
        <f t="shared" si="2"/>
        <v/>
      </c>
      <c r="J60" s="110">
        <v>0.37835000000000002</v>
      </c>
      <c r="K60" s="110" t="str">
        <f t="shared" si="3"/>
        <v/>
      </c>
    </row>
    <row r="61" spans="2:11" ht="15" customHeight="1">
      <c r="B61" s="333" t="s">
        <v>126</v>
      </c>
      <c r="C61" s="334" t="s">
        <v>127</v>
      </c>
      <c r="D61" s="335">
        <v>76.490390000000005</v>
      </c>
      <c r="E61" s="335">
        <v>162.35</v>
      </c>
      <c r="F61" s="335">
        <f t="shared" si="1"/>
        <v>12418.2148165</v>
      </c>
      <c r="G61" s="336">
        <f t="shared" si="0"/>
        <v>2.5115774138175482E-4</v>
      </c>
      <c r="H61" s="109">
        <v>2.4638127502309825E-2</v>
      </c>
      <c r="I61" s="110">
        <f t="shared" si="2"/>
        <v>6.188056455355832E-6</v>
      </c>
      <c r="J61" s="110">
        <v>4.8799999999999996E-2</v>
      </c>
      <c r="K61" s="110">
        <f t="shared" si="3"/>
        <v>1.2256497779429634E-5</v>
      </c>
    </row>
    <row r="62" spans="2:11" ht="15" customHeight="1">
      <c r="B62" s="333" t="s">
        <v>128</v>
      </c>
      <c r="C62" s="334" t="s">
        <v>34</v>
      </c>
      <c r="D62" s="335">
        <v>195.28052</v>
      </c>
      <c r="E62" s="335">
        <v>131.58000000000001</v>
      </c>
      <c r="F62" s="335">
        <f t="shared" si="1"/>
        <v>25695.010821600001</v>
      </c>
      <c r="G62" s="336">
        <f t="shared" si="0"/>
        <v>5.1968024213577628E-4</v>
      </c>
      <c r="H62" s="109">
        <v>2.7207782337741297E-2</v>
      </c>
      <c r="I62" s="110">
        <f t="shared" si="2"/>
        <v>1.4139346913254894E-5</v>
      </c>
      <c r="J62" s="110">
        <v>7.2800000000000004E-2</v>
      </c>
      <c r="K62" s="110">
        <f t="shared" si="3"/>
        <v>3.7832721627484513E-5</v>
      </c>
    </row>
    <row r="63" spans="2:11" ht="15" customHeight="1">
      <c r="B63" s="333" t="s">
        <v>1157</v>
      </c>
      <c r="C63" s="334" t="s">
        <v>1158</v>
      </c>
      <c r="D63" s="335">
        <v>80.602080000000001</v>
      </c>
      <c r="E63" s="335">
        <v>560.61</v>
      </c>
      <c r="F63" s="335">
        <f t="shared" si="1"/>
        <v>45186.332068800002</v>
      </c>
      <c r="G63" s="336" t="str">
        <f t="shared" si="0"/>
        <v/>
      </c>
      <c r="H63" s="109" t="s">
        <v>4</v>
      </c>
      <c r="I63" s="110" t="str">
        <f t="shared" si="2"/>
        <v/>
      </c>
      <c r="J63" s="110">
        <v>0.27324999999999999</v>
      </c>
      <c r="K63" s="110" t="str">
        <f t="shared" si="3"/>
        <v/>
      </c>
    </row>
    <row r="64" spans="2:11" ht="15" customHeight="1">
      <c r="B64" s="333" t="s">
        <v>129</v>
      </c>
      <c r="C64" s="334" t="s">
        <v>130</v>
      </c>
      <c r="D64" s="335">
        <v>682.32644000000005</v>
      </c>
      <c r="E64" s="335">
        <v>338.25</v>
      </c>
      <c r="F64" s="335">
        <f t="shared" si="1"/>
        <v>230796.91833000001</v>
      </c>
      <c r="G64" s="336">
        <f t="shared" si="0"/>
        <v>4.6678555317478092E-3</v>
      </c>
      <c r="H64" s="109">
        <v>1.1234294161123429E-2</v>
      </c>
      <c r="I64" s="110">
        <f t="shared" si="2"/>
        <v>5.2440062145282111E-5</v>
      </c>
      <c r="J64" s="110">
        <v>0.12875</v>
      </c>
      <c r="K64" s="110">
        <f t="shared" si="3"/>
        <v>6.009863997125304E-4</v>
      </c>
    </row>
    <row r="65" spans="2:11" ht="15" customHeight="1">
      <c r="B65" s="333" t="s">
        <v>131</v>
      </c>
      <c r="C65" s="334" t="s">
        <v>132</v>
      </c>
      <c r="D65" s="335">
        <v>16.32535</v>
      </c>
      <c r="E65" s="335">
        <v>3195.94</v>
      </c>
      <c r="F65" s="335">
        <f t="shared" si="1"/>
        <v>52174.839079000005</v>
      </c>
      <c r="G65" s="336">
        <f t="shared" si="0"/>
        <v>1.0552333756239107E-3</v>
      </c>
      <c r="H65" s="109" t="s">
        <v>4</v>
      </c>
      <c r="I65" s="110" t="str">
        <f t="shared" si="2"/>
        <v/>
      </c>
      <c r="J65" s="110">
        <v>9.8449999999999996E-2</v>
      </c>
      <c r="K65" s="110">
        <f t="shared" si="3"/>
        <v>1.03887725830174E-4</v>
      </c>
    </row>
    <row r="66" spans="2:11" ht="15" customHeight="1">
      <c r="B66" s="333" t="s">
        <v>133</v>
      </c>
      <c r="C66" s="334" t="s">
        <v>134</v>
      </c>
      <c r="D66" s="335">
        <v>788.30232999999998</v>
      </c>
      <c r="E66" s="335">
        <v>216.47</v>
      </c>
      <c r="F66" s="335">
        <f t="shared" si="1"/>
        <v>170643.8053751</v>
      </c>
      <c r="G66" s="336" t="str">
        <f t="shared" si="0"/>
        <v/>
      </c>
      <c r="H66" s="109" t="s">
        <v>4</v>
      </c>
      <c r="I66" s="110" t="str">
        <f t="shared" si="2"/>
        <v/>
      </c>
      <c r="J66" s="110" t="s">
        <v>4</v>
      </c>
      <c r="K66" s="110" t="str">
        <f t="shared" si="3"/>
        <v/>
      </c>
    </row>
    <row r="67" spans="2:11" ht="15" customHeight="1">
      <c r="B67" s="333" t="s">
        <v>135</v>
      </c>
      <c r="C67" s="334" t="s">
        <v>136</v>
      </c>
      <c r="D67" s="335">
        <v>7096.5906500000001</v>
      </c>
      <c r="E67" s="335">
        <v>56.98</v>
      </c>
      <c r="F67" s="335">
        <f t="shared" si="1"/>
        <v>404363.73523699999</v>
      </c>
      <c r="G67" s="336">
        <f t="shared" si="0"/>
        <v>8.1782352729052443E-3</v>
      </c>
      <c r="H67" s="109">
        <v>1.9656019656019659E-2</v>
      </c>
      <c r="I67" s="110">
        <f t="shared" si="2"/>
        <v>1.6075155327577878E-4</v>
      </c>
      <c r="J67" s="110">
        <v>0.11</v>
      </c>
      <c r="K67" s="110">
        <f t="shared" si="3"/>
        <v>8.9960588001957689E-4</v>
      </c>
    </row>
    <row r="68" spans="2:11" ht="15" customHeight="1">
      <c r="B68" s="333" t="s">
        <v>154</v>
      </c>
      <c r="C68" s="334" t="s">
        <v>1058</v>
      </c>
      <c r="D68" s="335">
        <v>266.24651</v>
      </c>
      <c r="E68" s="335">
        <v>62.4</v>
      </c>
      <c r="F68" s="335">
        <f t="shared" si="1"/>
        <v>16613.782223999999</v>
      </c>
      <c r="G68" s="336">
        <f t="shared" si="0"/>
        <v>3.3601287148326463E-4</v>
      </c>
      <c r="H68" s="109">
        <v>1.2820512820512822E-2</v>
      </c>
      <c r="I68" s="110">
        <f t="shared" si="2"/>
        <v>4.3078573267085213E-6</v>
      </c>
      <c r="J68" s="110">
        <v>0.12309999999999999</v>
      </c>
      <c r="K68" s="110">
        <f t="shared" si="3"/>
        <v>4.1363184479589872E-5</v>
      </c>
    </row>
    <row r="69" spans="2:11" ht="15" customHeight="1">
      <c r="B69" s="333" t="s">
        <v>137</v>
      </c>
      <c r="C69" s="334" t="s">
        <v>138</v>
      </c>
      <c r="D69" s="335">
        <v>516.25251000000003</v>
      </c>
      <c r="E69" s="335">
        <v>21.32</v>
      </c>
      <c r="F69" s="335">
        <f t="shared" si="1"/>
        <v>11006.503513200001</v>
      </c>
      <c r="G69" s="336" t="str">
        <f t="shared" si="0"/>
        <v/>
      </c>
      <c r="H69" s="109">
        <v>1.876172607879925E-3</v>
      </c>
      <c r="I69" s="110" t="str">
        <f t="shared" si="2"/>
        <v/>
      </c>
      <c r="J69" s="110">
        <v>-2.145E-2</v>
      </c>
      <c r="K69" s="110" t="str">
        <f t="shared" si="3"/>
        <v/>
      </c>
    </row>
    <row r="70" spans="2:11" ht="15" customHeight="1">
      <c r="B70" s="333" t="s">
        <v>139</v>
      </c>
      <c r="C70" s="334" t="s">
        <v>140</v>
      </c>
      <c r="D70" s="335">
        <v>210.76713000000001</v>
      </c>
      <c r="E70" s="335">
        <v>75.88</v>
      </c>
      <c r="F70" s="335">
        <f t="shared" si="1"/>
        <v>15993.0098244</v>
      </c>
      <c r="G70" s="336">
        <f t="shared" si="0"/>
        <v>3.2345778235817486E-4</v>
      </c>
      <c r="H70" s="109">
        <v>5.0606220347917764E-2</v>
      </c>
      <c r="I70" s="110">
        <f t="shared" si="2"/>
        <v>1.6368975807266624E-5</v>
      </c>
      <c r="J70" s="110">
        <v>3.5750000000000004E-2</v>
      </c>
      <c r="K70" s="110">
        <f t="shared" si="3"/>
        <v>1.1563615719304753E-5</v>
      </c>
    </row>
    <row r="71" spans="2:11" ht="15" customHeight="1">
      <c r="B71" s="333" t="s">
        <v>1159</v>
      </c>
      <c r="C71" s="334" t="s">
        <v>141</v>
      </c>
      <c r="D71" s="335">
        <v>275.54043000000001</v>
      </c>
      <c r="E71" s="335">
        <v>151.33000000000001</v>
      </c>
      <c r="F71" s="335">
        <f t="shared" si="1"/>
        <v>41697.533271900007</v>
      </c>
      <c r="G71" s="336">
        <f t="shared" si="0"/>
        <v>8.4333041685235037E-4</v>
      </c>
      <c r="H71" s="109">
        <v>2.7753915284477629E-2</v>
      </c>
      <c r="I71" s="110">
        <f t="shared" si="2"/>
        <v>2.3405720946143337E-5</v>
      </c>
      <c r="J71" s="110">
        <v>7.5999999999999991E-3</v>
      </c>
      <c r="K71" s="110">
        <f t="shared" si="3"/>
        <v>6.4093111680778623E-6</v>
      </c>
    </row>
    <row r="72" spans="2:11" ht="15" customHeight="1">
      <c r="B72" s="333" t="s">
        <v>142</v>
      </c>
      <c r="C72" s="334" t="s">
        <v>143</v>
      </c>
      <c r="D72" s="335">
        <v>519.63715999999999</v>
      </c>
      <c r="E72" s="335">
        <v>33.270000000000003</v>
      </c>
      <c r="F72" s="335">
        <f t="shared" si="1"/>
        <v>17288.3283132</v>
      </c>
      <c r="G72" s="336">
        <f t="shared" si="0"/>
        <v>3.4965553065165525E-4</v>
      </c>
      <c r="H72" s="109">
        <v>3.9675383228133451E-2</v>
      </c>
      <c r="I72" s="110">
        <f t="shared" si="2"/>
        <v>1.3872717176440785E-5</v>
      </c>
      <c r="J72" s="110">
        <v>9.1800000000000007E-2</v>
      </c>
      <c r="K72" s="110">
        <f t="shared" si="3"/>
        <v>3.2098377713821954E-5</v>
      </c>
    </row>
    <row r="73" spans="2:11" ht="15" customHeight="1">
      <c r="B73" s="333" t="s">
        <v>144</v>
      </c>
      <c r="C73" s="334" t="s">
        <v>145</v>
      </c>
      <c r="D73" s="335">
        <v>290.38342</v>
      </c>
      <c r="E73" s="335">
        <v>26.65</v>
      </c>
      <c r="F73" s="335">
        <f t="shared" si="1"/>
        <v>7738.7181430000001</v>
      </c>
      <c r="G73" s="336">
        <f t="shared" si="0"/>
        <v>1.5651516733334228E-4</v>
      </c>
      <c r="H73" s="109">
        <v>3.4671669793621018E-2</v>
      </c>
      <c r="I73" s="110">
        <f t="shared" si="2"/>
        <v>5.4266421994749823E-6</v>
      </c>
      <c r="J73" s="110">
        <v>3.8449999999999998E-2</v>
      </c>
      <c r="K73" s="110">
        <f t="shared" si="3"/>
        <v>6.0180081839670105E-6</v>
      </c>
    </row>
    <row r="74" spans="2:11" ht="15" customHeight="1">
      <c r="B74" s="333" t="s">
        <v>1239</v>
      </c>
      <c r="C74" s="334" t="s">
        <v>1240</v>
      </c>
      <c r="D74" s="335">
        <v>194.01812000000001</v>
      </c>
      <c r="E74" s="335">
        <v>106.73</v>
      </c>
      <c r="F74" s="335">
        <f t="shared" si="1"/>
        <v>20707.553947600001</v>
      </c>
      <c r="G74" s="336">
        <f t="shared" si="0"/>
        <v>4.1880918923303741E-4</v>
      </c>
      <c r="H74" s="109">
        <v>2.6983978262906397E-2</v>
      </c>
      <c r="I74" s="110">
        <f t="shared" si="2"/>
        <v>1.1301138058569733E-5</v>
      </c>
      <c r="J74" s="110">
        <v>0.03</v>
      </c>
      <c r="K74" s="110">
        <f t="shared" si="3"/>
        <v>1.2564275676991121E-5</v>
      </c>
    </row>
    <row r="75" spans="2:11" ht="15" customHeight="1">
      <c r="B75" s="333" t="s">
        <v>146</v>
      </c>
      <c r="C75" s="334" t="s">
        <v>147</v>
      </c>
      <c r="D75" s="335">
        <v>147.63712000000001</v>
      </c>
      <c r="E75" s="335">
        <v>216.06</v>
      </c>
      <c r="F75" s="335">
        <f t="shared" si="1"/>
        <v>31898.476147200003</v>
      </c>
      <c r="G75" s="336">
        <f t="shared" si="0"/>
        <v>6.4514500200186912E-4</v>
      </c>
      <c r="H75" s="109" t="s">
        <v>4</v>
      </c>
      <c r="I75" s="110" t="str">
        <f t="shared" si="2"/>
        <v/>
      </c>
      <c r="J75" s="110">
        <v>3.4849999999999999E-2</v>
      </c>
      <c r="K75" s="110">
        <f t="shared" si="3"/>
        <v>2.2483303319765139E-5</v>
      </c>
    </row>
    <row r="76" spans="2:11" ht="15" customHeight="1">
      <c r="B76" s="333" t="s">
        <v>149</v>
      </c>
      <c r="C76" s="334" t="s">
        <v>150</v>
      </c>
      <c r="D76" s="335">
        <v>774.87843999999996</v>
      </c>
      <c r="E76" s="335">
        <v>178.24</v>
      </c>
      <c r="F76" s="335">
        <f t="shared" si="1"/>
        <v>138114.33314559999</v>
      </c>
      <c r="G76" s="336">
        <f t="shared" si="0"/>
        <v>2.7933551221231709E-3</v>
      </c>
      <c r="H76" s="109">
        <v>9.4254937163375224E-3</v>
      </c>
      <c r="I76" s="110">
        <f t="shared" si="2"/>
        <v>2.6328751151071179E-5</v>
      </c>
      <c r="J76" s="110">
        <v>0.14019999999999999</v>
      </c>
      <c r="K76" s="110">
        <f t="shared" si="3"/>
        <v>3.9162838812166852E-4</v>
      </c>
    </row>
    <row r="77" spans="2:11" ht="15" customHeight="1">
      <c r="B77" s="333" t="s">
        <v>151</v>
      </c>
      <c r="C77" s="334" t="s">
        <v>152</v>
      </c>
      <c r="D77" s="335">
        <v>992.06870000000004</v>
      </c>
      <c r="E77" s="335">
        <v>55.5</v>
      </c>
      <c r="F77" s="335">
        <f t="shared" si="1"/>
        <v>55059.812850000002</v>
      </c>
      <c r="G77" s="336">
        <f t="shared" si="0"/>
        <v>1.1135818183732834E-3</v>
      </c>
      <c r="H77" s="109">
        <v>1.6576576576576577E-2</v>
      </c>
      <c r="I77" s="110">
        <f t="shared" si="2"/>
        <v>1.8459374286548123E-5</v>
      </c>
      <c r="J77" s="110">
        <v>0.12089999999999999</v>
      </c>
      <c r="K77" s="110">
        <f t="shared" si="3"/>
        <v>1.3463204184132997E-4</v>
      </c>
    </row>
    <row r="78" spans="2:11" ht="15" customHeight="1">
      <c r="B78" s="333" t="s">
        <v>1160</v>
      </c>
      <c r="C78" s="334" t="s">
        <v>1161</v>
      </c>
      <c r="D78" s="335">
        <v>107.55988000000001</v>
      </c>
      <c r="E78" s="335">
        <v>89.48</v>
      </c>
      <c r="F78" s="335">
        <f t="shared" si="1"/>
        <v>9624.4580624000009</v>
      </c>
      <c r="G78" s="336">
        <f t="shared" si="0"/>
        <v>1.9465415800055342E-4</v>
      </c>
      <c r="H78" s="109" t="s">
        <v>4</v>
      </c>
      <c r="I78" s="110" t="str">
        <f t="shared" si="2"/>
        <v/>
      </c>
      <c r="J78" s="110">
        <v>3.6400000000000002E-2</v>
      </c>
      <c r="K78" s="110">
        <f t="shared" si="3"/>
        <v>7.0854113512201449E-6</v>
      </c>
    </row>
    <row r="79" spans="2:11" ht="15" customHeight="1">
      <c r="B79" s="333" t="s">
        <v>1230</v>
      </c>
      <c r="C79" s="334" t="s">
        <v>153</v>
      </c>
      <c r="D79" s="335">
        <v>155.23399000000001</v>
      </c>
      <c r="E79" s="335">
        <v>961.56</v>
      </c>
      <c r="F79" s="335">
        <f t="shared" si="1"/>
        <v>149266.79542439998</v>
      </c>
      <c r="G79" s="336">
        <f t="shared" ref="G79:G142" si="4">IF(AND(ISNUMBER($J79)), IF(AND($J79&lt;=20%,$J79&gt;0%), $F79/SUMIFS($F$15:$F$517,$J$15:$J$517, "&gt;"&amp;0%,$J$15:$J$517, "&lt;="&amp;20%),""),"")</f>
        <v>3.0189130850170743E-3</v>
      </c>
      <c r="H79" s="109">
        <v>2.3836266067640086E-2</v>
      </c>
      <c r="I79" s="110">
        <f t="shared" si="2"/>
        <v>7.1959615529547139E-5</v>
      </c>
      <c r="J79" s="110">
        <v>0.1202</v>
      </c>
      <c r="K79" s="110">
        <f t="shared" si="3"/>
        <v>3.6287335281905234E-4</v>
      </c>
    </row>
    <row r="80" spans="2:11" ht="15" customHeight="1">
      <c r="B80" s="333" t="s">
        <v>155</v>
      </c>
      <c r="C80" s="334" t="s">
        <v>156</v>
      </c>
      <c r="D80" s="335">
        <v>2042.07125</v>
      </c>
      <c r="E80" s="335">
        <v>57.62</v>
      </c>
      <c r="F80" s="335">
        <f t="shared" ref="F80:F143" si="5">IFERROR(D80*E80,"")</f>
        <v>117664.145425</v>
      </c>
      <c r="G80" s="336" t="str">
        <f t="shared" si="4"/>
        <v/>
      </c>
      <c r="H80" s="109">
        <v>4.3734814300590077E-2</v>
      </c>
      <c r="I80" s="110" t="str">
        <f t="shared" ref="I80:I143" si="6">IFERROR(G80*H80,"")</f>
        <v/>
      </c>
      <c r="J80" s="110">
        <v>0.26</v>
      </c>
      <c r="K80" s="110" t="str">
        <f t="shared" ref="K80:K143" si="7">IFERROR(G80*J80,"")</f>
        <v/>
      </c>
    </row>
    <row r="81" spans="2:11" ht="15" customHeight="1">
      <c r="B81" s="333" t="s">
        <v>148</v>
      </c>
      <c r="C81" s="334" t="s">
        <v>1447</v>
      </c>
      <c r="D81" s="335">
        <v>686.37905000000001</v>
      </c>
      <c r="E81" s="335">
        <v>144.61000000000001</v>
      </c>
      <c r="F81" s="335">
        <f t="shared" si="5"/>
        <v>99257.274420500005</v>
      </c>
      <c r="G81" s="336">
        <f t="shared" si="4"/>
        <v>2.0074731535517087E-3</v>
      </c>
      <c r="H81" s="109">
        <v>1.466012032362907E-2</v>
      </c>
      <c r="I81" s="110">
        <f t="shared" si="6"/>
        <v>2.9429797977523146E-5</v>
      </c>
      <c r="J81" s="110">
        <v>0.14050000000000001</v>
      </c>
      <c r="K81" s="110">
        <f t="shared" si="7"/>
        <v>2.820499780740151E-4</v>
      </c>
    </row>
    <row r="82" spans="2:11" ht="15" customHeight="1">
      <c r="B82" s="333" t="s">
        <v>157</v>
      </c>
      <c r="C82" s="334" t="s">
        <v>158</v>
      </c>
      <c r="D82" s="335">
        <v>115.6583</v>
      </c>
      <c r="E82" s="335">
        <v>136.94999999999999</v>
      </c>
      <c r="F82" s="335">
        <f t="shared" si="5"/>
        <v>15839.404184999998</v>
      </c>
      <c r="G82" s="336">
        <f t="shared" si="4"/>
        <v>3.2035111638200372E-4</v>
      </c>
      <c r="H82" s="109">
        <v>2.8477546549835708E-2</v>
      </c>
      <c r="I82" s="110">
        <f t="shared" si="6"/>
        <v>9.1228138290603471E-6</v>
      </c>
      <c r="J82" s="110">
        <v>9.5000000000000001E-2</v>
      </c>
      <c r="K82" s="110">
        <f t="shared" si="7"/>
        <v>3.0433356056290352E-5</v>
      </c>
    </row>
    <row r="83" spans="2:11" ht="15" customHeight="1">
      <c r="B83" s="333" t="s">
        <v>159</v>
      </c>
      <c r="C83" s="334" t="s">
        <v>160</v>
      </c>
      <c r="D83" s="335">
        <v>1398.3086800000001</v>
      </c>
      <c r="E83" s="335">
        <v>500.39</v>
      </c>
      <c r="F83" s="335">
        <f t="shared" si="5"/>
        <v>699699.68038520007</v>
      </c>
      <c r="G83" s="336">
        <f t="shared" si="4"/>
        <v>1.4151389226862517E-2</v>
      </c>
      <c r="H83" s="109" t="s">
        <v>4</v>
      </c>
      <c r="I83" s="110" t="str">
        <f t="shared" si="6"/>
        <v/>
      </c>
      <c r="J83" s="110">
        <v>9.5000000000000001E-2</v>
      </c>
      <c r="K83" s="110">
        <f t="shared" si="7"/>
        <v>1.3443819765519391E-3</v>
      </c>
    </row>
    <row r="84" spans="2:11" ht="15" customHeight="1">
      <c r="B84" s="333" t="s">
        <v>161</v>
      </c>
      <c r="C84" s="334" t="s">
        <v>162</v>
      </c>
      <c r="D84" s="335">
        <v>338.94783999999999</v>
      </c>
      <c r="E84" s="335">
        <v>64.150000000000006</v>
      </c>
      <c r="F84" s="335">
        <f t="shared" si="5"/>
        <v>21743.503936000001</v>
      </c>
      <c r="G84" s="336">
        <f t="shared" si="4"/>
        <v>4.3976122325046238E-4</v>
      </c>
      <c r="H84" s="109">
        <v>1.0288386593920498E-2</v>
      </c>
      <c r="I84" s="110">
        <f t="shared" si="6"/>
        <v>4.5244334738161366E-6</v>
      </c>
      <c r="J84" s="110">
        <v>7.1550000000000002E-2</v>
      </c>
      <c r="K84" s="110">
        <f t="shared" si="7"/>
        <v>3.1464915523570586E-5</v>
      </c>
    </row>
    <row r="85" spans="2:11" ht="15" customHeight="1">
      <c r="B85" s="333" t="s">
        <v>163</v>
      </c>
      <c r="C85" s="334" t="s">
        <v>164</v>
      </c>
      <c r="D85" s="335">
        <v>1486.35518</v>
      </c>
      <c r="E85" s="335">
        <v>42.68</v>
      </c>
      <c r="F85" s="335">
        <f t="shared" si="5"/>
        <v>63437.639082399997</v>
      </c>
      <c r="G85" s="336">
        <f t="shared" si="4"/>
        <v>1.2830229131933393E-3</v>
      </c>
      <c r="H85" s="109" t="s">
        <v>4</v>
      </c>
      <c r="I85" s="110" t="str">
        <f t="shared" si="6"/>
        <v/>
      </c>
      <c r="J85" s="110">
        <v>9.3049999999999994E-2</v>
      </c>
      <c r="K85" s="110">
        <f t="shared" si="7"/>
        <v>1.1938528207264021E-4</v>
      </c>
    </row>
    <row r="86" spans="2:11" ht="15" customHeight="1">
      <c r="B86" s="333" t="s">
        <v>1190</v>
      </c>
      <c r="C86" s="334" t="s">
        <v>1191</v>
      </c>
      <c r="D86" s="335">
        <v>742.87981000000002</v>
      </c>
      <c r="E86" s="335">
        <v>117.67</v>
      </c>
      <c r="F86" s="335">
        <f t="shared" si="5"/>
        <v>87414.667242700001</v>
      </c>
      <c r="G86" s="336">
        <f t="shared" si="4"/>
        <v>1.7679570463818124E-3</v>
      </c>
      <c r="H86" s="109">
        <v>3.9432310699413609E-2</v>
      </c>
      <c r="I86" s="110">
        <f t="shared" si="6"/>
        <v>6.9714631556145221E-5</v>
      </c>
      <c r="J86" s="110">
        <v>0.18995000000000001</v>
      </c>
      <c r="K86" s="110">
        <f t="shared" si="7"/>
        <v>3.3582344096022527E-4</v>
      </c>
    </row>
    <row r="87" spans="2:11" ht="15" customHeight="1">
      <c r="B87" s="333" t="s">
        <v>1208</v>
      </c>
      <c r="C87" s="334" t="s">
        <v>165</v>
      </c>
      <c r="D87" s="335">
        <v>159.47739000000001</v>
      </c>
      <c r="E87" s="335">
        <v>66.31</v>
      </c>
      <c r="F87" s="335">
        <f t="shared" si="5"/>
        <v>10574.945730900001</v>
      </c>
      <c r="G87" s="336">
        <f t="shared" si="4"/>
        <v>2.1387772109389606E-4</v>
      </c>
      <c r="H87" s="109">
        <v>4.2225908611069216E-2</v>
      </c>
      <c r="I87" s="110">
        <f t="shared" si="6"/>
        <v>9.0311811048546055E-6</v>
      </c>
      <c r="J87" s="110">
        <v>6.6500000000000014E-3</v>
      </c>
      <c r="K87" s="110">
        <f t="shared" si="7"/>
        <v>1.4222868452744092E-6</v>
      </c>
    </row>
    <row r="88" spans="2:11" ht="15" customHeight="1">
      <c r="B88" s="333" t="s">
        <v>166</v>
      </c>
      <c r="C88" s="334" t="s">
        <v>167</v>
      </c>
      <c r="D88" s="335">
        <v>1705.5769600000001</v>
      </c>
      <c r="E88" s="335">
        <v>139.96</v>
      </c>
      <c r="F88" s="335">
        <f t="shared" si="5"/>
        <v>238712.55132160004</v>
      </c>
      <c r="G88" s="336" t="str">
        <f t="shared" si="4"/>
        <v/>
      </c>
      <c r="H88" s="109">
        <v>1.7147756501857674E-2</v>
      </c>
      <c r="I88" s="110" t="str">
        <f t="shared" si="6"/>
        <v/>
      </c>
      <c r="J88" s="110">
        <v>0.21304999999999999</v>
      </c>
      <c r="K88" s="110" t="str">
        <f t="shared" si="7"/>
        <v/>
      </c>
    </row>
    <row r="89" spans="2:11" ht="15" customHeight="1">
      <c r="B89" s="333" t="s">
        <v>168</v>
      </c>
      <c r="C89" s="334" t="s">
        <v>169</v>
      </c>
      <c r="D89" s="335">
        <v>234.20586</v>
      </c>
      <c r="E89" s="335">
        <v>237.04429999999999</v>
      </c>
      <c r="F89" s="335">
        <f t="shared" si="5"/>
        <v>55517.164139597997</v>
      </c>
      <c r="G89" s="336">
        <f t="shared" si="4"/>
        <v>1.1228317241456366E-3</v>
      </c>
      <c r="H89" s="109">
        <v>8.7038583083415225E-3</v>
      </c>
      <c r="I89" s="110">
        <f t="shared" si="6"/>
        <v>9.7729682310744355E-6</v>
      </c>
      <c r="J89" s="110">
        <v>7.8550000000000009E-2</v>
      </c>
      <c r="K89" s="110">
        <f t="shared" si="7"/>
        <v>8.8198431931639759E-5</v>
      </c>
    </row>
    <row r="90" spans="2:11" ht="15" customHeight="1">
      <c r="B90" s="333" t="s">
        <v>170</v>
      </c>
      <c r="C90" s="334" t="s">
        <v>171</v>
      </c>
      <c r="D90" s="335">
        <v>830.58042</v>
      </c>
      <c r="E90" s="335">
        <v>73.349999999999994</v>
      </c>
      <c r="F90" s="335">
        <f t="shared" si="5"/>
        <v>60923.073806999993</v>
      </c>
      <c r="G90" s="336">
        <f t="shared" si="4"/>
        <v>1.2321659627814883E-3</v>
      </c>
      <c r="H90" s="109">
        <v>1.3087934560327199E-2</v>
      </c>
      <c r="I90" s="110">
        <f t="shared" si="6"/>
        <v>1.6126507488346679E-5</v>
      </c>
      <c r="J90" s="110">
        <v>0.11695000000000001</v>
      </c>
      <c r="K90" s="110">
        <f t="shared" si="7"/>
        <v>1.4410180934729507E-4</v>
      </c>
    </row>
    <row r="91" spans="2:11" ht="15" customHeight="1">
      <c r="B91" s="333" t="s">
        <v>1448</v>
      </c>
      <c r="C91" s="334" t="s">
        <v>1449</v>
      </c>
      <c r="D91" s="335">
        <v>37.004910000000002</v>
      </c>
      <c r="E91" s="335">
        <v>794.79</v>
      </c>
      <c r="F91" s="335">
        <f t="shared" si="5"/>
        <v>29411.132418900001</v>
      </c>
      <c r="G91" s="336">
        <f t="shared" si="4"/>
        <v>5.9483860594807837E-4</v>
      </c>
      <c r="H91" s="109">
        <v>3.271304369707722E-3</v>
      </c>
      <c r="I91" s="110">
        <f t="shared" si="6"/>
        <v>1.9458981309087987E-6</v>
      </c>
      <c r="J91" s="110">
        <v>0.13364999999999999</v>
      </c>
      <c r="K91" s="110">
        <f t="shared" si="7"/>
        <v>7.9500179684960671E-5</v>
      </c>
    </row>
    <row r="92" spans="2:11" ht="15" customHeight="1">
      <c r="B92" s="333" t="s">
        <v>172</v>
      </c>
      <c r="C92" s="334" t="s">
        <v>173</v>
      </c>
      <c r="D92" s="335">
        <v>460.59197999999998</v>
      </c>
      <c r="E92" s="335">
        <v>1064.9000000000001</v>
      </c>
      <c r="F92" s="335">
        <f t="shared" si="5"/>
        <v>490484.39950200001</v>
      </c>
      <c r="G92" s="336" t="str">
        <f t="shared" si="4"/>
        <v/>
      </c>
      <c r="H92" s="109">
        <v>6.122640623532725E-3</v>
      </c>
      <c r="I92" s="110" t="str">
        <f t="shared" si="6"/>
        <v/>
      </c>
      <c r="J92" s="110">
        <v>0.20544999999999999</v>
      </c>
      <c r="K92" s="110" t="str">
        <f t="shared" si="7"/>
        <v/>
      </c>
    </row>
    <row r="93" spans="2:11" ht="15" customHeight="1">
      <c r="B93" s="333" t="s">
        <v>174</v>
      </c>
      <c r="C93" s="334" t="s">
        <v>175</v>
      </c>
      <c r="D93" s="335">
        <v>387.86011000000002</v>
      </c>
      <c r="E93" s="335">
        <v>340.74</v>
      </c>
      <c r="F93" s="335">
        <f t="shared" si="5"/>
        <v>132159.4538814</v>
      </c>
      <c r="G93" s="336">
        <f t="shared" si="4"/>
        <v>2.6729180022715877E-3</v>
      </c>
      <c r="H93" s="109">
        <v>1.1973939073780596E-2</v>
      </c>
      <c r="I93" s="110">
        <f t="shared" si="6"/>
        <v>3.2005357308411336E-5</v>
      </c>
      <c r="J93" s="110">
        <v>5.8050000000000004E-2</v>
      </c>
      <c r="K93" s="110">
        <f t="shared" si="7"/>
        <v>1.5516289003186567E-4</v>
      </c>
    </row>
    <row r="94" spans="2:11" ht="15" customHeight="1">
      <c r="B94" s="333" t="s">
        <v>176</v>
      </c>
      <c r="C94" s="334" t="s">
        <v>177</v>
      </c>
      <c r="D94" s="335">
        <v>104.65378</v>
      </c>
      <c r="E94" s="335">
        <v>242.67</v>
      </c>
      <c r="F94" s="335">
        <f t="shared" si="5"/>
        <v>25396.332792599998</v>
      </c>
      <c r="G94" s="336">
        <f t="shared" si="4"/>
        <v>5.136394947117325E-4</v>
      </c>
      <c r="H94" s="109">
        <v>1.1867968846581778E-2</v>
      </c>
      <c r="I94" s="110">
        <f t="shared" si="6"/>
        <v>6.0958575216128469E-6</v>
      </c>
      <c r="J94" s="110">
        <v>0.13140000000000002</v>
      </c>
      <c r="K94" s="110">
        <f t="shared" si="7"/>
        <v>6.7492229605121656E-5</v>
      </c>
    </row>
    <row r="95" spans="2:11" ht="15" customHeight="1">
      <c r="B95" s="333" t="s">
        <v>178</v>
      </c>
      <c r="C95" s="334" t="s">
        <v>179</v>
      </c>
      <c r="D95" s="335">
        <v>292.81657999999999</v>
      </c>
      <c r="E95" s="335">
        <v>134.69</v>
      </c>
      <c r="F95" s="335">
        <f t="shared" si="5"/>
        <v>39439.465160200001</v>
      </c>
      <c r="G95" s="336">
        <f t="shared" si="4"/>
        <v>7.9766110808284884E-4</v>
      </c>
      <c r="H95" s="109" t="s">
        <v>4</v>
      </c>
      <c r="I95" s="110" t="str">
        <f t="shared" si="6"/>
        <v/>
      </c>
      <c r="J95" s="110">
        <v>0.13</v>
      </c>
      <c r="K95" s="110">
        <f t="shared" si="7"/>
        <v>1.0369594405077035E-4</v>
      </c>
    </row>
    <row r="96" spans="2:11" ht="15" customHeight="1">
      <c r="B96" s="333" t="s">
        <v>1059</v>
      </c>
      <c r="C96" s="334" t="s">
        <v>180</v>
      </c>
      <c r="D96" s="335">
        <v>436.45197999999999</v>
      </c>
      <c r="E96" s="335">
        <v>75.73</v>
      </c>
      <c r="F96" s="335">
        <f t="shared" si="5"/>
        <v>33052.508445400003</v>
      </c>
      <c r="G96" s="336" t="str">
        <f t="shared" si="4"/>
        <v/>
      </c>
      <c r="H96" s="109">
        <v>5.6120427835732206E-2</v>
      </c>
      <c r="I96" s="110" t="str">
        <f t="shared" si="6"/>
        <v/>
      </c>
      <c r="J96" s="110">
        <v>0.27600000000000002</v>
      </c>
      <c r="K96" s="110" t="str">
        <f t="shared" si="7"/>
        <v/>
      </c>
    </row>
    <row r="97" spans="2:11" ht="15" customHeight="1">
      <c r="B97" s="333" t="s">
        <v>1450</v>
      </c>
      <c r="C97" s="334" t="s">
        <v>181</v>
      </c>
      <c r="D97" s="335">
        <v>1369.64912</v>
      </c>
      <c r="E97" s="335">
        <v>28.57</v>
      </c>
      <c r="F97" s="335">
        <f t="shared" si="5"/>
        <v>39130.875358400001</v>
      </c>
      <c r="G97" s="336">
        <f t="shared" si="4"/>
        <v>7.914198955753512E-4</v>
      </c>
      <c r="H97" s="109">
        <v>2.1001050052502624E-2</v>
      </c>
      <c r="I97" s="110">
        <f t="shared" si="6"/>
        <v>1.6620648839524352E-5</v>
      </c>
      <c r="J97" s="110">
        <v>7.1550000000000002E-2</v>
      </c>
      <c r="K97" s="110">
        <f t="shared" si="7"/>
        <v>5.6626093528416379E-5</v>
      </c>
    </row>
    <row r="98" spans="2:11" ht="15" customHeight="1">
      <c r="B98" s="333" t="s">
        <v>182</v>
      </c>
      <c r="C98" s="334" t="s">
        <v>183</v>
      </c>
      <c r="D98" s="335">
        <v>275.81599999999997</v>
      </c>
      <c r="E98" s="335">
        <v>375.32</v>
      </c>
      <c r="F98" s="335">
        <f t="shared" si="5"/>
        <v>103519.26112</v>
      </c>
      <c r="G98" s="336">
        <f t="shared" si="4"/>
        <v>2.0936716103398148E-3</v>
      </c>
      <c r="H98" s="109" t="s">
        <v>4</v>
      </c>
      <c r="I98" s="110" t="str">
        <f t="shared" si="6"/>
        <v/>
      </c>
      <c r="J98" s="110">
        <v>0.15529999999999999</v>
      </c>
      <c r="K98" s="110">
        <f t="shared" si="7"/>
        <v>3.2514720108577322E-4</v>
      </c>
    </row>
    <row r="99" spans="2:11" ht="15" customHeight="1">
      <c r="B99" s="333" t="s">
        <v>184</v>
      </c>
      <c r="C99" s="334" t="s">
        <v>185</v>
      </c>
      <c r="D99" s="335">
        <v>127.75345</v>
      </c>
      <c r="E99" s="335">
        <v>140.63999999999999</v>
      </c>
      <c r="F99" s="335">
        <f t="shared" si="5"/>
        <v>17967.245207999997</v>
      </c>
      <c r="G99" s="336">
        <f t="shared" si="4"/>
        <v>3.6338658913337191E-4</v>
      </c>
      <c r="H99" s="109">
        <v>1.7918088737201368E-2</v>
      </c>
      <c r="I99" s="110">
        <f t="shared" si="6"/>
        <v>6.5111931500006924E-6</v>
      </c>
      <c r="J99" s="110">
        <v>9.6949999999999995E-2</v>
      </c>
      <c r="K99" s="110">
        <f t="shared" si="7"/>
        <v>3.5230329816480408E-5</v>
      </c>
    </row>
    <row r="100" spans="2:11" ht="15" customHeight="1">
      <c r="B100" s="333" t="s">
        <v>1052</v>
      </c>
      <c r="C100" s="334" t="s">
        <v>186</v>
      </c>
      <c r="D100" s="335">
        <v>362.29467</v>
      </c>
      <c r="E100" s="335">
        <v>248.37</v>
      </c>
      <c r="F100" s="335">
        <f t="shared" si="5"/>
        <v>89983.127187899998</v>
      </c>
      <c r="G100" s="336">
        <f t="shared" si="4"/>
        <v>1.8199040136551449E-3</v>
      </c>
      <c r="H100" s="109">
        <v>6.8687844747755359E-3</v>
      </c>
      <c r="I100" s="110">
        <f t="shared" si="6"/>
        <v>1.2500528434576144E-5</v>
      </c>
      <c r="J100" s="110">
        <v>0.14119999999999999</v>
      </c>
      <c r="K100" s="110">
        <f t="shared" si="7"/>
        <v>2.5697044672810647E-4</v>
      </c>
    </row>
    <row r="101" spans="2:11" ht="15" customHeight="1">
      <c r="B101" s="333" t="s">
        <v>187</v>
      </c>
      <c r="C101" s="334" t="s">
        <v>188</v>
      </c>
      <c r="D101" s="335">
        <v>153.62926999999999</v>
      </c>
      <c r="E101" s="335">
        <v>108.26</v>
      </c>
      <c r="F101" s="335">
        <f t="shared" si="5"/>
        <v>16631.904770199999</v>
      </c>
      <c r="G101" s="336">
        <f t="shared" si="4"/>
        <v>3.363793990267913E-4</v>
      </c>
      <c r="H101" s="109">
        <v>1.8474043968224642E-2</v>
      </c>
      <c r="I101" s="110">
        <f t="shared" si="6"/>
        <v>6.2142878076259238E-6</v>
      </c>
      <c r="J101" s="110">
        <v>5.7949999999999995E-2</v>
      </c>
      <c r="K101" s="110">
        <f t="shared" si="7"/>
        <v>1.9493186173602554E-5</v>
      </c>
    </row>
    <row r="102" spans="2:11" ht="15" customHeight="1">
      <c r="B102" s="333" t="s">
        <v>189</v>
      </c>
      <c r="C102" s="334" t="s">
        <v>190</v>
      </c>
      <c r="D102" s="335">
        <v>422.88193999999999</v>
      </c>
      <c r="E102" s="335">
        <v>70.069999999999993</v>
      </c>
      <c r="F102" s="335">
        <f t="shared" si="5"/>
        <v>29631.337535799998</v>
      </c>
      <c r="G102" s="336" t="str">
        <f t="shared" si="4"/>
        <v/>
      </c>
      <c r="H102" s="109">
        <v>2.6259454830883405E-2</v>
      </c>
      <c r="I102" s="110" t="str">
        <f t="shared" si="6"/>
        <v/>
      </c>
      <c r="J102" s="110">
        <v>0.24420000000000003</v>
      </c>
      <c r="K102" s="110" t="str">
        <f t="shared" si="7"/>
        <v/>
      </c>
    </row>
    <row r="103" spans="2:11" ht="15" customHeight="1">
      <c r="B103" s="333" t="s">
        <v>191</v>
      </c>
      <c r="C103" s="334" t="s">
        <v>192</v>
      </c>
      <c r="D103" s="335">
        <v>236.9436</v>
      </c>
      <c r="E103" s="335">
        <v>96.88</v>
      </c>
      <c r="F103" s="335">
        <f t="shared" si="5"/>
        <v>22955.095967999998</v>
      </c>
      <c r="G103" s="336">
        <f t="shared" si="4"/>
        <v>4.642656083597397E-4</v>
      </c>
      <c r="H103" s="109">
        <v>1.2696118909991743E-2</v>
      </c>
      <c r="I103" s="110">
        <f t="shared" si="6"/>
        <v>5.8943713695549121E-6</v>
      </c>
      <c r="J103" s="110">
        <v>0.1152</v>
      </c>
      <c r="K103" s="110">
        <f t="shared" si="7"/>
        <v>5.348339808304201E-5</v>
      </c>
    </row>
    <row r="104" spans="2:11" ht="15" customHeight="1">
      <c r="B104" s="333" t="s">
        <v>193</v>
      </c>
      <c r="C104" s="334" t="s">
        <v>194</v>
      </c>
      <c r="D104" s="335">
        <v>117.85041</v>
      </c>
      <c r="E104" s="335">
        <v>188.34</v>
      </c>
      <c r="F104" s="335">
        <f t="shared" si="5"/>
        <v>22195.946219400001</v>
      </c>
      <c r="G104" s="336">
        <f t="shared" si="4"/>
        <v>4.4891184463070801E-4</v>
      </c>
      <c r="H104" s="109">
        <v>1.3380057343102899E-2</v>
      </c>
      <c r="I104" s="110">
        <f t="shared" si="6"/>
        <v>6.0064662231569721E-6</v>
      </c>
      <c r="J104" s="110">
        <v>0.12470000000000001</v>
      </c>
      <c r="K104" s="110">
        <f t="shared" si="7"/>
        <v>5.5979307025449288E-5</v>
      </c>
    </row>
    <row r="105" spans="2:11" ht="15" customHeight="1">
      <c r="B105" s="333" t="s">
        <v>195</v>
      </c>
      <c r="C105" s="334" t="s">
        <v>196</v>
      </c>
      <c r="D105" s="335">
        <v>122.98454</v>
      </c>
      <c r="E105" s="335">
        <v>142.21</v>
      </c>
      <c r="F105" s="335">
        <f t="shared" si="5"/>
        <v>17489.631433400002</v>
      </c>
      <c r="G105" s="336">
        <f t="shared" si="4"/>
        <v>3.537268756677968E-4</v>
      </c>
      <c r="H105" s="109" t="s">
        <v>4</v>
      </c>
      <c r="I105" s="110" t="str">
        <f t="shared" si="6"/>
        <v/>
      </c>
      <c r="J105" s="110">
        <v>0.14385000000000001</v>
      </c>
      <c r="K105" s="110">
        <f t="shared" si="7"/>
        <v>5.0883611064812574E-5</v>
      </c>
    </row>
    <row r="106" spans="2:11" ht="15" customHeight="1">
      <c r="B106" s="333" t="s">
        <v>1148</v>
      </c>
      <c r="C106" s="334" t="s">
        <v>197</v>
      </c>
      <c r="D106" s="335">
        <v>264.5324</v>
      </c>
      <c r="E106" s="335">
        <v>275.68</v>
      </c>
      <c r="F106" s="335">
        <f t="shared" si="5"/>
        <v>72926.292031999998</v>
      </c>
      <c r="G106" s="336">
        <f t="shared" si="4"/>
        <v>1.4749304199317788E-3</v>
      </c>
      <c r="H106" s="109">
        <v>2.2634939059779455E-2</v>
      </c>
      <c r="I106" s="110">
        <f t="shared" si="6"/>
        <v>3.3384960172570736E-5</v>
      </c>
      <c r="J106" s="110">
        <v>7.400000000000001E-2</v>
      </c>
      <c r="K106" s="110">
        <f t="shared" si="7"/>
        <v>1.0914485107495164E-4</v>
      </c>
    </row>
    <row r="107" spans="2:11" ht="15" customHeight="1">
      <c r="B107" s="333" t="s">
        <v>1432</v>
      </c>
      <c r="C107" s="334" t="s">
        <v>1433</v>
      </c>
      <c r="D107" s="335">
        <v>141.55292</v>
      </c>
      <c r="E107" s="335">
        <v>490.56</v>
      </c>
      <c r="F107" s="335">
        <f t="shared" si="5"/>
        <v>69440.200435200008</v>
      </c>
      <c r="G107" s="336" t="str">
        <f t="shared" si="4"/>
        <v/>
      </c>
      <c r="H107" s="109" t="s">
        <v>4</v>
      </c>
      <c r="I107" s="110" t="str">
        <f t="shared" si="6"/>
        <v/>
      </c>
      <c r="J107" s="110">
        <v>0.39529999999999998</v>
      </c>
      <c r="K107" s="110" t="str">
        <f t="shared" si="7"/>
        <v/>
      </c>
    </row>
    <row r="108" spans="2:11" ht="15" customHeight="1">
      <c r="B108" s="333" t="s">
        <v>198</v>
      </c>
      <c r="C108" s="334" t="s">
        <v>199</v>
      </c>
      <c r="D108" s="335">
        <v>155.68620000000001</v>
      </c>
      <c r="E108" s="335">
        <v>185.14</v>
      </c>
      <c r="F108" s="335">
        <f t="shared" si="5"/>
        <v>28823.743068</v>
      </c>
      <c r="G108" s="336">
        <f t="shared" si="4"/>
        <v>5.8295868722677219E-4</v>
      </c>
      <c r="H108" s="109">
        <v>2.0308955385113969E-2</v>
      </c>
      <c r="I108" s="110">
        <f t="shared" si="6"/>
        <v>1.1839281970253126E-5</v>
      </c>
      <c r="J108" s="110">
        <v>0.17174999999999999</v>
      </c>
      <c r="K108" s="110">
        <f t="shared" si="7"/>
        <v>1.0012315453119812E-4</v>
      </c>
    </row>
    <row r="109" spans="2:11" ht="15" customHeight="1">
      <c r="B109" s="333" t="s">
        <v>200</v>
      </c>
      <c r="C109" s="334" t="s">
        <v>201</v>
      </c>
      <c r="D109" s="335">
        <v>800.18930999999998</v>
      </c>
      <c r="E109" s="335">
        <v>91.68</v>
      </c>
      <c r="F109" s="335">
        <f t="shared" si="5"/>
        <v>73361.3559408</v>
      </c>
      <c r="G109" s="336">
        <f t="shared" si="4"/>
        <v>1.4837295645999593E-3</v>
      </c>
      <c r="H109" s="109">
        <v>2.3123909249563698E-2</v>
      </c>
      <c r="I109" s="110">
        <f t="shared" si="6"/>
        <v>3.4309627802704116E-5</v>
      </c>
      <c r="J109" s="110">
        <v>7.6149999999999995E-2</v>
      </c>
      <c r="K109" s="110">
        <f t="shared" si="7"/>
        <v>1.1298600634428689E-4</v>
      </c>
    </row>
    <row r="110" spans="2:11" ht="15" customHeight="1">
      <c r="B110" s="333" t="s">
        <v>202</v>
      </c>
      <c r="C110" s="334" t="s">
        <v>203</v>
      </c>
      <c r="D110" s="335">
        <v>120.92135</v>
      </c>
      <c r="E110" s="335">
        <v>95.44</v>
      </c>
      <c r="F110" s="335">
        <f t="shared" si="5"/>
        <v>11540.733644</v>
      </c>
      <c r="G110" s="336">
        <f t="shared" si="4"/>
        <v>2.3341073082937749E-4</v>
      </c>
      <c r="H110" s="109">
        <v>5.1969823973176864E-2</v>
      </c>
      <c r="I110" s="110">
        <f t="shared" si="6"/>
        <v>1.2130314594653314E-5</v>
      </c>
      <c r="J110" s="110">
        <v>4.0100000000000004E-2</v>
      </c>
      <c r="K110" s="110">
        <f t="shared" si="7"/>
        <v>9.3597703062580378E-6</v>
      </c>
    </row>
    <row r="111" spans="2:11" ht="15" customHeight="1">
      <c r="B111" s="333" t="s">
        <v>204</v>
      </c>
      <c r="C111" s="334" t="s">
        <v>205</v>
      </c>
      <c r="D111" s="335">
        <v>3562.7841800000001</v>
      </c>
      <c r="E111" s="335">
        <v>24.22</v>
      </c>
      <c r="F111" s="335">
        <f t="shared" si="5"/>
        <v>86290.632839600003</v>
      </c>
      <c r="G111" s="336">
        <f t="shared" si="4"/>
        <v>1.7452235097109149E-3</v>
      </c>
      <c r="H111" s="109">
        <v>5.4500412881915775E-2</v>
      </c>
      <c r="I111" s="110">
        <f t="shared" si="6"/>
        <v>9.5115401850471003E-5</v>
      </c>
      <c r="J111" s="110">
        <v>2.9999999999999992E-3</v>
      </c>
      <c r="K111" s="110">
        <f t="shared" si="7"/>
        <v>5.2356705291327434E-6</v>
      </c>
    </row>
    <row r="112" spans="2:11" ht="15" customHeight="1">
      <c r="B112" s="333" t="s">
        <v>206</v>
      </c>
      <c r="C112" s="334" t="s">
        <v>207</v>
      </c>
      <c r="D112" s="335">
        <v>362.35620999999998</v>
      </c>
      <c r="E112" s="335">
        <v>220.83</v>
      </c>
      <c r="F112" s="335">
        <f t="shared" si="5"/>
        <v>80019.1218543</v>
      </c>
      <c r="G112" s="336">
        <f t="shared" si="4"/>
        <v>1.6183825299570509E-3</v>
      </c>
      <c r="H112" s="109">
        <v>2.3547525245664086E-2</v>
      </c>
      <c r="I112" s="110">
        <f t="shared" si="6"/>
        <v>3.8108903481305369E-5</v>
      </c>
      <c r="J112" s="110">
        <v>6.5099999999999991E-2</v>
      </c>
      <c r="K112" s="110">
        <f t="shared" si="7"/>
        <v>1.05356702700204E-4</v>
      </c>
    </row>
    <row r="113" spans="2:11" ht="15" customHeight="1">
      <c r="B113" s="333" t="s">
        <v>208</v>
      </c>
      <c r="C113" s="334" t="s">
        <v>209</v>
      </c>
      <c r="D113" s="335">
        <v>1282.7339999999999</v>
      </c>
      <c r="E113" s="335">
        <v>34</v>
      </c>
      <c r="F113" s="335">
        <f t="shared" si="5"/>
        <v>43612.955999999998</v>
      </c>
      <c r="G113" s="336">
        <f t="shared" si="4"/>
        <v>8.8206974076400263E-4</v>
      </c>
      <c r="H113" s="109" t="s">
        <v>4</v>
      </c>
      <c r="I113" s="110" t="str">
        <f t="shared" si="6"/>
        <v/>
      </c>
      <c r="J113" s="110">
        <v>8.8450000000000001E-2</v>
      </c>
      <c r="K113" s="110">
        <f t="shared" si="7"/>
        <v>7.8019068570576029E-5</v>
      </c>
    </row>
    <row r="114" spans="2:11" ht="15" customHeight="1">
      <c r="B114" s="333" t="s">
        <v>210</v>
      </c>
      <c r="C114" s="334" t="s">
        <v>211</v>
      </c>
      <c r="D114" s="335">
        <v>137.98907</v>
      </c>
      <c r="E114" s="335">
        <v>713.21</v>
      </c>
      <c r="F114" s="335">
        <f t="shared" si="5"/>
        <v>98415.184614700003</v>
      </c>
      <c r="G114" s="336">
        <f t="shared" si="4"/>
        <v>1.990441931529014E-3</v>
      </c>
      <c r="H114" s="109">
        <v>1.1216892640316316E-2</v>
      </c>
      <c r="I114" s="110">
        <f t="shared" si="6"/>
        <v>2.2326573452744789E-5</v>
      </c>
      <c r="J114" s="110">
        <v>0.16214999999999999</v>
      </c>
      <c r="K114" s="110">
        <f t="shared" si="7"/>
        <v>3.2275015919742961E-4</v>
      </c>
    </row>
    <row r="115" spans="2:11" ht="15" customHeight="1">
      <c r="B115" s="333" t="s">
        <v>212</v>
      </c>
      <c r="C115" s="334" t="s">
        <v>13</v>
      </c>
      <c r="D115" s="335">
        <v>308.9196</v>
      </c>
      <c r="E115" s="335">
        <v>76.5</v>
      </c>
      <c r="F115" s="335">
        <f t="shared" si="5"/>
        <v>23632.349399999999</v>
      </c>
      <c r="G115" s="336">
        <f t="shared" si="4"/>
        <v>4.7796302339383584E-4</v>
      </c>
      <c r="H115" s="109">
        <v>2.9803921568627448E-2</v>
      </c>
      <c r="I115" s="110">
        <f t="shared" si="6"/>
        <v>1.424517246193393E-5</v>
      </c>
      <c r="J115" s="110">
        <v>7.825E-2</v>
      </c>
      <c r="K115" s="110">
        <f t="shared" si="7"/>
        <v>3.7400606580567656E-5</v>
      </c>
    </row>
    <row r="116" spans="2:11" ht="15" customHeight="1">
      <c r="B116" s="333" t="s">
        <v>213</v>
      </c>
      <c r="C116" s="334" t="s">
        <v>214</v>
      </c>
      <c r="D116" s="335">
        <v>493.79700000000003</v>
      </c>
      <c r="E116" s="335">
        <v>64.19</v>
      </c>
      <c r="F116" s="335">
        <f t="shared" si="5"/>
        <v>31696.829430000002</v>
      </c>
      <c r="G116" s="336" t="str">
        <f t="shared" si="4"/>
        <v/>
      </c>
      <c r="H116" s="109" t="s">
        <v>4</v>
      </c>
      <c r="I116" s="110" t="str">
        <f t="shared" si="6"/>
        <v/>
      </c>
      <c r="J116" s="110">
        <v>0.28025</v>
      </c>
      <c r="K116" s="110" t="str">
        <f t="shared" si="7"/>
        <v/>
      </c>
    </row>
    <row r="117" spans="2:11" ht="15" customHeight="1">
      <c r="B117" s="333" t="s">
        <v>215</v>
      </c>
      <c r="C117" s="334" t="s">
        <v>12</v>
      </c>
      <c r="D117" s="335">
        <v>652.87157999999999</v>
      </c>
      <c r="E117" s="335">
        <v>44.04</v>
      </c>
      <c r="F117" s="335">
        <f t="shared" si="5"/>
        <v>28752.4643832</v>
      </c>
      <c r="G117" s="336">
        <f t="shared" si="4"/>
        <v>5.8151707957643239E-4</v>
      </c>
      <c r="H117" s="109">
        <v>2.0890099909173478E-2</v>
      </c>
      <c r="I117" s="110">
        <f t="shared" si="6"/>
        <v>1.2147949891242456E-5</v>
      </c>
      <c r="J117" s="110">
        <v>9.1749999999999998E-2</v>
      </c>
      <c r="K117" s="110">
        <f t="shared" si="7"/>
        <v>5.3354192051137672E-5</v>
      </c>
    </row>
    <row r="118" spans="2:11" ht="15" customHeight="1">
      <c r="B118" s="333" t="s">
        <v>216</v>
      </c>
      <c r="C118" s="334" t="s">
        <v>217</v>
      </c>
      <c r="D118" s="335">
        <v>622.29277999999999</v>
      </c>
      <c r="E118" s="335">
        <v>200.62</v>
      </c>
      <c r="F118" s="335">
        <f t="shared" si="5"/>
        <v>124844.37752360001</v>
      </c>
      <c r="G118" s="336">
        <f t="shared" si="4"/>
        <v>2.524970967757497E-3</v>
      </c>
      <c r="H118" s="109">
        <v>1.5950553284817068E-2</v>
      </c>
      <c r="I118" s="110">
        <f t="shared" si="6"/>
        <v>4.0274683963832078E-5</v>
      </c>
      <c r="J118" s="110">
        <v>0.1051</v>
      </c>
      <c r="K118" s="110">
        <f t="shared" si="7"/>
        <v>2.6537444871131292E-4</v>
      </c>
    </row>
    <row r="119" spans="2:11" ht="15" customHeight="1">
      <c r="B119" s="333" t="s">
        <v>1451</v>
      </c>
      <c r="C119" s="334" t="s">
        <v>1452</v>
      </c>
      <c r="D119" s="335">
        <v>195.63932</v>
      </c>
      <c r="E119" s="335">
        <v>394.47</v>
      </c>
      <c r="F119" s="335">
        <f t="shared" si="5"/>
        <v>77173.842560400008</v>
      </c>
      <c r="G119" s="336" t="str">
        <f t="shared" si="4"/>
        <v/>
      </c>
      <c r="H119" s="109" t="s">
        <v>4</v>
      </c>
      <c r="I119" s="110" t="str">
        <f t="shared" si="6"/>
        <v/>
      </c>
      <c r="J119" s="110">
        <v>0.30145</v>
      </c>
      <c r="K119" s="110" t="str">
        <f t="shared" si="7"/>
        <v/>
      </c>
    </row>
    <row r="120" spans="2:11" ht="15" customHeight="1">
      <c r="B120" s="333" t="s">
        <v>1247</v>
      </c>
      <c r="C120" s="334" t="s">
        <v>1248</v>
      </c>
      <c r="D120" s="335">
        <v>222.42688000000001</v>
      </c>
      <c r="E120" s="335">
        <v>146.19</v>
      </c>
      <c r="F120" s="335">
        <f t="shared" si="5"/>
        <v>32516.585587200003</v>
      </c>
      <c r="G120" s="336">
        <f t="shared" si="4"/>
        <v>6.576462329091386E-4</v>
      </c>
      <c r="H120" s="109" t="s">
        <v>4</v>
      </c>
      <c r="I120" s="110" t="str">
        <f t="shared" si="6"/>
        <v/>
      </c>
      <c r="J120" s="110">
        <v>0.17379999999999998</v>
      </c>
      <c r="K120" s="110">
        <f t="shared" si="7"/>
        <v>1.1429891527960827E-4</v>
      </c>
    </row>
    <row r="121" spans="2:11" ht="15" customHeight="1">
      <c r="B121" s="333" t="s">
        <v>218</v>
      </c>
      <c r="C121" s="334" t="s">
        <v>219</v>
      </c>
      <c r="D121" s="335">
        <v>195.03063</v>
      </c>
      <c r="E121" s="335">
        <v>71.709999999999994</v>
      </c>
      <c r="F121" s="335">
        <f t="shared" si="5"/>
        <v>13985.646477299999</v>
      </c>
      <c r="G121" s="336">
        <f t="shared" si="4"/>
        <v>2.8285896426394482E-4</v>
      </c>
      <c r="H121" s="109" t="s">
        <v>4</v>
      </c>
      <c r="I121" s="110" t="str">
        <f t="shared" si="6"/>
        <v/>
      </c>
      <c r="J121" s="110">
        <v>0.1313</v>
      </c>
      <c r="K121" s="110">
        <f t="shared" si="7"/>
        <v>3.7139382007855956E-5</v>
      </c>
    </row>
    <row r="122" spans="2:11" ht="15" customHeight="1">
      <c r="B122" s="333" t="s">
        <v>220</v>
      </c>
      <c r="C122" s="334" t="s">
        <v>221</v>
      </c>
      <c r="D122" s="335">
        <v>1218.85304</v>
      </c>
      <c r="E122" s="335">
        <v>103.96</v>
      </c>
      <c r="F122" s="335">
        <f t="shared" si="5"/>
        <v>126711.96203839999</v>
      </c>
      <c r="G122" s="336">
        <f t="shared" si="4"/>
        <v>2.5627427663217697E-3</v>
      </c>
      <c r="H122" s="109">
        <v>3.2320123124278573E-2</v>
      </c>
      <c r="I122" s="110">
        <f t="shared" si="6"/>
        <v>8.2828161743373862E-5</v>
      </c>
      <c r="J122" s="110">
        <v>0.09</v>
      </c>
      <c r="K122" s="110">
        <f t="shared" si="7"/>
        <v>2.3064684896895927E-4</v>
      </c>
    </row>
    <row r="123" spans="2:11" ht="15" customHeight="1">
      <c r="B123" s="333" t="s">
        <v>1205</v>
      </c>
      <c r="C123" s="334" t="s">
        <v>1206</v>
      </c>
      <c r="D123" s="335">
        <v>194.56106</v>
      </c>
      <c r="E123" s="335">
        <v>282.98</v>
      </c>
      <c r="F123" s="335">
        <f t="shared" si="5"/>
        <v>55056.8887588</v>
      </c>
      <c r="G123" s="336">
        <f t="shared" si="4"/>
        <v>1.1135226787825903E-3</v>
      </c>
      <c r="H123" s="109">
        <v>8.481164746625202E-3</v>
      </c>
      <c r="I123" s="110">
        <f t="shared" si="6"/>
        <v>9.4439692878585634E-6</v>
      </c>
      <c r="J123" s="110">
        <v>6.3149999999999998E-2</v>
      </c>
      <c r="K123" s="110">
        <f t="shared" si="7"/>
        <v>7.0318957165120573E-5</v>
      </c>
    </row>
    <row r="124" spans="2:11" ht="15" customHeight="1">
      <c r="B124" s="333" t="s">
        <v>222</v>
      </c>
      <c r="C124" s="334" t="s">
        <v>223</v>
      </c>
      <c r="D124" s="335">
        <v>443.47879999999998</v>
      </c>
      <c r="E124" s="335">
        <v>935.47</v>
      </c>
      <c r="F124" s="335">
        <f t="shared" si="5"/>
        <v>414861.113036</v>
      </c>
      <c r="G124" s="336">
        <f t="shared" si="4"/>
        <v>8.3905441866570594E-3</v>
      </c>
      <c r="H124" s="109">
        <v>6.2856104418099988E-3</v>
      </c>
      <c r="I124" s="110">
        <f t="shared" si="6"/>
        <v>5.2739692152119796E-5</v>
      </c>
      <c r="J124" s="110">
        <v>9.2799999999999994E-2</v>
      </c>
      <c r="K124" s="110">
        <f t="shared" si="7"/>
        <v>7.7864250052177503E-4</v>
      </c>
    </row>
    <row r="125" spans="2:11" ht="15" customHeight="1">
      <c r="B125" s="333" t="s">
        <v>1143</v>
      </c>
      <c r="C125" s="334" t="s">
        <v>1144</v>
      </c>
      <c r="D125" s="335">
        <v>65.361919999999998</v>
      </c>
      <c r="E125" s="335">
        <v>333.27</v>
      </c>
      <c r="F125" s="335">
        <f t="shared" si="5"/>
        <v>21783.167078399998</v>
      </c>
      <c r="G125" s="336">
        <f t="shared" si="4"/>
        <v>4.4056340821895321E-4</v>
      </c>
      <c r="H125" s="109" t="s">
        <v>4</v>
      </c>
      <c r="I125" s="110" t="str">
        <f t="shared" si="6"/>
        <v/>
      </c>
      <c r="J125" s="110">
        <v>0.10765</v>
      </c>
      <c r="K125" s="110">
        <f t="shared" si="7"/>
        <v>4.7426650894770309E-5</v>
      </c>
    </row>
    <row r="126" spans="2:11" ht="15" customHeight="1">
      <c r="B126" s="333" t="s">
        <v>224</v>
      </c>
      <c r="C126" s="334" t="s">
        <v>225</v>
      </c>
      <c r="D126" s="335">
        <v>925.81147999999996</v>
      </c>
      <c r="E126" s="335">
        <v>28.19</v>
      </c>
      <c r="F126" s="335">
        <f t="shared" si="5"/>
        <v>26098.625621200001</v>
      </c>
      <c r="G126" s="336">
        <f t="shared" si="4"/>
        <v>5.2784333022482227E-4</v>
      </c>
      <c r="H126" s="109" t="s">
        <v>4</v>
      </c>
      <c r="I126" s="110" t="str">
        <f t="shared" si="6"/>
        <v/>
      </c>
      <c r="J126" s="110">
        <v>0.14000000000000001</v>
      </c>
      <c r="K126" s="110">
        <f t="shared" si="7"/>
        <v>7.3898066231475128E-5</v>
      </c>
    </row>
    <row r="127" spans="2:11" ht="15" customHeight="1">
      <c r="B127" s="333" t="s">
        <v>1060</v>
      </c>
      <c r="C127" s="334" t="s">
        <v>1061</v>
      </c>
      <c r="D127" s="335">
        <v>100.51973</v>
      </c>
      <c r="E127" s="335">
        <v>114.49</v>
      </c>
      <c r="F127" s="335">
        <f t="shared" si="5"/>
        <v>11508.503887699999</v>
      </c>
      <c r="G127" s="336">
        <f t="shared" si="4"/>
        <v>2.3275888570371277E-4</v>
      </c>
      <c r="H127" s="109">
        <v>3.7033802078784178E-2</v>
      </c>
      <c r="I127" s="110">
        <f t="shared" si="6"/>
        <v>8.6199465052296466E-6</v>
      </c>
      <c r="J127" s="110">
        <v>3.9750000000000001E-2</v>
      </c>
      <c r="K127" s="110">
        <f t="shared" si="7"/>
        <v>9.2521657067225835E-6</v>
      </c>
    </row>
    <row r="128" spans="2:11" ht="15" customHeight="1">
      <c r="B128" s="333" t="s">
        <v>1434</v>
      </c>
      <c r="C128" s="334" t="s">
        <v>1435</v>
      </c>
      <c r="D128" s="335">
        <v>668.20021999999994</v>
      </c>
      <c r="E128" s="335">
        <v>107</v>
      </c>
      <c r="F128" s="335">
        <f t="shared" si="5"/>
        <v>71497.423539999989</v>
      </c>
      <c r="G128" s="336">
        <f t="shared" si="4"/>
        <v>1.4460316298492103E-3</v>
      </c>
      <c r="H128" s="109">
        <v>1.457943925233645E-2</v>
      </c>
      <c r="I128" s="110">
        <f t="shared" si="6"/>
        <v>2.1082330304343629E-5</v>
      </c>
      <c r="J128" s="110">
        <v>8.8950000000000001E-2</v>
      </c>
      <c r="K128" s="110">
        <f t="shared" si="7"/>
        <v>1.2862451347508724E-4</v>
      </c>
    </row>
    <row r="129" spans="2:11" ht="15" customHeight="1">
      <c r="B129" s="333" t="s">
        <v>226</v>
      </c>
      <c r="C129" s="334" t="s">
        <v>227</v>
      </c>
      <c r="D129" s="335">
        <v>48.167729999999999</v>
      </c>
      <c r="E129" s="335">
        <v>226.79</v>
      </c>
      <c r="F129" s="335">
        <f t="shared" si="5"/>
        <v>10923.9594867</v>
      </c>
      <c r="G129" s="336">
        <f t="shared" si="4"/>
        <v>2.2093650594447065E-4</v>
      </c>
      <c r="H129" s="109" t="s">
        <v>4</v>
      </c>
      <c r="I129" s="110" t="str">
        <f t="shared" si="6"/>
        <v/>
      </c>
      <c r="J129" s="110">
        <v>1.0950000000000005E-2</v>
      </c>
      <c r="K129" s="110">
        <f t="shared" si="7"/>
        <v>2.4192547400919547E-6</v>
      </c>
    </row>
    <row r="130" spans="2:11" ht="15" customHeight="1">
      <c r="B130" s="333" t="s">
        <v>1062</v>
      </c>
      <c r="C130" s="334" t="s">
        <v>228</v>
      </c>
      <c r="D130" s="335">
        <v>819</v>
      </c>
      <c r="E130" s="335">
        <v>156.66</v>
      </c>
      <c r="F130" s="335">
        <f t="shared" si="5"/>
        <v>128304.54</v>
      </c>
      <c r="G130" s="336">
        <f t="shared" si="4"/>
        <v>2.5949525718147745E-3</v>
      </c>
      <c r="H130" s="109">
        <v>1.1234520617898635E-2</v>
      </c>
      <c r="I130" s="110">
        <f t="shared" si="6"/>
        <v>2.9153048170522171E-5</v>
      </c>
      <c r="J130" s="110">
        <v>0.13919999999999999</v>
      </c>
      <c r="K130" s="110">
        <f t="shared" si="7"/>
        <v>3.6121739799661661E-4</v>
      </c>
    </row>
    <row r="131" spans="2:11" ht="15" customHeight="1">
      <c r="B131" s="333" t="s">
        <v>1201</v>
      </c>
      <c r="C131" s="334" t="s">
        <v>1202</v>
      </c>
      <c r="D131" s="335">
        <v>254.56482</v>
      </c>
      <c r="E131" s="335">
        <v>763.14</v>
      </c>
      <c r="F131" s="335">
        <f t="shared" si="5"/>
        <v>194268.5967348</v>
      </c>
      <c r="G131" s="336" t="str">
        <f t="shared" si="4"/>
        <v/>
      </c>
      <c r="H131" s="109" t="s">
        <v>4</v>
      </c>
      <c r="I131" s="110" t="str">
        <f t="shared" si="6"/>
        <v/>
      </c>
      <c r="J131" s="110">
        <v>0.20829999999999999</v>
      </c>
      <c r="K131" s="110" t="str">
        <f t="shared" si="7"/>
        <v/>
      </c>
    </row>
    <row r="132" spans="2:11" ht="15" customHeight="1">
      <c r="B132" s="333" t="s">
        <v>1053</v>
      </c>
      <c r="C132" s="334" t="s">
        <v>229</v>
      </c>
      <c r="D132" s="335">
        <v>3941.4346700000001</v>
      </c>
      <c r="E132" s="335">
        <v>117.46</v>
      </c>
      <c r="F132" s="335">
        <f t="shared" si="5"/>
        <v>462960.91633819998</v>
      </c>
      <c r="G132" s="336">
        <f t="shared" si="4"/>
        <v>9.3633601780695897E-3</v>
      </c>
      <c r="H132" s="109">
        <v>1.430274135876043E-2</v>
      </c>
      <c r="I132" s="110">
        <f t="shared" si="6"/>
        <v>1.3392171887584634E-4</v>
      </c>
      <c r="J132" s="110">
        <v>0.16044999999999998</v>
      </c>
      <c r="K132" s="110">
        <f t="shared" si="7"/>
        <v>1.5023511405712654E-3</v>
      </c>
    </row>
    <row r="133" spans="2:11" ht="15" customHeight="1">
      <c r="B133" s="333" t="s">
        <v>1089</v>
      </c>
      <c r="C133" s="334" t="s">
        <v>1090</v>
      </c>
      <c r="D133" s="335">
        <v>408.35572000000002</v>
      </c>
      <c r="E133" s="335">
        <v>28.32</v>
      </c>
      <c r="F133" s="335">
        <f t="shared" si="5"/>
        <v>11564.633990400001</v>
      </c>
      <c r="G133" s="336" t="str">
        <f t="shared" si="4"/>
        <v/>
      </c>
      <c r="H133" s="109" t="s">
        <v>4</v>
      </c>
      <c r="I133" s="110" t="str">
        <f t="shared" si="6"/>
        <v/>
      </c>
      <c r="J133" s="110">
        <v>0.37060000000000004</v>
      </c>
      <c r="K133" s="110" t="str">
        <f t="shared" si="7"/>
        <v/>
      </c>
    </row>
    <row r="134" spans="2:11" ht="15" customHeight="1">
      <c r="B134" s="333" t="s">
        <v>230</v>
      </c>
      <c r="C134" s="334" t="s">
        <v>231</v>
      </c>
      <c r="D134" s="335">
        <v>1858.13886</v>
      </c>
      <c r="E134" s="335">
        <v>47.53</v>
      </c>
      <c r="F134" s="335">
        <f t="shared" si="5"/>
        <v>88317.3400158</v>
      </c>
      <c r="G134" s="336">
        <f t="shared" si="4"/>
        <v>1.7862135557310764E-3</v>
      </c>
      <c r="H134" s="109">
        <v>1.1782032400589103E-2</v>
      </c>
      <c r="I134" s="110">
        <f t="shared" si="6"/>
        <v>2.1045225987995013E-5</v>
      </c>
      <c r="J134" s="110">
        <v>0.11280000000000001</v>
      </c>
      <c r="K134" s="110">
        <f t="shared" si="7"/>
        <v>2.0148488908646543E-4</v>
      </c>
    </row>
    <row r="135" spans="2:11" ht="15" customHeight="1">
      <c r="B135" s="333" t="s">
        <v>232</v>
      </c>
      <c r="C135" s="334" t="s">
        <v>233</v>
      </c>
      <c r="D135" s="335">
        <v>400.08712000000003</v>
      </c>
      <c r="E135" s="335">
        <v>170.08</v>
      </c>
      <c r="F135" s="335">
        <f t="shared" si="5"/>
        <v>68046.817369600016</v>
      </c>
      <c r="G135" s="336">
        <f t="shared" si="4"/>
        <v>1.3762433015780567E-3</v>
      </c>
      <c r="H135" s="109">
        <v>1.0583254938852303E-2</v>
      </c>
      <c r="I135" s="110">
        <f t="shared" si="6"/>
        <v>1.4565133718488368E-5</v>
      </c>
      <c r="J135" s="110">
        <v>0.17645</v>
      </c>
      <c r="K135" s="110">
        <f t="shared" si="7"/>
        <v>2.428381305634481E-4</v>
      </c>
    </row>
    <row r="136" spans="2:11" ht="15" customHeight="1">
      <c r="B136" s="333" t="s">
        <v>234</v>
      </c>
      <c r="C136" s="334" t="s">
        <v>235</v>
      </c>
      <c r="D136" s="335">
        <v>473.86946999999998</v>
      </c>
      <c r="E136" s="335">
        <v>38.729999999999997</v>
      </c>
      <c r="F136" s="335">
        <f t="shared" si="5"/>
        <v>18352.964573099998</v>
      </c>
      <c r="G136" s="336">
        <f t="shared" si="4"/>
        <v>3.7118774300107612E-4</v>
      </c>
      <c r="H136" s="109">
        <v>3.408210689388072E-2</v>
      </c>
      <c r="I136" s="110">
        <f t="shared" si="6"/>
        <v>1.2650860334661001E-5</v>
      </c>
      <c r="J136" s="110">
        <v>8.5000000000000006E-2</v>
      </c>
      <c r="K136" s="110">
        <f t="shared" si="7"/>
        <v>3.155095815509147E-5</v>
      </c>
    </row>
    <row r="137" spans="2:11" ht="15" customHeight="1">
      <c r="B137" s="333" t="s">
        <v>236</v>
      </c>
      <c r="C137" s="334" t="s">
        <v>237</v>
      </c>
      <c r="D137" s="335">
        <v>671.35649999999998</v>
      </c>
      <c r="E137" s="335">
        <v>84.69</v>
      </c>
      <c r="F137" s="335">
        <f t="shared" si="5"/>
        <v>56857.181984999996</v>
      </c>
      <c r="G137" s="336">
        <f t="shared" si="4"/>
        <v>1.1499335145749045E-3</v>
      </c>
      <c r="H137" s="109">
        <v>8.5015940488841653E-3</v>
      </c>
      <c r="I137" s="110">
        <f t="shared" si="6"/>
        <v>9.7762679241224606E-6</v>
      </c>
      <c r="J137" s="110">
        <v>0.11474999999999999</v>
      </c>
      <c r="K137" s="110">
        <f t="shared" si="7"/>
        <v>1.3195487079747028E-4</v>
      </c>
    </row>
    <row r="138" spans="2:11" ht="15" customHeight="1">
      <c r="B138" s="333" t="s">
        <v>1436</v>
      </c>
      <c r="C138" s="334" t="s">
        <v>1437</v>
      </c>
      <c r="D138" s="335">
        <v>716.28839000000005</v>
      </c>
      <c r="E138" s="335">
        <v>65.819999999999993</v>
      </c>
      <c r="F138" s="335">
        <f t="shared" si="5"/>
        <v>47146.101829799998</v>
      </c>
      <c r="G138" s="336">
        <f t="shared" si="4"/>
        <v>9.535274293043782E-4</v>
      </c>
      <c r="H138" s="109" t="s">
        <v>4</v>
      </c>
      <c r="I138" s="110" t="str">
        <f t="shared" si="6"/>
        <v/>
      </c>
      <c r="J138" s="110">
        <v>6.3750000000000001E-2</v>
      </c>
      <c r="K138" s="110">
        <f t="shared" si="7"/>
        <v>6.0787373618154114E-5</v>
      </c>
    </row>
    <row r="139" spans="2:11" ht="15" customHeight="1">
      <c r="B139" s="333" t="s">
        <v>238</v>
      </c>
      <c r="C139" s="334" t="s">
        <v>239</v>
      </c>
      <c r="D139" s="335">
        <v>1275.92731</v>
      </c>
      <c r="E139" s="335">
        <v>103.45</v>
      </c>
      <c r="F139" s="335">
        <f t="shared" si="5"/>
        <v>131994.68021950001</v>
      </c>
      <c r="G139" s="336">
        <f t="shared" si="4"/>
        <v>2.6695854636278678E-3</v>
      </c>
      <c r="H139" s="109">
        <v>2.5712904784920252E-2</v>
      </c>
      <c r="I139" s="110">
        <f t="shared" si="6"/>
        <v>6.8642796841470545E-5</v>
      </c>
      <c r="J139" s="110">
        <v>0.11715</v>
      </c>
      <c r="K139" s="110">
        <f t="shared" si="7"/>
        <v>3.1274193706400474E-4</v>
      </c>
    </row>
    <row r="140" spans="2:11" ht="15" customHeight="1">
      <c r="B140" s="333" t="s">
        <v>240</v>
      </c>
      <c r="C140" s="334" t="s">
        <v>241</v>
      </c>
      <c r="D140" s="335">
        <v>1991.59773</v>
      </c>
      <c r="E140" s="335">
        <v>165.76</v>
      </c>
      <c r="F140" s="335">
        <f t="shared" si="5"/>
        <v>330127.23972479999</v>
      </c>
      <c r="G140" s="336">
        <f t="shared" si="4"/>
        <v>6.6768060565119709E-3</v>
      </c>
      <c r="H140" s="109">
        <v>4.2953667953667958E-2</v>
      </c>
      <c r="I140" s="110">
        <f t="shared" si="6"/>
        <v>2.867933103424544E-4</v>
      </c>
      <c r="J140" s="110">
        <v>0.19239999999999999</v>
      </c>
      <c r="K140" s="110">
        <f t="shared" si="7"/>
        <v>1.2846174852729031E-3</v>
      </c>
    </row>
    <row r="141" spans="2:11" ht="15" customHeight="1">
      <c r="B141" s="333" t="s">
        <v>242</v>
      </c>
      <c r="C141" s="334" t="s">
        <v>15</v>
      </c>
      <c r="D141" s="335">
        <v>879.45540000000005</v>
      </c>
      <c r="E141" s="335">
        <v>68.290000000000006</v>
      </c>
      <c r="F141" s="335">
        <f t="shared" si="5"/>
        <v>60058.009266000008</v>
      </c>
      <c r="G141" s="336">
        <f t="shared" si="4"/>
        <v>1.214670077948E-3</v>
      </c>
      <c r="H141" s="109">
        <v>3.9097964562893536E-2</v>
      </c>
      <c r="I141" s="110">
        <f t="shared" si="6"/>
        <v>4.7491127663218033E-5</v>
      </c>
      <c r="J141" s="110">
        <v>4.5499999999999999E-2</v>
      </c>
      <c r="K141" s="110">
        <f t="shared" si="7"/>
        <v>5.5267488546633999E-5</v>
      </c>
    </row>
    <row r="142" spans="2:11" ht="15" customHeight="1">
      <c r="B142" s="333" t="s">
        <v>243</v>
      </c>
      <c r="C142" s="334" t="s">
        <v>244</v>
      </c>
      <c r="D142" s="335">
        <v>656.99433999999997</v>
      </c>
      <c r="E142" s="335">
        <v>93.66</v>
      </c>
      <c r="F142" s="335">
        <f t="shared" si="5"/>
        <v>61534.089884399997</v>
      </c>
      <c r="G142" s="336">
        <f t="shared" si="4"/>
        <v>1.2445237308033315E-3</v>
      </c>
      <c r="H142" s="109">
        <v>9.182148195601111E-3</v>
      </c>
      <c r="I142" s="110">
        <f t="shared" si="6"/>
        <v>1.1427401329178573E-5</v>
      </c>
      <c r="J142" s="110">
        <v>7.7249999999999999E-2</v>
      </c>
      <c r="K142" s="110">
        <f t="shared" si="7"/>
        <v>9.6139458204557354E-5</v>
      </c>
    </row>
    <row r="143" spans="2:11" ht="15" customHeight="1">
      <c r="B143" s="333" t="s">
        <v>1183</v>
      </c>
      <c r="C143" s="334" t="s">
        <v>1184</v>
      </c>
      <c r="D143" s="335">
        <v>411.33661000000001</v>
      </c>
      <c r="E143" s="335">
        <v>184.53</v>
      </c>
      <c r="F143" s="335">
        <f t="shared" si="5"/>
        <v>75903.944643299998</v>
      </c>
      <c r="G143" s="336" t="str">
        <f t="shared" ref="G143:G206" si="8">IF(AND(ISNUMBER($J143)), IF(AND($J143&lt;=20%,$J143&gt;0%), $F143/SUMIFS($F$15:$F$517,$J$15:$J$517, "&gt;"&amp;0%,$J$15:$J$517, "&lt;="&amp;20%),""),"")</f>
        <v/>
      </c>
      <c r="H143" s="109" t="s">
        <v>4</v>
      </c>
      <c r="I143" s="110" t="str">
        <f t="shared" si="6"/>
        <v/>
      </c>
      <c r="J143" s="110">
        <v>0.24709999999999999</v>
      </c>
      <c r="K143" s="110" t="str">
        <f t="shared" si="7"/>
        <v/>
      </c>
    </row>
    <row r="144" spans="2:11" ht="15" customHeight="1">
      <c r="B144" s="333" t="s">
        <v>245</v>
      </c>
      <c r="C144" s="334" t="s">
        <v>246</v>
      </c>
      <c r="D144" s="335">
        <v>136.64044000000001</v>
      </c>
      <c r="E144" s="335">
        <v>135.63999999999999</v>
      </c>
      <c r="F144" s="335">
        <f t="shared" ref="F144:F207" si="9">IFERROR(D144*E144,"")</f>
        <v>18533.909281600001</v>
      </c>
      <c r="G144" s="336">
        <f t="shared" si="8"/>
        <v>3.748473402115751E-4</v>
      </c>
      <c r="H144" s="109">
        <v>1.7693895606015926E-2</v>
      </c>
      <c r="I144" s="110">
        <f t="shared" ref="I144:I207" si="10">IFERROR(G144*H144,"")</f>
        <v>6.6325097058963459E-6</v>
      </c>
      <c r="J144" s="110">
        <v>0.14550000000000002</v>
      </c>
      <c r="K144" s="110">
        <f t="shared" ref="K144:K207" si="11">IFERROR(G144*J144,"")</f>
        <v>5.454028800078418E-5</v>
      </c>
    </row>
    <row r="145" spans="2:11" ht="15" customHeight="1">
      <c r="B145" s="333" t="s">
        <v>1210</v>
      </c>
      <c r="C145" s="334" t="s">
        <v>1211</v>
      </c>
      <c r="D145" s="335">
        <v>330.82580000000002</v>
      </c>
      <c r="E145" s="335">
        <v>260.36</v>
      </c>
      <c r="F145" s="335">
        <f t="shared" si="9"/>
        <v>86133.805288000003</v>
      </c>
      <c r="G145" s="336">
        <f t="shared" si="8"/>
        <v>1.7420516807299933E-3</v>
      </c>
      <c r="H145" s="109" t="s">
        <v>4</v>
      </c>
      <c r="I145" s="110" t="str">
        <f t="shared" si="10"/>
        <v/>
      </c>
      <c r="J145" s="110">
        <v>0.15329999999999999</v>
      </c>
      <c r="K145" s="110">
        <f t="shared" si="11"/>
        <v>2.6705652265590797E-4</v>
      </c>
    </row>
    <row r="146" spans="2:11" ht="15" customHeight="1">
      <c r="B146" s="333" t="s">
        <v>247</v>
      </c>
      <c r="C146" s="334" t="s">
        <v>248</v>
      </c>
      <c r="D146" s="335">
        <v>269.93743000000001</v>
      </c>
      <c r="E146" s="335">
        <v>634.33000000000004</v>
      </c>
      <c r="F146" s="335">
        <f t="shared" si="9"/>
        <v>171229.40997190002</v>
      </c>
      <c r="G146" s="336">
        <f t="shared" si="8"/>
        <v>3.463105808858427E-3</v>
      </c>
      <c r="H146" s="109">
        <v>1.0215502971639367E-2</v>
      </c>
      <c r="I146" s="110">
        <f t="shared" si="10"/>
        <v>3.5377367681494819E-5</v>
      </c>
      <c r="J146" s="110">
        <v>9.1550000000000006E-2</v>
      </c>
      <c r="K146" s="110">
        <f t="shared" si="11"/>
        <v>3.17047336800989E-4</v>
      </c>
    </row>
    <row r="147" spans="2:11" ht="15" customHeight="1">
      <c r="B147" s="333" t="s">
        <v>1241</v>
      </c>
      <c r="C147" s="334" t="s">
        <v>1242</v>
      </c>
      <c r="D147" s="335">
        <v>138.88095999999999</v>
      </c>
      <c r="E147" s="335">
        <v>99.29</v>
      </c>
      <c r="F147" s="335">
        <f t="shared" si="9"/>
        <v>13789.4905184</v>
      </c>
      <c r="G147" s="336">
        <f t="shared" si="8"/>
        <v>2.7889172031432037E-4</v>
      </c>
      <c r="H147" s="109" t="s">
        <v>4</v>
      </c>
      <c r="I147" s="110" t="str">
        <f t="shared" si="10"/>
        <v/>
      </c>
      <c r="J147" s="110">
        <v>0.11144999999999999</v>
      </c>
      <c r="K147" s="110">
        <f t="shared" si="11"/>
        <v>3.1082482229031004E-5</v>
      </c>
    </row>
    <row r="148" spans="2:11" ht="15" customHeight="1">
      <c r="B148" s="333" t="s">
        <v>1174</v>
      </c>
      <c r="C148" s="334" t="s">
        <v>1175</v>
      </c>
      <c r="D148" s="335">
        <v>325.04669000000001</v>
      </c>
      <c r="E148" s="335">
        <v>431.46</v>
      </c>
      <c r="F148" s="335">
        <f t="shared" si="9"/>
        <v>140244.6448674</v>
      </c>
      <c r="G148" s="336" t="str">
        <f t="shared" si="8"/>
        <v/>
      </c>
      <c r="H148" s="109">
        <v>5.8406341259908219E-3</v>
      </c>
      <c r="I148" s="110" t="str">
        <f t="shared" si="10"/>
        <v/>
      </c>
      <c r="J148" s="110">
        <v>0.22100000000000003</v>
      </c>
      <c r="K148" s="110" t="str">
        <f t="shared" si="11"/>
        <v/>
      </c>
    </row>
    <row r="149" spans="2:11" ht="15" customHeight="1">
      <c r="B149" s="333" t="s">
        <v>249</v>
      </c>
      <c r="C149" s="334" t="s">
        <v>250</v>
      </c>
      <c r="D149" s="335">
        <v>220.58664999999999</v>
      </c>
      <c r="E149" s="335">
        <v>115.11</v>
      </c>
      <c r="F149" s="335">
        <f t="shared" si="9"/>
        <v>25391.7292815</v>
      </c>
      <c r="G149" s="336">
        <f t="shared" si="8"/>
        <v>5.1354638894191072E-4</v>
      </c>
      <c r="H149" s="109">
        <v>2.0502128398922768E-2</v>
      </c>
      <c r="I149" s="110">
        <f t="shared" si="10"/>
        <v>1.0528794004890186E-5</v>
      </c>
      <c r="J149" s="110">
        <v>9.4E-2</v>
      </c>
      <c r="K149" s="110">
        <f t="shared" si="11"/>
        <v>4.8273360560539606E-5</v>
      </c>
    </row>
    <row r="150" spans="2:11" ht="15" customHeight="1">
      <c r="B150" s="333" t="s">
        <v>251</v>
      </c>
      <c r="C150" s="334" t="s">
        <v>252</v>
      </c>
      <c r="D150" s="335">
        <v>110.69643000000001</v>
      </c>
      <c r="E150" s="335">
        <v>211.95</v>
      </c>
      <c r="F150" s="335">
        <f t="shared" si="9"/>
        <v>23462.108338499998</v>
      </c>
      <c r="G150" s="336">
        <f t="shared" si="8"/>
        <v>4.7451990688082777E-4</v>
      </c>
      <c r="H150" s="109">
        <v>1.6230242981835338E-2</v>
      </c>
      <c r="I150" s="110">
        <f t="shared" si="10"/>
        <v>7.7015733883937125E-6</v>
      </c>
      <c r="J150" s="110">
        <v>9.0200000000000002E-2</v>
      </c>
      <c r="K150" s="110">
        <f t="shared" si="11"/>
        <v>4.2801695600650667E-5</v>
      </c>
    </row>
    <row r="151" spans="2:11" ht="15" customHeight="1">
      <c r="B151" s="333" t="s">
        <v>253</v>
      </c>
      <c r="C151" s="334" t="s">
        <v>254</v>
      </c>
      <c r="D151" s="335">
        <v>283.57961</v>
      </c>
      <c r="E151" s="335">
        <v>162.88</v>
      </c>
      <c r="F151" s="335">
        <f t="shared" si="9"/>
        <v>46189.446876800001</v>
      </c>
      <c r="G151" s="336">
        <f t="shared" si="8"/>
        <v>9.3417913320646391E-4</v>
      </c>
      <c r="H151" s="109">
        <v>1.1051080550098232E-2</v>
      </c>
      <c r="I151" s="110">
        <f t="shared" si="10"/>
        <v>1.0323688849285578E-5</v>
      </c>
      <c r="J151" s="110">
        <v>7.6200000000000004E-2</v>
      </c>
      <c r="K151" s="110">
        <f t="shared" si="11"/>
        <v>7.1184449950332555E-5</v>
      </c>
    </row>
    <row r="152" spans="2:11" ht="15" customHeight="1">
      <c r="B152" s="333" t="s">
        <v>255</v>
      </c>
      <c r="C152" s="334" t="s">
        <v>256</v>
      </c>
      <c r="D152" s="335">
        <v>707.77062999999998</v>
      </c>
      <c r="E152" s="335">
        <v>190.48</v>
      </c>
      <c r="F152" s="335">
        <f t="shared" si="9"/>
        <v>134816.14960239999</v>
      </c>
      <c r="G152" s="336">
        <f t="shared" si="8"/>
        <v>2.7266495334686775E-3</v>
      </c>
      <c r="H152" s="109">
        <v>8.3998320033599333E-3</v>
      </c>
      <c r="I152" s="110">
        <f t="shared" si="10"/>
        <v>2.2903398013176627E-5</v>
      </c>
      <c r="J152" s="110">
        <v>8.3699999999999997E-2</v>
      </c>
      <c r="K152" s="110">
        <f t="shared" si="11"/>
        <v>2.2822056595132829E-4</v>
      </c>
    </row>
    <row r="153" spans="2:11" ht="15" customHeight="1">
      <c r="B153" s="333" t="s">
        <v>257</v>
      </c>
      <c r="C153" s="334" t="s">
        <v>258</v>
      </c>
      <c r="D153" s="335">
        <v>1736.51142</v>
      </c>
      <c r="E153" s="335">
        <v>96.25</v>
      </c>
      <c r="F153" s="335">
        <f t="shared" si="9"/>
        <v>167139.22417500001</v>
      </c>
      <c r="G153" s="336">
        <f t="shared" si="8"/>
        <v>3.3803820162875177E-3</v>
      </c>
      <c r="H153" s="109">
        <v>1.5584415584415584E-2</v>
      </c>
      <c r="I153" s="110">
        <f t="shared" si="10"/>
        <v>5.268127817590937E-5</v>
      </c>
      <c r="J153" s="110">
        <v>8.3350000000000007E-2</v>
      </c>
      <c r="K153" s="110">
        <f t="shared" si="11"/>
        <v>2.8175484105756463E-4</v>
      </c>
    </row>
    <row r="154" spans="2:11" ht="15" customHeight="1">
      <c r="B154" s="333" t="s">
        <v>259</v>
      </c>
      <c r="C154" s="334" t="s">
        <v>260</v>
      </c>
      <c r="D154" s="335">
        <v>351.40607</v>
      </c>
      <c r="E154" s="335">
        <v>179.58</v>
      </c>
      <c r="F154" s="335">
        <f t="shared" si="9"/>
        <v>63105.502050600007</v>
      </c>
      <c r="G154" s="336">
        <f t="shared" si="8"/>
        <v>1.2763054591978353E-3</v>
      </c>
      <c r="H154" s="109">
        <v>2.717451832052567E-2</v>
      </c>
      <c r="I154" s="110">
        <f t="shared" si="10"/>
        <v>3.4682986083558501E-5</v>
      </c>
      <c r="J154" s="110">
        <v>4.8199999999999993E-2</v>
      </c>
      <c r="K154" s="110">
        <f t="shared" si="11"/>
        <v>6.1517923133335656E-5</v>
      </c>
    </row>
    <row r="155" spans="2:11" ht="15" customHeight="1">
      <c r="B155" s="333" t="s">
        <v>261</v>
      </c>
      <c r="C155" s="334" t="s">
        <v>262</v>
      </c>
      <c r="D155" s="335">
        <v>192.17458999999999</v>
      </c>
      <c r="E155" s="335">
        <v>120.95</v>
      </c>
      <c r="F155" s="335">
        <f t="shared" si="9"/>
        <v>23243.516660500001</v>
      </c>
      <c r="G155" s="336">
        <f t="shared" si="8"/>
        <v>4.7009890169267621E-4</v>
      </c>
      <c r="H155" s="109" t="s">
        <v>4</v>
      </c>
      <c r="I155" s="110" t="str">
        <f t="shared" si="10"/>
        <v/>
      </c>
      <c r="J155" s="110">
        <v>0.14530000000000001</v>
      </c>
      <c r="K155" s="110">
        <f t="shared" si="11"/>
        <v>6.8305370415945859E-5</v>
      </c>
    </row>
    <row r="156" spans="2:11" ht="15" customHeight="1">
      <c r="B156" s="333" t="s">
        <v>609</v>
      </c>
      <c r="C156" s="334" t="s">
        <v>1178</v>
      </c>
      <c r="D156" s="335">
        <v>689.41970000000003</v>
      </c>
      <c r="E156" s="335">
        <v>21.4</v>
      </c>
      <c r="F156" s="335">
        <f t="shared" si="9"/>
        <v>14753.58158</v>
      </c>
      <c r="G156" s="336">
        <f t="shared" si="8"/>
        <v>2.9839041131748018E-4</v>
      </c>
      <c r="H156" s="109">
        <v>5.7009345794392527E-2</v>
      </c>
      <c r="I156" s="110">
        <f t="shared" si="10"/>
        <v>1.7011042140529246E-5</v>
      </c>
      <c r="J156" s="110">
        <v>6.334999999999999E-2</v>
      </c>
      <c r="K156" s="110">
        <f t="shared" si="11"/>
        <v>1.8903032556962367E-5</v>
      </c>
    </row>
    <row r="157" spans="2:11" ht="15" customHeight="1">
      <c r="B157" s="333" t="s">
        <v>263</v>
      </c>
      <c r="C157" s="334" t="s">
        <v>264</v>
      </c>
      <c r="D157" s="335">
        <v>134.66140999999999</v>
      </c>
      <c r="E157" s="335">
        <v>224.28</v>
      </c>
      <c r="F157" s="335">
        <f t="shared" si="9"/>
        <v>30201.861034799997</v>
      </c>
      <c r="G157" s="336">
        <f t="shared" si="8"/>
        <v>6.1083105060699087E-4</v>
      </c>
      <c r="H157" s="109">
        <v>9.2741216336721961E-3</v>
      </c>
      <c r="I157" s="110">
        <f t="shared" si="10"/>
        <v>5.6649214609530104E-6</v>
      </c>
      <c r="J157" s="110">
        <v>0.19089999999999999</v>
      </c>
      <c r="K157" s="110">
        <f t="shared" si="11"/>
        <v>1.1660764756087456E-4</v>
      </c>
    </row>
    <row r="158" spans="2:11" ht="15" customHeight="1">
      <c r="B158" s="333" t="s">
        <v>265</v>
      </c>
      <c r="C158" s="334" t="s">
        <v>266</v>
      </c>
      <c r="D158" s="335">
        <v>720.74144000000001</v>
      </c>
      <c r="E158" s="335">
        <v>27.36</v>
      </c>
      <c r="F158" s="335">
        <f t="shared" si="9"/>
        <v>19719.485798400001</v>
      </c>
      <c r="G158" s="336" t="str">
        <f t="shared" si="8"/>
        <v/>
      </c>
      <c r="H158" s="109">
        <v>5.1169590643274851E-2</v>
      </c>
      <c r="I158" s="110" t="str">
        <f t="shared" si="10"/>
        <v/>
      </c>
      <c r="J158" s="110">
        <v>0.30379999999999996</v>
      </c>
      <c r="K158" s="110" t="str">
        <f t="shared" si="11"/>
        <v/>
      </c>
    </row>
    <row r="159" spans="2:11" ht="15" customHeight="1">
      <c r="B159" s="333" t="s">
        <v>267</v>
      </c>
      <c r="C159" s="334" t="s">
        <v>268</v>
      </c>
      <c r="D159" s="335">
        <v>33.261870000000002</v>
      </c>
      <c r="E159" s="335">
        <v>296.04000000000002</v>
      </c>
      <c r="F159" s="335">
        <f t="shared" si="9"/>
        <v>9846.8439948000014</v>
      </c>
      <c r="G159" s="336">
        <f t="shared" si="8"/>
        <v>1.9915190178434165E-4</v>
      </c>
      <c r="H159" s="109">
        <v>2.6888258343467097E-2</v>
      </c>
      <c r="I159" s="110">
        <f t="shared" si="10"/>
        <v>5.3548477847701644E-6</v>
      </c>
      <c r="J159" s="110">
        <v>8.8249999999999995E-2</v>
      </c>
      <c r="K159" s="110">
        <f t="shared" si="11"/>
        <v>1.7575155332468151E-5</v>
      </c>
    </row>
    <row r="160" spans="2:11" ht="15" customHeight="1">
      <c r="B160" s="333" t="s">
        <v>269</v>
      </c>
      <c r="C160" s="334" t="s">
        <v>270</v>
      </c>
      <c r="D160" s="335">
        <v>114.535</v>
      </c>
      <c r="E160" s="335">
        <v>206.01</v>
      </c>
      <c r="F160" s="335">
        <f t="shared" si="9"/>
        <v>23595.355349999998</v>
      </c>
      <c r="G160" s="336">
        <f t="shared" si="8"/>
        <v>4.7721482067872268E-4</v>
      </c>
      <c r="H160" s="109">
        <v>3.1454783748361734E-2</v>
      </c>
      <c r="I160" s="110">
        <f t="shared" si="10"/>
        <v>1.5010688985962445E-5</v>
      </c>
      <c r="J160" s="110">
        <v>0.12395</v>
      </c>
      <c r="K160" s="110">
        <f t="shared" si="11"/>
        <v>5.9150777023127679E-5</v>
      </c>
    </row>
    <row r="161" spans="2:11" ht="15" customHeight="1">
      <c r="B161" s="333" t="s">
        <v>271</v>
      </c>
      <c r="C161" s="334" t="s">
        <v>16</v>
      </c>
      <c r="D161" s="335">
        <v>208.02812</v>
      </c>
      <c r="E161" s="335">
        <v>152.37</v>
      </c>
      <c r="F161" s="335">
        <f t="shared" si="9"/>
        <v>31697.244644400002</v>
      </c>
      <c r="G161" s="336">
        <f t="shared" si="8"/>
        <v>6.4107510544387505E-4</v>
      </c>
      <c r="H161" s="109">
        <v>3.058344818533832E-2</v>
      </c>
      <c r="I161" s="110">
        <f t="shared" si="10"/>
        <v>1.9606287270253052E-5</v>
      </c>
      <c r="J161" s="110">
        <v>0.10350000000000001</v>
      </c>
      <c r="K161" s="110">
        <f t="shared" si="11"/>
        <v>6.6351273413441073E-5</v>
      </c>
    </row>
    <row r="162" spans="2:11" ht="15" customHeight="1">
      <c r="B162" s="333" t="s">
        <v>272</v>
      </c>
      <c r="C162" s="334" t="s">
        <v>17</v>
      </c>
      <c r="D162" s="335">
        <v>778.21667000000002</v>
      </c>
      <c r="E162" s="335">
        <v>126.58</v>
      </c>
      <c r="F162" s="335">
        <f t="shared" si="9"/>
        <v>98506.666088600003</v>
      </c>
      <c r="G162" s="336">
        <f t="shared" si="8"/>
        <v>1.9922921395260982E-3</v>
      </c>
      <c r="H162" s="109">
        <v>3.3654605782904093E-2</v>
      </c>
      <c r="I162" s="110">
        <f t="shared" si="10"/>
        <v>6.7049806560129396E-5</v>
      </c>
      <c r="J162" s="110">
        <v>8.3000000000000004E-2</v>
      </c>
      <c r="K162" s="110">
        <f t="shared" si="11"/>
        <v>1.6536024758066618E-4</v>
      </c>
    </row>
    <row r="163" spans="2:11" ht="15" customHeight="1">
      <c r="B163" s="333" t="s">
        <v>273</v>
      </c>
      <c r="C163" s="334" t="s">
        <v>274</v>
      </c>
      <c r="D163" s="335">
        <v>64.2</v>
      </c>
      <c r="E163" s="335">
        <v>222.48</v>
      </c>
      <c r="F163" s="335">
        <f t="shared" si="9"/>
        <v>14283.216</v>
      </c>
      <c r="G163" s="336">
        <f t="shared" si="8"/>
        <v>2.8887729220638598E-4</v>
      </c>
      <c r="H163" s="109" t="s">
        <v>4</v>
      </c>
      <c r="I163" s="110" t="str">
        <f t="shared" si="10"/>
        <v/>
      </c>
      <c r="J163" s="110">
        <v>0.15909999999999999</v>
      </c>
      <c r="K163" s="110">
        <f t="shared" si="11"/>
        <v>4.5960377190036007E-5</v>
      </c>
    </row>
    <row r="164" spans="2:11" ht="15" customHeight="1">
      <c r="B164" s="333" t="s">
        <v>275</v>
      </c>
      <c r="C164" s="334" t="s">
        <v>276</v>
      </c>
      <c r="D164" s="335">
        <v>1153.40311</v>
      </c>
      <c r="E164" s="335">
        <v>41.32</v>
      </c>
      <c r="F164" s="335">
        <f t="shared" si="9"/>
        <v>47658.6165052</v>
      </c>
      <c r="G164" s="336">
        <f t="shared" si="8"/>
        <v>9.6389301165261036E-4</v>
      </c>
      <c r="H164" s="109">
        <v>3.0977734753146177E-2</v>
      </c>
      <c r="I164" s="110">
        <f t="shared" si="10"/>
        <v>2.9859222045385801E-5</v>
      </c>
      <c r="J164" s="110">
        <v>6.5000000000000002E-2</v>
      </c>
      <c r="K164" s="110">
        <f t="shared" si="11"/>
        <v>6.2653045757419675E-5</v>
      </c>
    </row>
    <row r="165" spans="2:11" ht="15" customHeight="1">
      <c r="B165" s="333" t="s">
        <v>277</v>
      </c>
      <c r="C165" s="334" t="s">
        <v>278</v>
      </c>
      <c r="D165" s="335">
        <v>385.87297999999998</v>
      </c>
      <c r="E165" s="335">
        <v>67.349999999999994</v>
      </c>
      <c r="F165" s="335">
        <f t="shared" si="9"/>
        <v>25988.545202999998</v>
      </c>
      <c r="G165" s="336">
        <f t="shared" si="8"/>
        <v>5.2561695955770057E-4</v>
      </c>
      <c r="H165" s="109" t="s">
        <v>4</v>
      </c>
      <c r="I165" s="110" t="str">
        <f t="shared" si="10"/>
        <v/>
      </c>
      <c r="J165" s="110">
        <v>0.15560000000000002</v>
      </c>
      <c r="K165" s="110">
        <f t="shared" si="11"/>
        <v>8.1785998907178223E-5</v>
      </c>
    </row>
    <row r="166" spans="2:11" ht="15" customHeight="1">
      <c r="B166" s="333" t="s">
        <v>279</v>
      </c>
      <c r="C166" s="334" t="s">
        <v>280</v>
      </c>
      <c r="D166" s="335">
        <v>250.75147999999999</v>
      </c>
      <c r="E166" s="335">
        <v>205.04</v>
      </c>
      <c r="F166" s="335">
        <f t="shared" si="9"/>
        <v>51414.083459199996</v>
      </c>
      <c r="G166" s="336" t="str">
        <f t="shared" si="8"/>
        <v/>
      </c>
      <c r="H166" s="109">
        <v>3.7065938353492002E-3</v>
      </c>
      <c r="I166" s="110" t="str">
        <f t="shared" si="10"/>
        <v/>
      </c>
      <c r="J166" s="110">
        <v>-0.02</v>
      </c>
      <c r="K166" s="110" t="str">
        <f t="shared" si="11"/>
        <v/>
      </c>
    </row>
    <row r="167" spans="2:11" ht="15" customHeight="1">
      <c r="B167" s="333" t="s">
        <v>281</v>
      </c>
      <c r="C167" s="334" t="s">
        <v>282</v>
      </c>
      <c r="D167" s="335">
        <v>444</v>
      </c>
      <c r="E167" s="335">
        <v>111.75</v>
      </c>
      <c r="F167" s="335">
        <f t="shared" si="9"/>
        <v>49617</v>
      </c>
      <c r="G167" s="336">
        <f t="shared" si="8"/>
        <v>1.0035012148107438E-3</v>
      </c>
      <c r="H167" s="109">
        <v>1.1096196868008949E-2</v>
      </c>
      <c r="I167" s="110">
        <f t="shared" si="10"/>
        <v>1.1135047036826151E-5</v>
      </c>
      <c r="J167" s="110">
        <v>0.13655</v>
      </c>
      <c r="K167" s="110">
        <f t="shared" si="11"/>
        <v>1.3702809088240707E-4</v>
      </c>
    </row>
    <row r="168" spans="2:11" ht="15" customHeight="1">
      <c r="B168" s="333" t="s">
        <v>1457</v>
      </c>
      <c r="C168" s="334" t="s">
        <v>1511</v>
      </c>
      <c r="D168" s="335">
        <v>158.46502000000001</v>
      </c>
      <c r="E168" s="335">
        <v>101.5</v>
      </c>
      <c r="F168" s="335">
        <f t="shared" si="9"/>
        <v>16084.199530000002</v>
      </c>
      <c r="G168" s="336">
        <f t="shared" si="8"/>
        <v>3.2530208935674056E-4</v>
      </c>
      <c r="H168" s="109" t="s">
        <v>4</v>
      </c>
      <c r="I168" s="110" t="str">
        <f t="shared" si="10"/>
        <v/>
      </c>
      <c r="J168" s="110">
        <v>9.5000000000000001E-2</v>
      </c>
      <c r="K168" s="110">
        <f t="shared" si="11"/>
        <v>3.0903698488890356E-5</v>
      </c>
    </row>
    <row r="169" spans="2:11" ht="15" customHeight="1">
      <c r="B169" s="333" t="s">
        <v>283</v>
      </c>
      <c r="C169" s="334" t="s">
        <v>284</v>
      </c>
      <c r="D169" s="335">
        <v>281.4375</v>
      </c>
      <c r="E169" s="335">
        <v>278.61</v>
      </c>
      <c r="F169" s="335">
        <f t="shared" si="9"/>
        <v>78411.301875000005</v>
      </c>
      <c r="G169" s="336">
        <f t="shared" si="8"/>
        <v>1.5858644554578966E-3</v>
      </c>
      <c r="H169" s="109">
        <v>1.0480600122034384E-2</v>
      </c>
      <c r="I169" s="110">
        <f t="shared" si="10"/>
        <v>1.6620811205402022E-5</v>
      </c>
      <c r="J169" s="110">
        <v>0.15610000000000002</v>
      </c>
      <c r="K169" s="110">
        <f t="shared" si="11"/>
        <v>2.4755344149697767E-4</v>
      </c>
    </row>
    <row r="170" spans="2:11" ht="15" customHeight="1">
      <c r="B170" s="333" t="s">
        <v>285</v>
      </c>
      <c r="C170" s="334" t="s">
        <v>14</v>
      </c>
      <c r="D170" s="335">
        <v>368.52971000000002</v>
      </c>
      <c r="E170" s="335">
        <v>110.63</v>
      </c>
      <c r="F170" s="335">
        <f t="shared" si="9"/>
        <v>40770.441817300001</v>
      </c>
      <c r="G170" s="336">
        <f t="shared" si="8"/>
        <v>8.2458004095433627E-4</v>
      </c>
      <c r="H170" s="109">
        <v>3.2088945132423392E-2</v>
      </c>
      <c r="I170" s="110">
        <f t="shared" si="10"/>
        <v>2.6459903691475132E-5</v>
      </c>
      <c r="J170" s="110">
        <v>6.7500000000000004E-2</v>
      </c>
      <c r="K170" s="110">
        <f t="shared" si="11"/>
        <v>5.5659152764417703E-5</v>
      </c>
    </row>
    <row r="171" spans="2:11" ht="15" customHeight="1">
      <c r="B171" s="333" t="s">
        <v>286</v>
      </c>
      <c r="C171" s="334" t="s">
        <v>287</v>
      </c>
      <c r="D171" s="335">
        <v>119.07241</v>
      </c>
      <c r="E171" s="335">
        <v>158.72</v>
      </c>
      <c r="F171" s="335">
        <f t="shared" si="9"/>
        <v>18899.172915200001</v>
      </c>
      <c r="G171" s="336">
        <f t="shared" si="8"/>
        <v>3.8223477798580139E-4</v>
      </c>
      <c r="H171" s="109">
        <v>1.4112903225806453E-2</v>
      </c>
      <c r="I171" s="110">
        <f t="shared" si="10"/>
        <v>5.3944424312512298E-6</v>
      </c>
      <c r="J171" s="110">
        <v>0.12285</v>
      </c>
      <c r="K171" s="110">
        <f t="shared" si="11"/>
        <v>4.6957542475555698E-5</v>
      </c>
    </row>
    <row r="172" spans="2:11" ht="15" customHeight="1">
      <c r="B172" s="333" t="s">
        <v>1233</v>
      </c>
      <c r="C172" s="334" t="s">
        <v>1234</v>
      </c>
      <c r="D172" s="335">
        <v>39.571599999999997</v>
      </c>
      <c r="E172" s="335">
        <v>357.23</v>
      </c>
      <c r="F172" s="335">
        <f t="shared" si="9"/>
        <v>14136.162667999999</v>
      </c>
      <c r="G172" s="336">
        <f t="shared" si="8"/>
        <v>2.8590314630268427E-4</v>
      </c>
      <c r="H172" s="109">
        <v>2.2394535733281078E-2</v>
      </c>
      <c r="I172" s="110">
        <f t="shared" si="10"/>
        <v>6.4026682261329506E-6</v>
      </c>
      <c r="J172" s="110">
        <v>0.10685</v>
      </c>
      <c r="K172" s="110">
        <f t="shared" si="11"/>
        <v>3.0548751182441817E-5</v>
      </c>
    </row>
    <row r="173" spans="2:11" ht="15" customHeight="1">
      <c r="B173" s="333" t="s">
        <v>18</v>
      </c>
      <c r="C173" s="334" t="s">
        <v>19</v>
      </c>
      <c r="D173" s="335">
        <v>384.79394000000002</v>
      </c>
      <c r="E173" s="335">
        <v>74.45</v>
      </c>
      <c r="F173" s="335">
        <f t="shared" si="9"/>
        <v>28647.908833000001</v>
      </c>
      <c r="G173" s="336">
        <f t="shared" si="8"/>
        <v>5.7940244907396543E-4</v>
      </c>
      <c r="H173" s="109">
        <v>4.7145735392881125E-2</v>
      </c>
      <c r="I173" s="110">
        <f t="shared" si="10"/>
        <v>2.7316354550028456E-5</v>
      </c>
      <c r="J173" s="110">
        <v>5.3999999999999999E-2</v>
      </c>
      <c r="K173" s="110">
        <f t="shared" si="11"/>
        <v>3.1287732249994134E-5</v>
      </c>
    </row>
    <row r="174" spans="2:11" ht="15" customHeight="1">
      <c r="B174" s="333" t="s">
        <v>288</v>
      </c>
      <c r="C174" s="334" t="s">
        <v>289</v>
      </c>
      <c r="D174" s="335">
        <v>247.28756999999999</v>
      </c>
      <c r="E174" s="335">
        <v>78.95</v>
      </c>
      <c r="F174" s="335">
        <f t="shared" si="9"/>
        <v>19523.353651500001</v>
      </c>
      <c r="G174" s="336" t="str">
        <f t="shared" si="8"/>
        <v/>
      </c>
      <c r="H174" s="109">
        <v>1.7732742241925267E-2</v>
      </c>
      <c r="I174" s="110" t="str">
        <f t="shared" si="10"/>
        <v/>
      </c>
      <c r="J174" s="110">
        <v>0.22390000000000002</v>
      </c>
      <c r="K174" s="110" t="str">
        <f t="shared" si="11"/>
        <v/>
      </c>
    </row>
    <row r="175" spans="2:11" ht="15" customHeight="1">
      <c r="B175" s="333" t="s">
        <v>1063</v>
      </c>
      <c r="C175" s="334" t="s">
        <v>1064</v>
      </c>
      <c r="D175" s="335">
        <v>217.16238000000001</v>
      </c>
      <c r="E175" s="335">
        <v>386.73</v>
      </c>
      <c r="F175" s="335">
        <f t="shared" si="9"/>
        <v>83983.207217400006</v>
      </c>
      <c r="G175" s="336">
        <f t="shared" si="8"/>
        <v>1.6985559478880894E-3</v>
      </c>
      <c r="H175" s="109">
        <v>1.7790189537920512E-2</v>
      </c>
      <c r="I175" s="110">
        <f t="shared" si="10"/>
        <v>3.0217632253691346E-5</v>
      </c>
      <c r="J175" s="110">
        <v>6.1449999999999998E-2</v>
      </c>
      <c r="K175" s="110">
        <f t="shared" si="11"/>
        <v>1.0437626299772309E-4</v>
      </c>
    </row>
    <row r="176" spans="2:11" ht="15" customHeight="1">
      <c r="B176" s="333" t="s">
        <v>1155</v>
      </c>
      <c r="C176" s="334" t="s">
        <v>1156</v>
      </c>
      <c r="D176" s="335">
        <v>44.440280000000001</v>
      </c>
      <c r="E176" s="335">
        <v>829.88</v>
      </c>
      <c r="F176" s="335">
        <f t="shared" si="9"/>
        <v>36880.0995664</v>
      </c>
      <c r="G176" s="336">
        <f t="shared" si="8"/>
        <v>7.4589807358815699E-4</v>
      </c>
      <c r="H176" s="109">
        <v>1.9279895888562203E-3</v>
      </c>
      <c r="I176" s="110">
        <f t="shared" si="10"/>
        <v>1.4380837202258775E-6</v>
      </c>
      <c r="J176" s="110">
        <v>5.5E-2</v>
      </c>
      <c r="K176" s="110">
        <f t="shared" si="11"/>
        <v>4.1024394047348637E-5</v>
      </c>
    </row>
    <row r="177" spans="2:11" ht="15" customHeight="1">
      <c r="B177" s="333" t="s">
        <v>290</v>
      </c>
      <c r="C177" s="334" t="s">
        <v>291</v>
      </c>
      <c r="D177" s="335">
        <v>560.1</v>
      </c>
      <c r="E177" s="335">
        <v>143.15</v>
      </c>
      <c r="F177" s="335">
        <f t="shared" si="9"/>
        <v>80178.315000000002</v>
      </c>
      <c r="G177" s="336">
        <f t="shared" si="8"/>
        <v>1.621602202954199E-3</v>
      </c>
      <c r="H177" s="109">
        <v>1.5508208173244848E-2</v>
      </c>
      <c r="I177" s="110">
        <f t="shared" si="10"/>
        <v>2.5148144537606161E-5</v>
      </c>
      <c r="J177" s="110">
        <v>0.12215000000000001</v>
      </c>
      <c r="K177" s="110">
        <f t="shared" si="11"/>
        <v>1.9807870909085542E-4</v>
      </c>
    </row>
    <row r="178" spans="2:11" ht="15" customHeight="1">
      <c r="B178" s="333" t="s">
        <v>292</v>
      </c>
      <c r="C178" s="334" t="s">
        <v>293</v>
      </c>
      <c r="D178" s="335">
        <v>532.62852999999996</v>
      </c>
      <c r="E178" s="335">
        <v>129.72999999999999</v>
      </c>
      <c r="F178" s="335">
        <f t="shared" si="9"/>
        <v>69097.899196899991</v>
      </c>
      <c r="G178" s="336">
        <f t="shared" si="8"/>
        <v>1.3975013762411968E-3</v>
      </c>
      <c r="H178" s="109">
        <v>3.1449934479303172E-2</v>
      </c>
      <c r="I178" s="110">
        <f t="shared" si="10"/>
        <v>4.3951326717521649E-5</v>
      </c>
      <c r="J178" s="110">
        <v>0.125</v>
      </c>
      <c r="K178" s="110">
        <f t="shared" si="11"/>
        <v>1.746876720301496E-4</v>
      </c>
    </row>
    <row r="179" spans="2:11" ht="15" customHeight="1">
      <c r="B179" s="333" t="s">
        <v>294</v>
      </c>
      <c r="C179" s="334" t="s">
        <v>295</v>
      </c>
      <c r="D179" s="335">
        <v>98.624250000000004</v>
      </c>
      <c r="E179" s="335">
        <v>1042.3900000000001</v>
      </c>
      <c r="F179" s="335">
        <f t="shared" si="9"/>
        <v>102804.93195750001</v>
      </c>
      <c r="G179" s="336">
        <f t="shared" si="8"/>
        <v>2.0792243406067903E-3</v>
      </c>
      <c r="H179" s="109">
        <v>1.9800650428342559E-2</v>
      </c>
      <c r="I179" s="110">
        <f t="shared" si="10"/>
        <v>4.1169994330456119E-5</v>
      </c>
      <c r="J179" s="110">
        <v>0.12755</v>
      </c>
      <c r="K179" s="110">
        <f t="shared" si="11"/>
        <v>2.6520506464439608E-4</v>
      </c>
    </row>
    <row r="180" spans="2:11" ht="15" customHeight="1">
      <c r="B180" s="333" t="s">
        <v>296</v>
      </c>
      <c r="C180" s="334" t="s">
        <v>297</v>
      </c>
      <c r="D180" s="335">
        <v>374.67174</v>
      </c>
      <c r="E180" s="335">
        <v>67.930000000000007</v>
      </c>
      <c r="F180" s="335">
        <f t="shared" si="9"/>
        <v>25451.451298200001</v>
      </c>
      <c r="G180" s="336">
        <f t="shared" si="8"/>
        <v>5.1475426358788695E-4</v>
      </c>
      <c r="H180" s="109">
        <v>4.1366112174297066E-2</v>
      </c>
      <c r="I180" s="110">
        <f t="shared" si="10"/>
        <v>2.129338260977421E-5</v>
      </c>
      <c r="J180" s="110">
        <v>6.0399999999999995E-2</v>
      </c>
      <c r="K180" s="110">
        <f t="shared" si="11"/>
        <v>3.1091157520708368E-5</v>
      </c>
    </row>
    <row r="181" spans="2:11" ht="15" customHeight="1">
      <c r="B181" s="333" t="s">
        <v>1085</v>
      </c>
      <c r="C181" s="334" t="s">
        <v>1086</v>
      </c>
      <c r="D181" s="335">
        <v>625.47799999999995</v>
      </c>
      <c r="E181" s="335">
        <v>53.17</v>
      </c>
      <c r="F181" s="335">
        <f t="shared" si="9"/>
        <v>33256.665260000002</v>
      </c>
      <c r="G181" s="336">
        <f t="shared" si="8"/>
        <v>6.7261430535833007E-4</v>
      </c>
      <c r="H181" s="109">
        <v>1.2413014858002632E-2</v>
      </c>
      <c r="I181" s="110">
        <f t="shared" si="10"/>
        <v>8.3491713661180706E-6</v>
      </c>
      <c r="J181" s="110">
        <v>0.11499999999999999</v>
      </c>
      <c r="K181" s="110">
        <f t="shared" si="11"/>
        <v>7.7350645116207954E-5</v>
      </c>
    </row>
    <row r="182" spans="2:11" ht="15" customHeight="1">
      <c r="B182" s="333" t="s">
        <v>1197</v>
      </c>
      <c r="C182" s="334" t="s">
        <v>1198</v>
      </c>
      <c r="D182" s="335">
        <v>46.189070000000001</v>
      </c>
      <c r="E182" s="335">
        <v>239.75</v>
      </c>
      <c r="F182" s="335">
        <f t="shared" si="9"/>
        <v>11073.8295325</v>
      </c>
      <c r="G182" s="336">
        <f t="shared" si="8"/>
        <v>2.2396761973659919E-4</v>
      </c>
      <c r="H182" s="109">
        <v>2.4400417101147025E-2</v>
      </c>
      <c r="I182" s="110">
        <f t="shared" si="10"/>
        <v>5.464903338724109E-6</v>
      </c>
      <c r="J182" s="110">
        <v>0.04</v>
      </c>
      <c r="K182" s="110">
        <f t="shared" si="11"/>
        <v>8.9587047894639672E-6</v>
      </c>
    </row>
    <row r="183" spans="2:11" ht="15" customHeight="1">
      <c r="B183" s="333" t="s">
        <v>21</v>
      </c>
      <c r="C183" s="334" t="s">
        <v>22</v>
      </c>
      <c r="D183" s="335">
        <v>376.08003000000002</v>
      </c>
      <c r="E183" s="335">
        <v>72.27</v>
      </c>
      <c r="F183" s="335">
        <f t="shared" si="9"/>
        <v>27179.303768099999</v>
      </c>
      <c r="G183" s="336">
        <f t="shared" si="8"/>
        <v>5.4969998889490656E-4</v>
      </c>
      <c r="H183" s="109">
        <v>4.3586550435865505E-2</v>
      </c>
      <c r="I183" s="110">
        <f t="shared" si="10"/>
        <v>2.3959526290562555E-5</v>
      </c>
      <c r="J183" s="110">
        <v>8.8584999999999997E-2</v>
      </c>
      <c r="K183" s="110">
        <f t="shared" si="11"/>
        <v>4.8695173516255299E-5</v>
      </c>
    </row>
    <row r="184" spans="2:11" ht="15" customHeight="1">
      <c r="B184" s="333" t="s">
        <v>298</v>
      </c>
      <c r="C184" s="334" t="s">
        <v>299</v>
      </c>
      <c r="D184" s="335">
        <v>64.262870000000007</v>
      </c>
      <c r="E184" s="335">
        <v>291.58999999999997</v>
      </c>
      <c r="F184" s="335">
        <f t="shared" si="9"/>
        <v>18738.4102633</v>
      </c>
      <c r="G184" s="336">
        <f t="shared" si="8"/>
        <v>3.78983361808325E-4</v>
      </c>
      <c r="H184" s="109">
        <v>3.5529339140574094E-2</v>
      </c>
      <c r="I184" s="110">
        <f t="shared" si="10"/>
        <v>1.3465028390322874E-5</v>
      </c>
      <c r="J184" s="110">
        <v>7.9699999999999993E-2</v>
      </c>
      <c r="K184" s="110">
        <f t="shared" si="11"/>
        <v>3.0204973936123499E-5</v>
      </c>
    </row>
    <row r="185" spans="2:11" ht="15" customHeight="1">
      <c r="B185" s="333" t="s">
        <v>300</v>
      </c>
      <c r="C185" s="334" t="s">
        <v>301</v>
      </c>
      <c r="D185" s="335">
        <v>388.3</v>
      </c>
      <c r="E185" s="335">
        <v>426.12</v>
      </c>
      <c r="F185" s="335">
        <f t="shared" si="9"/>
        <v>165462.39600000001</v>
      </c>
      <c r="G185" s="336">
        <f t="shared" si="8"/>
        <v>3.3464682546606277E-3</v>
      </c>
      <c r="H185" s="109">
        <v>1.0325729841359241E-2</v>
      </c>
      <c r="I185" s="110">
        <f t="shared" si="10"/>
        <v>3.4554727120310619E-5</v>
      </c>
      <c r="J185" s="110">
        <v>9.4400000000000012E-2</v>
      </c>
      <c r="K185" s="110">
        <f t="shared" si="11"/>
        <v>3.1590660323996327E-4</v>
      </c>
    </row>
    <row r="186" spans="2:11" ht="15" customHeight="1">
      <c r="B186" s="333" t="s">
        <v>302</v>
      </c>
      <c r="C186" s="334" t="s">
        <v>20</v>
      </c>
      <c r="D186" s="335">
        <v>477.13463999999999</v>
      </c>
      <c r="E186" s="335">
        <v>114.86</v>
      </c>
      <c r="F186" s="335">
        <f t="shared" si="9"/>
        <v>54803.684750399996</v>
      </c>
      <c r="G186" s="336">
        <f t="shared" si="8"/>
        <v>1.1084016410329411E-3</v>
      </c>
      <c r="H186" s="109">
        <v>2.2288002786000349E-2</v>
      </c>
      <c r="I186" s="110">
        <f t="shared" si="10"/>
        <v>2.4704058863349551E-5</v>
      </c>
      <c r="J186" s="110">
        <v>9.5700000000000007E-2</v>
      </c>
      <c r="K186" s="110">
        <f t="shared" si="11"/>
        <v>1.0607403704685247E-4</v>
      </c>
    </row>
    <row r="187" spans="2:11" ht="15" customHeight="1">
      <c r="B187" s="333" t="s">
        <v>303</v>
      </c>
      <c r="C187" s="334" t="s">
        <v>23</v>
      </c>
      <c r="D187" s="335">
        <v>229.74593999999999</v>
      </c>
      <c r="E187" s="335">
        <v>86.43</v>
      </c>
      <c r="F187" s="335">
        <f t="shared" si="9"/>
        <v>19856.941594200001</v>
      </c>
      <c r="G187" s="336">
        <f t="shared" si="8"/>
        <v>4.0160559913347626E-4</v>
      </c>
      <c r="H187" s="109">
        <v>3.2164757607312272E-2</v>
      </c>
      <c r="I187" s="110">
        <f t="shared" si="10"/>
        <v>1.2917546749867684E-5</v>
      </c>
      <c r="J187" s="110">
        <v>0.11042500000000001</v>
      </c>
      <c r="K187" s="110">
        <f t="shared" si="11"/>
        <v>4.434729828431412E-5</v>
      </c>
    </row>
    <row r="188" spans="2:11" ht="15" customHeight="1">
      <c r="B188" s="333" t="s">
        <v>304</v>
      </c>
      <c r="C188" s="334" t="s">
        <v>305</v>
      </c>
      <c r="D188" s="335">
        <v>575.79999999999995</v>
      </c>
      <c r="E188" s="335">
        <v>90.46</v>
      </c>
      <c r="F188" s="335">
        <f t="shared" si="9"/>
        <v>52086.867999999995</v>
      </c>
      <c r="G188" s="336">
        <f t="shared" si="8"/>
        <v>1.0534541651790084E-3</v>
      </c>
      <c r="H188" s="109" t="s">
        <v>4</v>
      </c>
      <c r="I188" s="110" t="str">
        <f t="shared" si="10"/>
        <v/>
      </c>
      <c r="J188" s="110">
        <v>7.775E-2</v>
      </c>
      <c r="K188" s="110">
        <f t="shared" si="11"/>
        <v>8.1906061342667895E-5</v>
      </c>
    </row>
    <row r="189" spans="2:11" ht="15" customHeight="1">
      <c r="B189" s="333" t="s">
        <v>306</v>
      </c>
      <c r="C189" s="334" t="s">
        <v>24</v>
      </c>
      <c r="D189" s="335">
        <v>1023.17509</v>
      </c>
      <c r="E189" s="335">
        <v>46.62</v>
      </c>
      <c r="F189" s="335">
        <f t="shared" si="9"/>
        <v>47700.422695799993</v>
      </c>
      <c r="G189" s="336">
        <f t="shared" si="8"/>
        <v>9.6473853965820726E-4</v>
      </c>
      <c r="H189" s="109">
        <v>3.6036036036036036E-2</v>
      </c>
      <c r="I189" s="110">
        <f t="shared" si="10"/>
        <v>3.4765352780475937E-5</v>
      </c>
      <c r="J189" s="110">
        <v>5.6000000000000001E-2</v>
      </c>
      <c r="K189" s="110">
        <f t="shared" si="11"/>
        <v>5.402535822085961E-5</v>
      </c>
    </row>
    <row r="190" spans="2:11" ht="15" customHeight="1">
      <c r="B190" s="333" t="s">
        <v>1176</v>
      </c>
      <c r="C190" s="334" t="s">
        <v>1177</v>
      </c>
      <c r="D190" s="335">
        <v>239.22884999999999</v>
      </c>
      <c r="E190" s="335">
        <v>91.19</v>
      </c>
      <c r="F190" s="335">
        <f t="shared" si="9"/>
        <v>21815.2788315</v>
      </c>
      <c r="G190" s="336">
        <f t="shared" si="8"/>
        <v>4.4121286673610565E-4</v>
      </c>
      <c r="H190" s="109">
        <v>2.5222063822787584E-2</v>
      </c>
      <c r="I190" s="110">
        <f t="shared" si="10"/>
        <v>1.1128299084253129E-5</v>
      </c>
      <c r="J190" s="110">
        <v>8.5000000000000006E-2</v>
      </c>
      <c r="K190" s="110">
        <f t="shared" si="11"/>
        <v>3.7503093672568986E-5</v>
      </c>
    </row>
    <row r="191" spans="2:11" ht="15" customHeight="1">
      <c r="B191" s="333" t="s">
        <v>307</v>
      </c>
      <c r="C191" s="334" t="s">
        <v>308</v>
      </c>
      <c r="D191" s="335">
        <v>130.79113000000001</v>
      </c>
      <c r="E191" s="335">
        <v>162.97999999999999</v>
      </c>
      <c r="F191" s="335">
        <f t="shared" si="9"/>
        <v>21316.3383674</v>
      </c>
      <c r="G191" s="336">
        <f t="shared" si="8"/>
        <v>4.3112182209732085E-4</v>
      </c>
      <c r="H191" s="109">
        <v>9.9398699226899024E-3</v>
      </c>
      <c r="I191" s="110">
        <f t="shared" si="10"/>
        <v>4.2852948324804263E-6</v>
      </c>
      <c r="J191" s="110">
        <v>8.5699999999999998E-2</v>
      </c>
      <c r="K191" s="110">
        <f t="shared" si="11"/>
        <v>3.6947140153740397E-5</v>
      </c>
    </row>
    <row r="192" spans="2:11" ht="15" customHeight="1">
      <c r="B192" s="333" t="s">
        <v>309</v>
      </c>
      <c r="C192" s="334" t="s">
        <v>310</v>
      </c>
      <c r="D192" s="335">
        <v>114.49863000000001</v>
      </c>
      <c r="E192" s="335">
        <v>255.88</v>
      </c>
      <c r="F192" s="335">
        <f t="shared" si="9"/>
        <v>29297.9094444</v>
      </c>
      <c r="G192" s="336">
        <f t="shared" si="8"/>
        <v>5.9254867724510888E-4</v>
      </c>
      <c r="H192" s="109">
        <v>7.5035172737220567E-3</v>
      </c>
      <c r="I192" s="110">
        <f t="shared" si="10"/>
        <v>4.4461992352298303E-6</v>
      </c>
      <c r="J192" s="110">
        <v>0.19789999999999999</v>
      </c>
      <c r="K192" s="110">
        <f t="shared" si="11"/>
        <v>1.1726538322680704E-4</v>
      </c>
    </row>
    <row r="193" spans="2:11" ht="15" customHeight="1">
      <c r="B193" s="333" t="s">
        <v>311</v>
      </c>
      <c r="C193" s="334" t="s">
        <v>312</v>
      </c>
      <c r="D193" s="335">
        <v>211.26094000000001</v>
      </c>
      <c r="E193" s="335">
        <v>145.30000000000001</v>
      </c>
      <c r="F193" s="335">
        <f t="shared" si="9"/>
        <v>30696.214582000004</v>
      </c>
      <c r="G193" s="336">
        <f t="shared" si="8"/>
        <v>6.208293250927762E-4</v>
      </c>
      <c r="H193" s="109">
        <v>4.4597384721266342E-2</v>
      </c>
      <c r="I193" s="110">
        <f t="shared" si="10"/>
        <v>2.7687364257406672E-5</v>
      </c>
      <c r="J193" s="110">
        <v>3.09E-2</v>
      </c>
      <c r="K193" s="110">
        <f t="shared" si="11"/>
        <v>1.9183626145366786E-5</v>
      </c>
    </row>
    <row r="194" spans="2:11" ht="15" customHeight="1">
      <c r="B194" s="333" t="s">
        <v>313</v>
      </c>
      <c r="C194" s="334" t="s">
        <v>314</v>
      </c>
      <c r="D194" s="335">
        <v>3913.8405499999999</v>
      </c>
      <c r="E194" s="335">
        <v>13.9</v>
      </c>
      <c r="F194" s="335">
        <f t="shared" si="9"/>
        <v>54402.383645000002</v>
      </c>
      <c r="G194" s="336" t="str">
        <f t="shared" si="8"/>
        <v/>
      </c>
      <c r="H194" s="109">
        <v>4.3165467625899276E-2</v>
      </c>
      <c r="I194" s="110" t="str">
        <f t="shared" si="10"/>
        <v/>
      </c>
      <c r="J194" s="110">
        <v>0.23665</v>
      </c>
      <c r="K194" s="110" t="str">
        <f t="shared" si="11"/>
        <v/>
      </c>
    </row>
    <row r="195" spans="2:11" ht="15" customHeight="1">
      <c r="B195" s="333" t="s">
        <v>315</v>
      </c>
      <c r="C195" s="334" t="s">
        <v>316</v>
      </c>
      <c r="D195" s="335">
        <v>281.31330000000003</v>
      </c>
      <c r="E195" s="335">
        <v>175.78</v>
      </c>
      <c r="F195" s="335">
        <f t="shared" si="9"/>
        <v>49449.251874000001</v>
      </c>
      <c r="G195" s="336" t="str">
        <f t="shared" si="8"/>
        <v/>
      </c>
      <c r="H195" s="109">
        <v>2.503128911138924E-2</v>
      </c>
      <c r="I195" s="110" t="str">
        <f t="shared" si="10"/>
        <v/>
      </c>
      <c r="J195" s="110">
        <v>-5.0000000000000001E-3</v>
      </c>
      <c r="K195" s="110" t="str">
        <f t="shared" si="11"/>
        <v/>
      </c>
    </row>
    <row r="196" spans="2:11" ht="15" customHeight="1">
      <c r="B196" s="333" t="s">
        <v>317</v>
      </c>
      <c r="C196" s="334" t="s">
        <v>318</v>
      </c>
      <c r="D196" s="335">
        <v>1148.0350599999999</v>
      </c>
      <c r="E196" s="335">
        <v>48.03</v>
      </c>
      <c r="F196" s="335">
        <f t="shared" si="9"/>
        <v>55140.123931800001</v>
      </c>
      <c r="G196" s="336">
        <f t="shared" si="8"/>
        <v>1.1152061057777833E-3</v>
      </c>
      <c r="H196" s="109">
        <v>1.9987507807620236E-2</v>
      </c>
      <c r="I196" s="110">
        <f t="shared" si="10"/>
        <v>2.2290190746339203E-5</v>
      </c>
      <c r="J196" s="110">
        <v>0.11115</v>
      </c>
      <c r="K196" s="110">
        <f t="shared" si="11"/>
        <v>1.2395515865720061E-4</v>
      </c>
    </row>
    <row r="197" spans="2:11" ht="15" customHeight="1">
      <c r="B197" s="333" t="s">
        <v>320</v>
      </c>
      <c r="C197" s="334" t="s">
        <v>321</v>
      </c>
      <c r="D197" s="335">
        <v>1437.55987</v>
      </c>
      <c r="E197" s="335">
        <v>62.89</v>
      </c>
      <c r="F197" s="335">
        <f t="shared" si="9"/>
        <v>90408.140224300005</v>
      </c>
      <c r="G197" s="336">
        <f t="shared" si="8"/>
        <v>1.8284998799577793E-3</v>
      </c>
      <c r="H197" s="109">
        <v>9.5404674829066612E-3</v>
      </c>
      <c r="I197" s="110">
        <f t="shared" si="10"/>
        <v>1.7444743647235927E-5</v>
      </c>
      <c r="J197" s="110">
        <v>0.15289999999999998</v>
      </c>
      <c r="K197" s="110">
        <f t="shared" si="11"/>
        <v>2.7957763164554445E-4</v>
      </c>
    </row>
    <row r="198" spans="2:11" ht="15" customHeight="1">
      <c r="B198" s="333" t="s">
        <v>322</v>
      </c>
      <c r="C198" s="334" t="s">
        <v>323</v>
      </c>
      <c r="D198" s="335">
        <v>36.431130000000003</v>
      </c>
      <c r="E198" s="335">
        <v>230.08</v>
      </c>
      <c r="F198" s="335">
        <f t="shared" si="9"/>
        <v>8382.074390400001</v>
      </c>
      <c r="G198" s="336">
        <f t="shared" si="8"/>
        <v>1.6952701359212419E-4</v>
      </c>
      <c r="H198" s="109">
        <v>2.0166898470097356E-2</v>
      </c>
      <c r="I198" s="110">
        <f t="shared" si="10"/>
        <v>3.418834071051183E-6</v>
      </c>
      <c r="J198" s="110">
        <v>6.6549999999999998E-2</v>
      </c>
      <c r="K198" s="110">
        <f t="shared" si="11"/>
        <v>1.1282022754555865E-5</v>
      </c>
    </row>
    <row r="199" spans="2:11" ht="15" customHeight="1">
      <c r="B199" s="333" t="s">
        <v>324</v>
      </c>
      <c r="C199" s="334" t="s">
        <v>325</v>
      </c>
      <c r="D199" s="335">
        <v>238.60676000000001</v>
      </c>
      <c r="E199" s="335">
        <v>313.13</v>
      </c>
      <c r="F199" s="335">
        <f t="shared" si="9"/>
        <v>74714.934758799995</v>
      </c>
      <c r="G199" s="336">
        <f t="shared" si="8"/>
        <v>1.5111056249866228E-3</v>
      </c>
      <c r="H199" s="109">
        <v>1.5584581483728802E-2</v>
      </c>
      <c r="I199" s="110">
        <f t="shared" si="10"/>
        <v>2.354994874312496E-5</v>
      </c>
      <c r="J199" s="110">
        <v>0.1404</v>
      </c>
      <c r="K199" s="110">
        <f t="shared" si="11"/>
        <v>2.1215922974812183E-4</v>
      </c>
    </row>
    <row r="200" spans="2:11" ht="15" customHeight="1">
      <c r="B200" s="333" t="s">
        <v>1453</v>
      </c>
      <c r="C200" s="334" t="s">
        <v>1454</v>
      </c>
      <c r="D200" s="335">
        <v>148.90616</v>
      </c>
      <c r="E200" s="335">
        <v>151</v>
      </c>
      <c r="F200" s="335">
        <f t="shared" si="9"/>
        <v>22484.830160000001</v>
      </c>
      <c r="G200" s="336">
        <f t="shared" si="8"/>
        <v>4.5475450713209693E-4</v>
      </c>
      <c r="H200" s="109" t="s">
        <v>4</v>
      </c>
      <c r="I200" s="110" t="str">
        <f t="shared" si="10"/>
        <v/>
      </c>
      <c r="J200" s="110">
        <v>6.5000000000000002E-2</v>
      </c>
      <c r="K200" s="110">
        <f t="shared" si="11"/>
        <v>2.9559042963586301E-5</v>
      </c>
    </row>
    <row r="201" spans="2:11" ht="15" customHeight="1">
      <c r="B201" s="333" t="s">
        <v>326</v>
      </c>
      <c r="C201" s="334" t="s">
        <v>25</v>
      </c>
      <c r="D201" s="335">
        <v>578.43118000000004</v>
      </c>
      <c r="E201" s="335">
        <v>47.54</v>
      </c>
      <c r="F201" s="335">
        <f t="shared" si="9"/>
        <v>27498.618297200002</v>
      </c>
      <c r="G201" s="336">
        <f t="shared" si="8"/>
        <v>5.5615810844785363E-4</v>
      </c>
      <c r="H201" s="109">
        <v>3.9124947412705093E-2</v>
      </c>
      <c r="I201" s="110">
        <f t="shared" si="10"/>
        <v>2.1759656746171809E-5</v>
      </c>
      <c r="J201" s="110">
        <v>7.0599999999999996E-2</v>
      </c>
      <c r="K201" s="110">
        <f t="shared" si="11"/>
        <v>3.9264762456418466E-5</v>
      </c>
    </row>
    <row r="202" spans="2:11" ht="15" customHeight="1">
      <c r="B202" s="333" t="s">
        <v>327</v>
      </c>
      <c r="C202" s="334" t="s">
        <v>328</v>
      </c>
      <c r="D202" s="335">
        <v>56.419249999999998</v>
      </c>
      <c r="E202" s="335">
        <v>415.96</v>
      </c>
      <c r="F202" s="335">
        <f t="shared" si="9"/>
        <v>23468.151229999999</v>
      </c>
      <c r="G202" s="336">
        <f t="shared" si="8"/>
        <v>4.746421240435184E-4</v>
      </c>
      <c r="H202" s="109" t="s">
        <v>4</v>
      </c>
      <c r="I202" s="110" t="str">
        <f t="shared" si="10"/>
        <v/>
      </c>
      <c r="J202" s="110">
        <v>6.6699999999999995E-2</v>
      </c>
      <c r="K202" s="110">
        <f t="shared" si="11"/>
        <v>3.1658629673702672E-5</v>
      </c>
    </row>
    <row r="203" spans="2:11" ht="15" customHeight="1">
      <c r="B203" s="333" t="s">
        <v>1199</v>
      </c>
      <c r="C203" s="334" t="s">
        <v>1200</v>
      </c>
      <c r="D203" s="335">
        <v>23.190909999999999</v>
      </c>
      <c r="E203" s="335">
        <v>1194.78</v>
      </c>
      <c r="F203" s="335">
        <f t="shared" si="9"/>
        <v>27708.035449799998</v>
      </c>
      <c r="G203" s="336">
        <f t="shared" si="8"/>
        <v>5.6039355934243214E-4</v>
      </c>
      <c r="H203" s="109" t="s">
        <v>4</v>
      </c>
      <c r="I203" s="110" t="str">
        <f t="shared" si="10"/>
        <v/>
      </c>
      <c r="J203" s="110">
        <v>0.18379999999999999</v>
      </c>
      <c r="K203" s="110">
        <f t="shared" si="11"/>
        <v>1.0300033620713902E-4</v>
      </c>
    </row>
    <row r="204" spans="2:11" ht="15" customHeight="1">
      <c r="B204" s="333" t="s">
        <v>329</v>
      </c>
      <c r="C204" s="334" t="s">
        <v>330</v>
      </c>
      <c r="D204" s="335">
        <v>516.87914999999998</v>
      </c>
      <c r="E204" s="335">
        <v>38.880000000000003</v>
      </c>
      <c r="F204" s="335">
        <f t="shared" si="9"/>
        <v>20096.261352000001</v>
      </c>
      <c r="G204" s="336">
        <f t="shared" si="8"/>
        <v>4.064458286451459E-4</v>
      </c>
      <c r="H204" s="109">
        <v>4.5267489711934152E-2</v>
      </c>
      <c r="I204" s="110">
        <f t="shared" si="10"/>
        <v>1.8398782366652694E-5</v>
      </c>
      <c r="J204" s="110">
        <v>8.5000000000000006E-2</v>
      </c>
      <c r="K204" s="110">
        <f t="shared" si="11"/>
        <v>3.4547895434837402E-5</v>
      </c>
    </row>
    <row r="205" spans="2:11" ht="15" customHeight="1">
      <c r="B205" s="333" t="s">
        <v>331</v>
      </c>
      <c r="C205" s="334" t="s">
        <v>1352</v>
      </c>
      <c r="D205" s="335">
        <v>533.25399000000004</v>
      </c>
      <c r="E205" s="335">
        <v>49.05</v>
      </c>
      <c r="F205" s="335">
        <f t="shared" si="9"/>
        <v>26156.108209500002</v>
      </c>
      <c r="G205" s="336">
        <f t="shared" si="8"/>
        <v>5.2900591254921743E-4</v>
      </c>
      <c r="H205" s="109" t="s">
        <v>4</v>
      </c>
      <c r="I205" s="110" t="str">
        <f t="shared" si="10"/>
        <v/>
      </c>
      <c r="J205" s="110">
        <v>0.18</v>
      </c>
      <c r="K205" s="110">
        <f t="shared" si="11"/>
        <v>9.5221064258859141E-5</v>
      </c>
    </row>
    <row r="206" spans="2:11" ht="15" customHeight="1">
      <c r="B206" s="333" t="s">
        <v>332</v>
      </c>
      <c r="C206" s="334" t="s">
        <v>333</v>
      </c>
      <c r="D206" s="335">
        <v>906.31155000000001</v>
      </c>
      <c r="E206" s="335">
        <v>56.37</v>
      </c>
      <c r="F206" s="335">
        <f t="shared" si="9"/>
        <v>51088.782073499999</v>
      </c>
      <c r="G206" s="336">
        <f t="shared" si="8"/>
        <v>1.0332679298216056E-3</v>
      </c>
      <c r="H206" s="109">
        <v>2.8383892141209868E-2</v>
      </c>
      <c r="I206" s="110">
        <f t="shared" si="10"/>
        <v>2.9328165473027659E-5</v>
      </c>
      <c r="J206" s="110">
        <v>0.1</v>
      </c>
      <c r="K206" s="110">
        <f t="shared" si="11"/>
        <v>1.0332679298216056E-4</v>
      </c>
    </row>
    <row r="207" spans="2:11" ht="15" customHeight="1">
      <c r="B207" s="333" t="s">
        <v>1438</v>
      </c>
      <c r="C207" s="334" t="s">
        <v>1439</v>
      </c>
      <c r="D207" s="335">
        <v>35.202419999999996</v>
      </c>
      <c r="E207" s="335">
        <v>1981.95</v>
      </c>
      <c r="F207" s="335">
        <f t="shared" si="9"/>
        <v>69769.436319</v>
      </c>
      <c r="G207" s="336">
        <f t="shared" ref="G207:G270" si="12">IF(AND(ISNUMBER($J207)), IF(AND($J207&lt;=20%,$J207&gt;0%), $F207/SUMIFS($F$15:$F$517,$J$15:$J$517, "&gt;"&amp;0%,$J$15:$J$517, "&lt;="&amp;20%),""),"")</f>
        <v>1.4110831792082822E-3</v>
      </c>
      <c r="H207" s="109">
        <v>1.6145715078584224E-3</v>
      </c>
      <c r="I207" s="110">
        <f t="shared" si="10"/>
        <v>2.2782946963679724E-6</v>
      </c>
      <c r="J207" s="110">
        <v>5.5E-2</v>
      </c>
      <c r="K207" s="110">
        <f t="shared" si="11"/>
        <v>7.7609574856455523E-5</v>
      </c>
    </row>
    <row r="208" spans="2:11" ht="15" customHeight="1">
      <c r="B208" s="333" t="s">
        <v>1512</v>
      </c>
      <c r="C208" s="334" t="s">
        <v>1513</v>
      </c>
      <c r="D208" s="335">
        <v>366.38954999999999</v>
      </c>
      <c r="E208" s="335">
        <v>162.07</v>
      </c>
      <c r="F208" s="335">
        <f t="shared" ref="F208:F271" si="13">IFERROR(D208*E208,"")</f>
        <v>59380.754368499998</v>
      </c>
      <c r="G208" s="336" t="str">
        <f t="shared" si="12"/>
        <v/>
      </c>
      <c r="H208" s="109" t="s">
        <v>4</v>
      </c>
      <c r="I208" s="110" t="str">
        <f t="shared" ref="I208:I271" si="14">IFERROR(G208*H208,"")</f>
        <v/>
      </c>
      <c r="J208" s="110">
        <v>0.2863</v>
      </c>
      <c r="K208" s="110" t="str">
        <f t="shared" ref="K208:K271" si="15">IFERROR(G208*J208,"")</f>
        <v/>
      </c>
    </row>
    <row r="209" spans="2:11" ht="15" customHeight="1">
      <c r="B209" s="333" t="s">
        <v>334</v>
      </c>
      <c r="C209" s="334" t="s">
        <v>335</v>
      </c>
      <c r="D209" s="335">
        <v>220.70511999999999</v>
      </c>
      <c r="E209" s="335">
        <v>46.84</v>
      </c>
      <c r="F209" s="335">
        <f t="shared" si="13"/>
        <v>10337.827820800001</v>
      </c>
      <c r="G209" s="336">
        <f t="shared" si="12"/>
        <v>2.0908202383612684E-4</v>
      </c>
      <c r="H209" s="109">
        <v>1.1955593509820667E-2</v>
      </c>
      <c r="I209" s="110">
        <f t="shared" si="14"/>
        <v>2.4996996871953679E-6</v>
      </c>
      <c r="J209" s="110">
        <v>0.18334999999999999</v>
      </c>
      <c r="K209" s="110">
        <f t="shared" si="15"/>
        <v>3.8335189070353854E-5</v>
      </c>
    </row>
    <row r="210" spans="2:11" ht="15" customHeight="1">
      <c r="B210" s="333" t="s">
        <v>334</v>
      </c>
      <c r="C210" s="334" t="s">
        <v>336</v>
      </c>
      <c r="D210" s="335">
        <v>199.4812</v>
      </c>
      <c r="E210" s="335">
        <v>52.16</v>
      </c>
      <c r="F210" s="335">
        <f t="shared" si="13"/>
        <v>10404.939392</v>
      </c>
      <c r="G210" s="336">
        <f t="shared" si="12"/>
        <v>2.1043935183312501E-4</v>
      </c>
      <c r="H210" s="109">
        <v>1.0736196319018407E-2</v>
      </c>
      <c r="I210" s="110">
        <f t="shared" si="14"/>
        <v>2.2593181945274163E-6</v>
      </c>
      <c r="J210" s="110">
        <v>6.1699999999999998E-2</v>
      </c>
      <c r="K210" s="110">
        <f t="shared" si="15"/>
        <v>1.2984108008103813E-5</v>
      </c>
    </row>
    <row r="211" spans="2:11" ht="15" customHeight="1">
      <c r="B211" s="333" t="s">
        <v>337</v>
      </c>
      <c r="C211" s="334" t="s">
        <v>338</v>
      </c>
      <c r="D211" s="335">
        <v>86.389200000000002</v>
      </c>
      <c r="E211" s="335">
        <v>122.31</v>
      </c>
      <c r="F211" s="335">
        <f t="shared" si="13"/>
        <v>10566.263052</v>
      </c>
      <c r="G211" s="336">
        <f t="shared" si="12"/>
        <v>2.1370211436991108E-4</v>
      </c>
      <c r="H211" s="109">
        <v>3.6955277573379117E-2</v>
      </c>
      <c r="I211" s="110">
        <f t="shared" si="14"/>
        <v>7.897420954558074E-6</v>
      </c>
      <c r="J211" s="110">
        <v>6.7949999999999997E-2</v>
      </c>
      <c r="K211" s="110">
        <f t="shared" si="15"/>
        <v>1.4521058671435457E-5</v>
      </c>
    </row>
    <row r="212" spans="2:11" ht="15" customHeight="1">
      <c r="B212" s="333" t="s">
        <v>1215</v>
      </c>
      <c r="C212" s="334" t="s">
        <v>1216</v>
      </c>
      <c r="D212" s="335">
        <v>107.45336</v>
      </c>
      <c r="E212" s="335">
        <v>235.96</v>
      </c>
      <c r="F212" s="335">
        <f t="shared" si="13"/>
        <v>25354.694825600003</v>
      </c>
      <c r="G212" s="336">
        <f t="shared" si="12"/>
        <v>5.1279736901959575E-4</v>
      </c>
      <c r="H212" s="109" t="s">
        <v>4</v>
      </c>
      <c r="I212" s="110" t="str">
        <f t="shared" si="14"/>
        <v/>
      </c>
      <c r="J212" s="110">
        <v>0.02</v>
      </c>
      <c r="K212" s="110">
        <f t="shared" si="15"/>
        <v>1.0255947380391915E-5</v>
      </c>
    </row>
    <row r="213" spans="2:11" ht="15" customHeight="1">
      <c r="B213" s="333" t="s">
        <v>339</v>
      </c>
      <c r="C213" s="334" t="s">
        <v>340</v>
      </c>
      <c r="D213" s="335">
        <v>732.64838999999995</v>
      </c>
      <c r="E213" s="335">
        <v>153.62</v>
      </c>
      <c r="F213" s="335">
        <f t="shared" si="13"/>
        <v>112549.4456718</v>
      </c>
      <c r="G213" s="336" t="str">
        <f t="shared" si="12"/>
        <v/>
      </c>
      <c r="H213" s="109" t="s">
        <v>4</v>
      </c>
      <c r="I213" s="110" t="str">
        <f t="shared" si="14"/>
        <v/>
      </c>
      <c r="J213" s="110">
        <v>0.20305000000000001</v>
      </c>
      <c r="K213" s="110" t="str">
        <f t="shared" si="15"/>
        <v/>
      </c>
    </row>
    <row r="214" spans="2:11" ht="15" customHeight="1">
      <c r="B214" s="333" t="s">
        <v>341</v>
      </c>
      <c r="C214" s="334" t="s">
        <v>342</v>
      </c>
      <c r="D214" s="335">
        <v>304.86102</v>
      </c>
      <c r="E214" s="335">
        <v>61.09</v>
      </c>
      <c r="F214" s="335">
        <f t="shared" si="13"/>
        <v>18623.959711800002</v>
      </c>
      <c r="G214" s="336">
        <f t="shared" si="12"/>
        <v>3.7666860542510938E-4</v>
      </c>
      <c r="H214" s="109">
        <v>3.9286298903257483E-3</v>
      </c>
      <c r="I214" s="110">
        <f t="shared" si="14"/>
        <v>1.4797915420204E-6</v>
      </c>
      <c r="J214" s="110">
        <v>0.125</v>
      </c>
      <c r="K214" s="110">
        <f t="shared" si="15"/>
        <v>4.7083575678138673E-5</v>
      </c>
    </row>
    <row r="215" spans="2:11" ht="15" customHeight="1">
      <c r="B215" s="333" t="s">
        <v>343</v>
      </c>
      <c r="C215" s="334" t="s">
        <v>344</v>
      </c>
      <c r="D215" s="335">
        <v>270.43018999999998</v>
      </c>
      <c r="E215" s="335">
        <v>354.24</v>
      </c>
      <c r="F215" s="335">
        <f t="shared" si="13"/>
        <v>95797.190505599996</v>
      </c>
      <c r="G215" s="336">
        <f t="shared" si="12"/>
        <v>1.9374931383966353E-3</v>
      </c>
      <c r="H215" s="109">
        <v>1.7953929539295393E-2</v>
      </c>
      <c r="I215" s="110">
        <f t="shared" si="14"/>
        <v>3.4785615289641489E-5</v>
      </c>
      <c r="J215" s="110">
        <v>6.5000000000000002E-2</v>
      </c>
      <c r="K215" s="110">
        <f t="shared" si="15"/>
        <v>1.259370539957813E-4</v>
      </c>
    </row>
    <row r="216" spans="2:11" ht="15" customHeight="1">
      <c r="B216" s="333" t="s">
        <v>1164</v>
      </c>
      <c r="C216" s="334" t="s">
        <v>1165</v>
      </c>
      <c r="D216" s="335">
        <v>132.40985000000001</v>
      </c>
      <c r="E216" s="335">
        <v>84.88</v>
      </c>
      <c r="F216" s="335">
        <f t="shared" si="13"/>
        <v>11238.948068</v>
      </c>
      <c r="G216" s="336">
        <f t="shared" si="12"/>
        <v>2.273071334307367E-4</v>
      </c>
      <c r="H216" s="109" t="s">
        <v>4</v>
      </c>
      <c r="I216" s="110" t="str">
        <f t="shared" si="14"/>
        <v/>
      </c>
      <c r="J216" s="110">
        <v>0.1</v>
      </c>
      <c r="K216" s="110">
        <f t="shared" si="15"/>
        <v>2.2730713343073671E-5</v>
      </c>
    </row>
    <row r="217" spans="2:11" ht="15" customHeight="1">
      <c r="B217" s="333" t="s">
        <v>345</v>
      </c>
      <c r="C217" s="334" t="s">
        <v>346</v>
      </c>
      <c r="D217" s="335">
        <v>1043.3372400000001</v>
      </c>
      <c r="E217" s="335">
        <v>373.73</v>
      </c>
      <c r="F217" s="335">
        <f t="shared" si="13"/>
        <v>389926.42670520005</v>
      </c>
      <c r="G217" s="336">
        <f t="shared" si="12"/>
        <v>7.886241467349512E-3</v>
      </c>
      <c r="H217" s="109">
        <v>5.0303695181013021E-3</v>
      </c>
      <c r="I217" s="110">
        <f t="shared" si="14"/>
        <v>3.9670708689741471E-5</v>
      </c>
      <c r="J217" s="110">
        <v>0.10339999999999999</v>
      </c>
      <c r="K217" s="110">
        <f t="shared" si="15"/>
        <v>8.1543736772393943E-4</v>
      </c>
    </row>
    <row r="218" spans="2:11" ht="15" customHeight="1">
      <c r="B218" s="333" t="s">
        <v>1222</v>
      </c>
      <c r="C218" s="334" t="s">
        <v>1223</v>
      </c>
      <c r="D218" s="335">
        <v>454.89179000000001</v>
      </c>
      <c r="E218" s="335">
        <v>64.010000000000005</v>
      </c>
      <c r="F218" s="335">
        <f t="shared" si="13"/>
        <v>29117.623477900004</v>
      </c>
      <c r="G218" s="336">
        <f t="shared" si="12"/>
        <v>5.8890240305690576E-4</v>
      </c>
      <c r="H218" s="109">
        <v>2.1871582565224186E-3</v>
      </c>
      <c r="I218" s="110">
        <f t="shared" si="14"/>
        <v>1.2880227531318045E-6</v>
      </c>
      <c r="J218" s="110">
        <v>0.13020000000000001</v>
      </c>
      <c r="K218" s="110">
        <f t="shared" si="15"/>
        <v>7.6675092878009137E-5</v>
      </c>
    </row>
    <row r="219" spans="2:11" ht="15" customHeight="1">
      <c r="B219" s="333" t="s">
        <v>1128</v>
      </c>
      <c r="C219" s="334" t="s">
        <v>1129</v>
      </c>
      <c r="D219" s="335">
        <v>602.43385000000001</v>
      </c>
      <c r="E219" s="335">
        <v>24.89</v>
      </c>
      <c r="F219" s="335">
        <f t="shared" si="13"/>
        <v>14994.578526500001</v>
      </c>
      <c r="G219" s="336">
        <f t="shared" si="12"/>
        <v>3.0326456188237589E-4</v>
      </c>
      <c r="H219" s="109">
        <v>2.0088388911209322E-2</v>
      </c>
      <c r="I219" s="110">
        <f t="shared" si="14"/>
        <v>6.0920964620806729E-6</v>
      </c>
      <c r="J219" s="110">
        <v>7.4999999999999997E-2</v>
      </c>
      <c r="K219" s="110">
        <f t="shared" si="15"/>
        <v>2.2744842141178191E-5</v>
      </c>
    </row>
    <row r="220" spans="2:11" ht="15" customHeight="1">
      <c r="B220" s="333" t="s">
        <v>1235</v>
      </c>
      <c r="C220" s="334" t="s">
        <v>1236</v>
      </c>
      <c r="D220" s="335">
        <v>268.72000000000003</v>
      </c>
      <c r="E220" s="335">
        <v>1174.8599999999999</v>
      </c>
      <c r="F220" s="335">
        <f t="shared" si="13"/>
        <v>315708.37920000002</v>
      </c>
      <c r="G220" s="336" t="str">
        <f t="shared" si="12"/>
        <v/>
      </c>
      <c r="H220" s="109">
        <v>1.7023304904414144E-3</v>
      </c>
      <c r="I220" s="110" t="str">
        <f t="shared" si="14"/>
        <v/>
      </c>
      <c r="J220" s="110">
        <v>0.37649999999999995</v>
      </c>
      <c r="K220" s="110" t="str">
        <f t="shared" si="15"/>
        <v/>
      </c>
    </row>
    <row r="221" spans="2:11" ht="15" customHeight="1">
      <c r="B221" s="333" t="s">
        <v>347</v>
      </c>
      <c r="C221" s="334" t="s">
        <v>348</v>
      </c>
      <c r="D221" s="335">
        <v>1241.56987</v>
      </c>
      <c r="E221" s="335">
        <v>126.34</v>
      </c>
      <c r="F221" s="335">
        <f t="shared" si="13"/>
        <v>156859.93737580001</v>
      </c>
      <c r="G221" s="336">
        <f t="shared" si="12"/>
        <v>3.1724839815335977E-3</v>
      </c>
      <c r="H221" s="109">
        <v>2.5961690675953775E-2</v>
      </c>
      <c r="I221" s="110">
        <f t="shared" si="14"/>
        <v>8.2363047802993508E-5</v>
      </c>
      <c r="J221" s="110">
        <v>5.9000000000000004E-2</v>
      </c>
      <c r="K221" s="110">
        <f t="shared" si="15"/>
        <v>1.8717655491048228E-4</v>
      </c>
    </row>
    <row r="222" spans="2:11" ht="15" customHeight="1">
      <c r="B222" s="333" t="s">
        <v>349</v>
      </c>
      <c r="C222" s="334" t="s">
        <v>350</v>
      </c>
      <c r="D222" s="335">
        <v>533.68122000000005</v>
      </c>
      <c r="E222" s="335">
        <v>34.799999999999997</v>
      </c>
      <c r="F222" s="335">
        <f t="shared" si="13"/>
        <v>18572.106456000001</v>
      </c>
      <c r="G222" s="336">
        <f t="shared" si="12"/>
        <v>3.7561987605438582E-4</v>
      </c>
      <c r="H222" s="109">
        <v>7.0114942528735638E-2</v>
      </c>
      <c r="I222" s="110">
        <f t="shared" si="14"/>
        <v>2.6336566022204066E-5</v>
      </c>
      <c r="J222" s="110">
        <v>2.5549999999999996E-2</v>
      </c>
      <c r="K222" s="110">
        <f t="shared" si="15"/>
        <v>9.5970878331895569E-6</v>
      </c>
    </row>
    <row r="223" spans="2:11" ht="15" customHeight="1">
      <c r="B223" s="333" t="s">
        <v>351</v>
      </c>
      <c r="C223" s="334" t="s">
        <v>352</v>
      </c>
      <c r="D223" s="335">
        <v>77.644760000000005</v>
      </c>
      <c r="E223" s="335">
        <v>178.68</v>
      </c>
      <c r="F223" s="335">
        <f t="shared" si="13"/>
        <v>13873.565716800002</v>
      </c>
      <c r="G223" s="336" t="str">
        <f t="shared" si="12"/>
        <v/>
      </c>
      <c r="H223" s="109">
        <v>7.3875083948959034E-3</v>
      </c>
      <c r="I223" s="110" t="str">
        <f t="shared" si="14"/>
        <v/>
      </c>
      <c r="J223" s="110">
        <v>0</v>
      </c>
      <c r="K223" s="110" t="str">
        <f t="shared" si="15"/>
        <v/>
      </c>
    </row>
    <row r="224" spans="2:11" ht="15" customHeight="1">
      <c r="B224" s="333" t="s">
        <v>353</v>
      </c>
      <c r="C224" s="334" t="s">
        <v>354</v>
      </c>
      <c r="D224" s="335">
        <v>859.01484000000005</v>
      </c>
      <c r="E224" s="335">
        <v>255.43</v>
      </c>
      <c r="F224" s="335">
        <f t="shared" si="13"/>
        <v>219418.16058120001</v>
      </c>
      <c r="G224" s="336" t="str">
        <f t="shared" si="12"/>
        <v/>
      </c>
      <c r="H224" s="109">
        <v>4.3847629487530834E-3</v>
      </c>
      <c r="I224" s="110" t="str">
        <f t="shared" si="14"/>
        <v/>
      </c>
      <c r="J224" s="110">
        <v>0.20405000000000001</v>
      </c>
      <c r="K224" s="110" t="str">
        <f t="shared" si="15"/>
        <v/>
      </c>
    </row>
    <row r="225" spans="2:11" ht="15" customHeight="1">
      <c r="B225" s="333" t="s">
        <v>355</v>
      </c>
      <c r="C225" s="334" t="s">
        <v>356</v>
      </c>
      <c r="D225" s="335">
        <v>901.66520000000003</v>
      </c>
      <c r="E225" s="335">
        <v>77.08</v>
      </c>
      <c r="F225" s="335">
        <f t="shared" si="13"/>
        <v>69500.353616000008</v>
      </c>
      <c r="G225" s="336" t="str">
        <f t="shared" si="12"/>
        <v/>
      </c>
      <c r="H225" s="109">
        <v>9.3409444732745206E-3</v>
      </c>
      <c r="I225" s="110" t="str">
        <f t="shared" si="14"/>
        <v/>
      </c>
      <c r="J225" s="110">
        <v>0.22574999999999998</v>
      </c>
      <c r="K225" s="110" t="str">
        <f t="shared" si="15"/>
        <v/>
      </c>
    </row>
    <row r="226" spans="2:11" ht="15" customHeight="1">
      <c r="B226" s="333" t="s">
        <v>357</v>
      </c>
      <c r="C226" s="334" t="s">
        <v>358</v>
      </c>
      <c r="D226" s="335">
        <v>58.868679999999998</v>
      </c>
      <c r="E226" s="335">
        <v>292.81</v>
      </c>
      <c r="F226" s="335">
        <f t="shared" si="13"/>
        <v>17237.338190800001</v>
      </c>
      <c r="G226" s="336">
        <f t="shared" si="12"/>
        <v>3.4862425810854004E-4</v>
      </c>
      <c r="H226" s="109" t="s">
        <v>4</v>
      </c>
      <c r="I226" s="110" t="str">
        <f t="shared" si="14"/>
        <v/>
      </c>
      <c r="J226" s="110">
        <v>0.09</v>
      </c>
      <c r="K226" s="110">
        <f t="shared" si="15"/>
        <v>3.1376183229768603E-5</v>
      </c>
    </row>
    <row r="227" spans="2:11" ht="15" customHeight="1">
      <c r="B227" s="333" t="s">
        <v>359</v>
      </c>
      <c r="C227" s="334" t="s">
        <v>360</v>
      </c>
      <c r="D227" s="335">
        <v>5485.2786400000005</v>
      </c>
      <c r="E227" s="335">
        <v>353.33</v>
      </c>
      <c r="F227" s="335">
        <f t="shared" si="13"/>
        <v>1938113.5018712</v>
      </c>
      <c r="G227" s="336">
        <f t="shared" si="12"/>
        <v>3.9198243617487034E-2</v>
      </c>
      <c r="H227" s="109">
        <v>2.4905895338635273E-3</v>
      </c>
      <c r="I227" s="110">
        <f t="shared" si="14"/>
        <v>9.7626735299546013E-5</v>
      </c>
      <c r="J227" s="110">
        <v>0.18095</v>
      </c>
      <c r="K227" s="110">
        <f t="shared" si="15"/>
        <v>7.0929221825842791E-3</v>
      </c>
    </row>
    <row r="228" spans="2:11" ht="15" customHeight="1">
      <c r="B228" s="333" t="s">
        <v>359</v>
      </c>
      <c r="C228" s="334" t="s">
        <v>361</v>
      </c>
      <c r="D228" s="335">
        <v>5853.2786400000005</v>
      </c>
      <c r="E228" s="335">
        <v>357.37</v>
      </c>
      <c r="F228" s="335">
        <f t="shared" si="13"/>
        <v>2091786.1875768001</v>
      </c>
      <c r="G228" s="336">
        <f t="shared" si="12"/>
        <v>4.2306265601661799E-2</v>
      </c>
      <c r="H228" s="109">
        <v>2.4624338920446595E-3</v>
      </c>
      <c r="I228" s="110">
        <f t="shared" si="14"/>
        <v>1.0417638226337516E-4</v>
      </c>
      <c r="J228" s="110">
        <v>0.17094999999999999</v>
      </c>
      <c r="K228" s="110">
        <f t="shared" si="15"/>
        <v>7.2322561046040843E-3</v>
      </c>
    </row>
    <row r="229" spans="2:11" ht="15" customHeight="1">
      <c r="B229" s="333" t="s">
        <v>362</v>
      </c>
      <c r="C229" s="334" t="s">
        <v>363</v>
      </c>
      <c r="D229" s="335">
        <v>137.62455</v>
      </c>
      <c r="E229" s="335">
        <v>117.98</v>
      </c>
      <c r="F229" s="335">
        <f t="shared" si="13"/>
        <v>16236.944409</v>
      </c>
      <c r="G229" s="336" t="str">
        <f t="shared" si="12"/>
        <v/>
      </c>
      <c r="H229" s="109">
        <v>3.6023054755043228E-2</v>
      </c>
      <c r="I229" s="110" t="str">
        <f t="shared" si="14"/>
        <v/>
      </c>
      <c r="J229" s="110" t="s">
        <v>4</v>
      </c>
      <c r="K229" s="110" t="str">
        <f t="shared" si="15"/>
        <v/>
      </c>
    </row>
    <row r="230" spans="2:11" ht="15" customHeight="1">
      <c r="B230" s="333" t="s">
        <v>364</v>
      </c>
      <c r="C230" s="334" t="s">
        <v>365</v>
      </c>
      <c r="D230" s="335">
        <v>273.54351000000003</v>
      </c>
      <c r="E230" s="335">
        <v>72.56</v>
      </c>
      <c r="F230" s="335">
        <f t="shared" si="13"/>
        <v>19848.317085600003</v>
      </c>
      <c r="G230" s="336">
        <f t="shared" si="12"/>
        <v>4.0143116890074864E-4</v>
      </c>
      <c r="H230" s="109">
        <v>1.3781697905181918E-2</v>
      </c>
      <c r="I230" s="110">
        <f t="shared" si="14"/>
        <v>5.5324030995141762E-6</v>
      </c>
      <c r="J230" s="110">
        <v>0.02</v>
      </c>
      <c r="K230" s="110">
        <f t="shared" si="15"/>
        <v>8.0286233780149726E-6</v>
      </c>
    </row>
    <row r="231" spans="2:11" ht="15" customHeight="1">
      <c r="B231" s="333" t="s">
        <v>366</v>
      </c>
      <c r="C231" s="334" t="s">
        <v>367</v>
      </c>
      <c r="D231" s="335">
        <v>192.85621</v>
      </c>
      <c r="E231" s="335">
        <v>237.54</v>
      </c>
      <c r="F231" s="335">
        <f t="shared" si="13"/>
        <v>45811.0641234</v>
      </c>
      <c r="G231" s="336">
        <f t="shared" si="12"/>
        <v>9.2652636192443693E-4</v>
      </c>
      <c r="H231" s="109">
        <v>1.7681232634503663E-2</v>
      </c>
      <c r="I231" s="110">
        <f t="shared" si="14"/>
        <v>1.6382128147186307E-5</v>
      </c>
      <c r="J231" s="110">
        <v>0.08</v>
      </c>
      <c r="K231" s="110">
        <f t="shared" si="15"/>
        <v>7.4122108953954955E-5</v>
      </c>
    </row>
    <row r="232" spans="2:11" ht="15" customHeight="1">
      <c r="B232" s="333" t="s">
        <v>368</v>
      </c>
      <c r="C232" s="334" t="s">
        <v>369</v>
      </c>
      <c r="D232" s="335">
        <v>295.00742000000002</v>
      </c>
      <c r="E232" s="335">
        <v>1011.37</v>
      </c>
      <c r="F232" s="335">
        <f t="shared" si="13"/>
        <v>298361.65436540003</v>
      </c>
      <c r="G232" s="336">
        <f t="shared" si="12"/>
        <v>6.0343487637024044E-3</v>
      </c>
      <c r="H232" s="109">
        <v>1.7797640823833019E-2</v>
      </c>
      <c r="I232" s="110">
        <f t="shared" si="14"/>
        <v>1.0739717190211623E-4</v>
      </c>
      <c r="J232" s="110">
        <v>0.10639999999999999</v>
      </c>
      <c r="K232" s="110">
        <f t="shared" si="15"/>
        <v>6.4205470845793585E-4</v>
      </c>
    </row>
    <row r="233" spans="2:11" ht="15" customHeight="1">
      <c r="B233" s="333" t="s">
        <v>370</v>
      </c>
      <c r="C233" s="334" t="s">
        <v>371</v>
      </c>
      <c r="D233" s="335">
        <v>47.213120000000004</v>
      </c>
      <c r="E233" s="335">
        <v>1360.4</v>
      </c>
      <c r="F233" s="335">
        <f t="shared" si="13"/>
        <v>64228.728448000009</v>
      </c>
      <c r="G233" s="336">
        <f t="shared" si="12"/>
        <v>1.2990226539959569E-3</v>
      </c>
      <c r="H233" s="109">
        <v>7.3213760658629818E-3</v>
      </c>
      <c r="I233" s="110">
        <f t="shared" si="14"/>
        <v>9.5106333679798084E-6</v>
      </c>
      <c r="J233" s="110">
        <v>0.11674999999999999</v>
      </c>
      <c r="K233" s="110">
        <f t="shared" si="15"/>
        <v>1.5166089485402798E-4</v>
      </c>
    </row>
    <row r="234" spans="2:11" ht="15" customHeight="1">
      <c r="B234" s="333" t="s">
        <v>372</v>
      </c>
      <c r="C234" s="334" t="s">
        <v>373</v>
      </c>
      <c r="D234" s="335">
        <v>835.39774</v>
      </c>
      <c r="E234" s="335">
        <v>33.950000000000003</v>
      </c>
      <c r="F234" s="335">
        <f t="shared" si="13"/>
        <v>28361.753273000002</v>
      </c>
      <c r="G234" s="336">
        <f t="shared" si="12"/>
        <v>5.7361496792668028E-4</v>
      </c>
      <c r="H234" s="109">
        <v>2.0029455081001471E-2</v>
      </c>
      <c r="I234" s="110">
        <f t="shared" si="14"/>
        <v>1.1489195233877541E-5</v>
      </c>
      <c r="J234" s="110">
        <v>7.4349999999999999E-2</v>
      </c>
      <c r="K234" s="110">
        <f t="shared" si="15"/>
        <v>4.2648272865348679E-5</v>
      </c>
    </row>
    <row r="235" spans="2:11" ht="15" customHeight="1">
      <c r="B235" s="333" t="s">
        <v>374</v>
      </c>
      <c r="C235" s="334" t="s">
        <v>375</v>
      </c>
      <c r="D235" s="335">
        <v>141.49069</v>
      </c>
      <c r="E235" s="335">
        <v>82.59</v>
      </c>
      <c r="F235" s="335">
        <f t="shared" si="13"/>
        <v>11685.7160871</v>
      </c>
      <c r="G235" s="336">
        <f t="shared" si="12"/>
        <v>2.3634299311401941E-4</v>
      </c>
      <c r="H235" s="109">
        <v>3.3902409492674652E-2</v>
      </c>
      <c r="I235" s="110">
        <f t="shared" si="14"/>
        <v>8.0125969332758726E-6</v>
      </c>
      <c r="J235" s="110">
        <v>7.1550000000000002E-2</v>
      </c>
      <c r="K235" s="110">
        <f t="shared" si="15"/>
        <v>1.6910341157308091E-5</v>
      </c>
    </row>
    <row r="236" spans="2:11" ht="15" customHeight="1">
      <c r="B236" s="333" t="s">
        <v>376</v>
      </c>
      <c r="C236" s="334" t="s">
        <v>377</v>
      </c>
      <c r="D236" s="335">
        <v>2027.13059</v>
      </c>
      <c r="E236" s="335">
        <v>17.73</v>
      </c>
      <c r="F236" s="335">
        <f t="shared" si="13"/>
        <v>35941.025360699998</v>
      </c>
      <c r="G236" s="336">
        <f t="shared" si="12"/>
        <v>7.269053471795191E-4</v>
      </c>
      <c r="H236" s="109">
        <v>3.4968979131415681E-2</v>
      </c>
      <c r="I236" s="110">
        <f t="shared" si="14"/>
        <v>2.5419137916035073E-5</v>
      </c>
      <c r="J236" s="110">
        <v>0.10820000000000002</v>
      </c>
      <c r="K236" s="110">
        <f t="shared" si="15"/>
        <v>7.865115856482398E-5</v>
      </c>
    </row>
    <row r="237" spans="2:11" ht="15" customHeight="1">
      <c r="B237" s="333" t="s">
        <v>378</v>
      </c>
      <c r="C237" s="334" t="s">
        <v>379</v>
      </c>
      <c r="D237" s="335">
        <v>221.8398</v>
      </c>
      <c r="E237" s="335">
        <v>389.89</v>
      </c>
      <c r="F237" s="335">
        <f t="shared" si="13"/>
        <v>86493.119621999998</v>
      </c>
      <c r="G237" s="336">
        <f t="shared" si="12"/>
        <v>1.7493187942327828E-3</v>
      </c>
      <c r="H237" s="109">
        <v>8.002257046859371E-3</v>
      </c>
      <c r="I237" s="110">
        <f t="shared" si="14"/>
        <v>1.3998498648352824E-5</v>
      </c>
      <c r="J237" s="110">
        <v>8.6850000000000011E-2</v>
      </c>
      <c r="K237" s="110">
        <f t="shared" si="15"/>
        <v>1.5192833727911719E-4</v>
      </c>
    </row>
    <row r="238" spans="2:11" ht="15" customHeight="1">
      <c r="B238" s="333" t="s">
        <v>380</v>
      </c>
      <c r="C238" s="334" t="s">
        <v>381</v>
      </c>
      <c r="D238" s="335">
        <v>997.11667999999997</v>
      </c>
      <c r="E238" s="335">
        <v>352.68</v>
      </c>
      <c r="F238" s="335">
        <f t="shared" si="13"/>
        <v>351663.11070239998</v>
      </c>
      <c r="G238" s="336">
        <f t="shared" si="12"/>
        <v>7.112367914101689E-3</v>
      </c>
      <c r="H238" s="109">
        <v>2.6426222070999206E-2</v>
      </c>
      <c r="I238" s="110">
        <f t="shared" si="14"/>
        <v>1.8795301394870063E-4</v>
      </c>
      <c r="J238" s="110">
        <v>8.3849999999999994E-2</v>
      </c>
      <c r="K238" s="110">
        <f t="shared" si="15"/>
        <v>5.963720495974266E-4</v>
      </c>
    </row>
    <row r="239" spans="2:11" ht="15" customHeight="1">
      <c r="B239" s="333" t="s">
        <v>1207</v>
      </c>
      <c r="C239" s="334" t="s">
        <v>382</v>
      </c>
      <c r="D239" s="335">
        <v>274.13082000000003</v>
      </c>
      <c r="E239" s="335">
        <v>132.52000000000001</v>
      </c>
      <c r="F239" s="335">
        <f t="shared" si="13"/>
        <v>36327.816266400005</v>
      </c>
      <c r="G239" s="336">
        <f t="shared" si="12"/>
        <v>7.3472817289948816E-4</v>
      </c>
      <c r="H239" s="109">
        <v>1.8110473890733472E-2</v>
      </c>
      <c r="I239" s="110">
        <f t="shared" si="14"/>
        <v>1.3306275392082488E-5</v>
      </c>
      <c r="J239" s="110">
        <v>4.4650000000000002E-2</v>
      </c>
      <c r="K239" s="110">
        <f t="shared" si="15"/>
        <v>3.2805612919962148E-5</v>
      </c>
    </row>
    <row r="240" spans="2:11" ht="15" customHeight="1">
      <c r="B240" s="333" t="s">
        <v>383</v>
      </c>
      <c r="C240" s="334" t="s">
        <v>384</v>
      </c>
      <c r="D240" s="335">
        <v>39.404029999999999</v>
      </c>
      <c r="E240" s="335">
        <v>279.89</v>
      </c>
      <c r="F240" s="335">
        <f t="shared" si="13"/>
        <v>11028.793956699999</v>
      </c>
      <c r="G240" s="336">
        <f t="shared" si="12"/>
        <v>2.2305677758521959E-4</v>
      </c>
      <c r="H240" s="109">
        <v>1.9722033656079174E-2</v>
      </c>
      <c r="I240" s="110">
        <f t="shared" si="14"/>
        <v>4.3991332747522671E-6</v>
      </c>
      <c r="J240" s="110">
        <v>7.0000000000000007E-2</v>
      </c>
      <c r="K240" s="110">
        <f t="shared" si="15"/>
        <v>1.5613974430965372E-5</v>
      </c>
    </row>
    <row r="241" spans="2:11" ht="15" customHeight="1">
      <c r="B241" s="333" t="s">
        <v>385</v>
      </c>
      <c r="C241" s="334" t="s">
        <v>386</v>
      </c>
      <c r="D241" s="335">
        <v>227.64837</v>
      </c>
      <c r="E241" s="335">
        <v>330.46</v>
      </c>
      <c r="F241" s="335">
        <f t="shared" si="13"/>
        <v>75228.680350199997</v>
      </c>
      <c r="G241" s="336">
        <f t="shared" si="12"/>
        <v>1.5214961025462005E-3</v>
      </c>
      <c r="H241" s="109">
        <v>1.8156509108515403E-3</v>
      </c>
      <c r="I241" s="110">
        <f t="shared" si="14"/>
        <v>2.7625057844450773E-6</v>
      </c>
      <c r="J241" s="110">
        <v>0.12940000000000002</v>
      </c>
      <c r="K241" s="110">
        <f t="shared" si="15"/>
        <v>1.9688159566947836E-4</v>
      </c>
    </row>
    <row r="242" spans="2:11" ht="15" customHeight="1">
      <c r="B242" s="333" t="s">
        <v>387</v>
      </c>
      <c r="C242" s="334" t="s">
        <v>388</v>
      </c>
      <c r="D242" s="335">
        <v>316.93975</v>
      </c>
      <c r="E242" s="335">
        <v>223.9</v>
      </c>
      <c r="F242" s="335">
        <f t="shared" si="13"/>
        <v>70962.810024999999</v>
      </c>
      <c r="G242" s="336">
        <f t="shared" si="12"/>
        <v>1.4352190996326166E-3</v>
      </c>
      <c r="H242" s="109">
        <v>4.2518981688253681E-2</v>
      </c>
      <c r="I242" s="110">
        <f t="shared" si="14"/>
        <v>6.1024054615911156E-5</v>
      </c>
      <c r="J242" s="110">
        <v>0.10535</v>
      </c>
      <c r="K242" s="110">
        <f t="shared" si="15"/>
        <v>1.5120033214629616E-4</v>
      </c>
    </row>
    <row r="243" spans="2:11" ht="15" customHeight="1">
      <c r="B243" s="333" t="s">
        <v>1514</v>
      </c>
      <c r="C243" s="334" t="s">
        <v>1515</v>
      </c>
      <c r="D243" s="335">
        <v>316.93975</v>
      </c>
      <c r="E243" s="335">
        <v>221.08</v>
      </c>
      <c r="F243" s="335">
        <f t="shared" si="13"/>
        <v>70069.039929999999</v>
      </c>
      <c r="G243" s="336">
        <f t="shared" si="12"/>
        <v>1.417142646479584E-3</v>
      </c>
      <c r="H243" s="109" t="s">
        <v>4</v>
      </c>
      <c r="I243" s="110" t="str">
        <f t="shared" si="14"/>
        <v/>
      </c>
      <c r="J243" s="110">
        <v>7.4999999999999997E-2</v>
      </c>
      <c r="K243" s="110">
        <f t="shared" si="15"/>
        <v>1.062856984859688E-4</v>
      </c>
    </row>
    <row r="244" spans="2:11" ht="15" customHeight="1">
      <c r="B244" s="333" t="s">
        <v>1224</v>
      </c>
      <c r="C244" s="334" t="s">
        <v>1225</v>
      </c>
      <c r="D244" s="335">
        <v>791.18470000000002</v>
      </c>
      <c r="E244" s="335">
        <v>100.28</v>
      </c>
      <c r="F244" s="335">
        <f t="shared" si="13"/>
        <v>79340.001715999999</v>
      </c>
      <c r="G244" s="336" t="str">
        <f t="shared" si="12"/>
        <v/>
      </c>
      <c r="H244" s="109" t="s">
        <v>4</v>
      </c>
      <c r="I244" s="110" t="str">
        <f t="shared" si="14"/>
        <v/>
      </c>
      <c r="J244" s="110">
        <v>0.23135</v>
      </c>
      <c r="K244" s="110" t="str">
        <f t="shared" si="15"/>
        <v/>
      </c>
    </row>
    <row r="245" spans="2:11" ht="15" customHeight="1">
      <c r="B245" s="333" t="s">
        <v>389</v>
      </c>
      <c r="C245" s="334" t="s">
        <v>390</v>
      </c>
      <c r="D245" s="335">
        <v>1324.20352</v>
      </c>
      <c r="E245" s="335">
        <v>45.11</v>
      </c>
      <c r="F245" s="335">
        <f t="shared" si="13"/>
        <v>59734.820787199998</v>
      </c>
      <c r="G245" s="336">
        <f t="shared" si="12"/>
        <v>1.2081336079661662E-3</v>
      </c>
      <c r="H245" s="109">
        <v>1.2635779206384392E-2</v>
      </c>
      <c r="I245" s="110">
        <f t="shared" si="14"/>
        <v>1.5265709522073036E-5</v>
      </c>
      <c r="J245" s="110">
        <v>0.18740000000000001</v>
      </c>
      <c r="K245" s="110">
        <f t="shared" si="15"/>
        <v>2.2640423813285958E-4</v>
      </c>
    </row>
    <row r="246" spans="2:11" ht="15" customHeight="1">
      <c r="B246" s="333" t="s">
        <v>391</v>
      </c>
      <c r="C246" s="334" t="s">
        <v>392</v>
      </c>
      <c r="D246" s="335">
        <v>914.52269000000001</v>
      </c>
      <c r="E246" s="335">
        <v>21.94</v>
      </c>
      <c r="F246" s="335">
        <f t="shared" si="13"/>
        <v>20064.627818600002</v>
      </c>
      <c r="G246" s="336">
        <f t="shared" si="12"/>
        <v>4.0580604209626835E-4</v>
      </c>
      <c r="H246" s="109">
        <v>5.4694621695533269E-2</v>
      </c>
      <c r="I246" s="110">
        <f t="shared" si="14"/>
        <v>2.2195407954217045E-5</v>
      </c>
      <c r="J246" s="110">
        <v>3.4950000000000002E-2</v>
      </c>
      <c r="K246" s="110">
        <f t="shared" si="15"/>
        <v>1.418292117126458E-5</v>
      </c>
    </row>
    <row r="247" spans="2:11" ht="15" customHeight="1">
      <c r="B247" s="333" t="s">
        <v>393</v>
      </c>
      <c r="C247" s="334" t="s">
        <v>394</v>
      </c>
      <c r="D247" s="335">
        <v>550.31496000000004</v>
      </c>
      <c r="E247" s="335">
        <v>24.82</v>
      </c>
      <c r="F247" s="335">
        <f t="shared" si="13"/>
        <v>13658.817307200001</v>
      </c>
      <c r="G247" s="336">
        <f t="shared" si="12"/>
        <v>2.7624886149209374E-4</v>
      </c>
      <c r="H247" s="109">
        <v>4.7139403706688149E-2</v>
      </c>
      <c r="I247" s="110">
        <f t="shared" si="14"/>
        <v>1.3022206605388784E-5</v>
      </c>
      <c r="J247" s="110">
        <v>5.8050000000000004E-2</v>
      </c>
      <c r="K247" s="110">
        <f t="shared" si="15"/>
        <v>1.6036246409616043E-5</v>
      </c>
    </row>
    <row r="248" spans="2:11" ht="15" customHeight="1">
      <c r="B248" s="333" t="s">
        <v>395</v>
      </c>
      <c r="C248" s="334" t="s">
        <v>396</v>
      </c>
      <c r="D248" s="335">
        <v>114.42468</v>
      </c>
      <c r="E248" s="335">
        <v>83.52</v>
      </c>
      <c r="F248" s="335">
        <f t="shared" si="13"/>
        <v>9556.7492735999986</v>
      </c>
      <c r="G248" s="336">
        <f t="shared" si="12"/>
        <v>1.9328475130901289E-4</v>
      </c>
      <c r="H248" s="109" t="s">
        <v>4</v>
      </c>
      <c r="I248" s="110" t="str">
        <f t="shared" si="14"/>
        <v/>
      </c>
      <c r="J248" s="110">
        <v>0.11285000000000001</v>
      </c>
      <c r="K248" s="110">
        <f t="shared" si="15"/>
        <v>2.1812184185222105E-5</v>
      </c>
    </row>
    <row r="249" spans="2:11" ht="15" customHeight="1">
      <c r="B249" s="333" t="s">
        <v>397</v>
      </c>
      <c r="C249" s="334" t="s">
        <v>398</v>
      </c>
      <c r="D249" s="335">
        <v>684.87927999999999</v>
      </c>
      <c r="E249" s="335">
        <v>23.71</v>
      </c>
      <c r="F249" s="335">
        <f t="shared" si="13"/>
        <v>16238.487728800001</v>
      </c>
      <c r="G249" s="336">
        <f t="shared" si="12"/>
        <v>3.2842256006086941E-4</v>
      </c>
      <c r="H249" s="109">
        <v>3.3741037536904259E-2</v>
      </c>
      <c r="I249" s="110">
        <f t="shared" si="14"/>
        <v>1.1081317926979988E-5</v>
      </c>
      <c r="J249" s="110">
        <v>5.0999999999999997E-2</v>
      </c>
      <c r="K249" s="110">
        <f t="shared" si="15"/>
        <v>1.6749550563104338E-5</v>
      </c>
    </row>
    <row r="250" spans="2:11" ht="15" customHeight="1">
      <c r="B250" s="333" t="s">
        <v>399</v>
      </c>
      <c r="C250" s="334" t="s">
        <v>400</v>
      </c>
      <c r="D250" s="335">
        <v>148.22986</v>
      </c>
      <c r="E250" s="335">
        <v>175.45</v>
      </c>
      <c r="F250" s="335">
        <f t="shared" si="13"/>
        <v>26006.928936999997</v>
      </c>
      <c r="G250" s="336">
        <f t="shared" si="12"/>
        <v>5.2598876961074202E-4</v>
      </c>
      <c r="H250" s="109">
        <v>3.310344827586207E-2</v>
      </c>
      <c r="I250" s="110">
        <f t="shared" si="14"/>
        <v>1.7412042028493528E-5</v>
      </c>
      <c r="J250" s="110">
        <v>0.13</v>
      </c>
      <c r="K250" s="110">
        <f t="shared" si="15"/>
        <v>6.8378540049396467E-5</v>
      </c>
    </row>
    <row r="251" spans="2:11" ht="15" customHeight="1">
      <c r="B251" s="333" t="s">
        <v>1181</v>
      </c>
      <c r="C251" s="334" t="s">
        <v>1182</v>
      </c>
      <c r="D251" s="335">
        <v>52.84178</v>
      </c>
      <c r="E251" s="335">
        <v>523.20000000000005</v>
      </c>
      <c r="F251" s="335">
        <f t="shared" si="13"/>
        <v>27646.819296000001</v>
      </c>
      <c r="G251" s="336">
        <f t="shared" si="12"/>
        <v>5.591554658522102E-4</v>
      </c>
      <c r="H251" s="109">
        <v>1.0856269113149845E-2</v>
      </c>
      <c r="I251" s="110">
        <f t="shared" si="14"/>
        <v>6.0703422133802626E-6</v>
      </c>
      <c r="J251" s="110">
        <v>7.4999999999999997E-2</v>
      </c>
      <c r="K251" s="110">
        <f t="shared" si="15"/>
        <v>4.1936659938915763E-5</v>
      </c>
    </row>
    <row r="252" spans="2:11" ht="15" customHeight="1">
      <c r="B252" s="333" t="s">
        <v>401</v>
      </c>
      <c r="C252" s="334" t="s">
        <v>402</v>
      </c>
      <c r="D252" s="335">
        <v>120.0615</v>
      </c>
      <c r="E252" s="335">
        <v>397.22</v>
      </c>
      <c r="F252" s="335">
        <f t="shared" si="13"/>
        <v>47690.829030000001</v>
      </c>
      <c r="G252" s="336">
        <f t="shared" si="12"/>
        <v>9.6454450827209402E-4</v>
      </c>
      <c r="H252" s="109">
        <v>8.9119379688837423E-3</v>
      </c>
      <c r="I252" s="110">
        <f t="shared" si="14"/>
        <v>8.5959608259483737E-6</v>
      </c>
      <c r="J252" s="110">
        <v>9.1999999999999985E-2</v>
      </c>
      <c r="K252" s="110">
        <f t="shared" si="15"/>
        <v>8.8738094761032629E-5</v>
      </c>
    </row>
    <row r="253" spans="2:11" ht="15" customHeight="1">
      <c r="B253" s="333" t="s">
        <v>403</v>
      </c>
      <c r="C253" s="334" t="s">
        <v>404</v>
      </c>
      <c r="D253" s="335">
        <v>400.10748000000001</v>
      </c>
      <c r="E253" s="335">
        <v>268.86</v>
      </c>
      <c r="F253" s="335">
        <f t="shared" si="13"/>
        <v>107572.89707280001</v>
      </c>
      <c r="G253" s="336">
        <f t="shared" si="12"/>
        <v>2.1756561842365706E-3</v>
      </c>
      <c r="H253" s="109">
        <v>1.7853157777281854E-3</v>
      </c>
      <c r="I253" s="110">
        <f t="shared" si="14"/>
        <v>3.8842333126294494E-6</v>
      </c>
      <c r="J253" s="110">
        <v>0.18</v>
      </c>
      <c r="K253" s="110">
        <f t="shared" si="15"/>
        <v>3.916181131625827E-4</v>
      </c>
    </row>
    <row r="254" spans="2:11" ht="15" customHeight="1">
      <c r="B254" s="333" t="s">
        <v>1151</v>
      </c>
      <c r="C254" s="334" t="s">
        <v>1152</v>
      </c>
      <c r="D254" s="335">
        <v>445.48435999999998</v>
      </c>
      <c r="E254" s="335">
        <v>87.04</v>
      </c>
      <c r="F254" s="335">
        <f t="shared" si="13"/>
        <v>38774.958694400004</v>
      </c>
      <c r="G254" s="336">
        <f t="shared" si="12"/>
        <v>7.8422149976957131E-4</v>
      </c>
      <c r="H254" s="109">
        <v>4.0211397058823525E-3</v>
      </c>
      <c r="I254" s="110">
        <f t="shared" si="14"/>
        <v>3.1534642109300315E-6</v>
      </c>
      <c r="J254" s="110">
        <v>0.14405000000000001</v>
      </c>
      <c r="K254" s="110">
        <f t="shared" si="15"/>
        <v>1.1296710704180675E-4</v>
      </c>
    </row>
    <row r="255" spans="2:11" ht="15" customHeight="1">
      <c r="B255" s="333" t="s">
        <v>405</v>
      </c>
      <c r="C255" s="334" t="s">
        <v>406</v>
      </c>
      <c r="D255" s="335">
        <v>939.88527999999997</v>
      </c>
      <c r="E255" s="335">
        <v>281.20999999999998</v>
      </c>
      <c r="F255" s="335">
        <f t="shared" si="13"/>
        <v>264305.13958879997</v>
      </c>
      <c r="G255" s="336">
        <f t="shared" si="12"/>
        <v>5.3455575439483238E-3</v>
      </c>
      <c r="H255" s="109">
        <v>2.4038974431919206E-2</v>
      </c>
      <c r="I255" s="110">
        <f t="shared" si="14"/>
        <v>1.2850172112332657E-4</v>
      </c>
      <c r="J255" s="110">
        <v>7.2899999999999993E-2</v>
      </c>
      <c r="K255" s="110">
        <f t="shared" si="15"/>
        <v>3.8969114495383274E-4</v>
      </c>
    </row>
    <row r="256" spans="2:11" ht="15" customHeight="1">
      <c r="B256" s="333" t="s">
        <v>407</v>
      </c>
      <c r="C256" s="334" t="s">
        <v>408</v>
      </c>
      <c r="D256" s="335">
        <v>565.51248999999996</v>
      </c>
      <c r="E256" s="335">
        <v>123.11</v>
      </c>
      <c r="F256" s="335">
        <f t="shared" si="13"/>
        <v>69620.242643899997</v>
      </c>
      <c r="G256" s="336">
        <f t="shared" si="12"/>
        <v>1.4080657449779793E-3</v>
      </c>
      <c r="H256" s="109">
        <v>1.6895459345300953E-2</v>
      </c>
      <c r="I256" s="110">
        <f t="shared" si="14"/>
        <v>2.3789917549786349E-5</v>
      </c>
      <c r="J256" s="110">
        <v>0.1235</v>
      </c>
      <c r="K256" s="110">
        <f t="shared" si="15"/>
        <v>1.7389611950478044E-4</v>
      </c>
    </row>
    <row r="257" spans="2:11" ht="15" customHeight="1">
      <c r="B257" s="333" t="s">
        <v>409</v>
      </c>
      <c r="C257" s="334" t="s">
        <v>410</v>
      </c>
      <c r="D257" s="335">
        <v>78.882999999999996</v>
      </c>
      <c r="E257" s="335">
        <v>526.44000000000005</v>
      </c>
      <c r="F257" s="335">
        <f t="shared" si="13"/>
        <v>41527.166519999999</v>
      </c>
      <c r="G257" s="336">
        <f t="shared" si="12"/>
        <v>8.398847582576143E-4</v>
      </c>
      <c r="H257" s="109" t="s">
        <v>4</v>
      </c>
      <c r="I257" s="110" t="str">
        <f t="shared" si="14"/>
        <v/>
      </c>
      <c r="J257" s="110">
        <v>0.12225</v>
      </c>
      <c r="K257" s="110">
        <f t="shared" si="15"/>
        <v>1.0267591169699335E-4</v>
      </c>
    </row>
    <row r="258" spans="2:11" ht="15" customHeight="1">
      <c r="B258" s="333" t="s">
        <v>411</v>
      </c>
      <c r="C258" s="334" t="s">
        <v>412</v>
      </c>
      <c r="D258" s="335">
        <v>74.015050000000002</v>
      </c>
      <c r="E258" s="335">
        <v>226.95</v>
      </c>
      <c r="F258" s="335">
        <f t="shared" si="13"/>
        <v>16797.715597499999</v>
      </c>
      <c r="G258" s="336">
        <f t="shared" si="12"/>
        <v>3.3973291428616461E-4</v>
      </c>
      <c r="H258" s="109">
        <v>1.2866270103547036E-2</v>
      </c>
      <c r="I258" s="110">
        <f t="shared" si="14"/>
        <v>4.3710954382709872E-6</v>
      </c>
      <c r="J258" s="110">
        <v>4.4999999999999998E-2</v>
      </c>
      <c r="K258" s="110">
        <f t="shared" si="15"/>
        <v>1.5287981142877407E-5</v>
      </c>
    </row>
    <row r="259" spans="2:11" ht="15" customHeight="1">
      <c r="B259" s="333" t="s">
        <v>413</v>
      </c>
      <c r="C259" s="334" t="s">
        <v>414</v>
      </c>
      <c r="D259" s="335">
        <v>255.30347</v>
      </c>
      <c r="E259" s="335">
        <v>79.22</v>
      </c>
      <c r="F259" s="335">
        <f t="shared" si="13"/>
        <v>20225.140893399999</v>
      </c>
      <c r="G259" s="336">
        <f t="shared" si="12"/>
        <v>4.0905241059002663E-4</v>
      </c>
      <c r="H259" s="109">
        <v>2.0196919969704623E-2</v>
      </c>
      <c r="I259" s="110">
        <f t="shared" si="14"/>
        <v>8.2615988001015234E-6</v>
      </c>
      <c r="J259" s="110">
        <v>8.2250000000000004E-2</v>
      </c>
      <c r="K259" s="110">
        <f t="shared" si="15"/>
        <v>3.3644560771029694E-5</v>
      </c>
    </row>
    <row r="260" spans="2:11" ht="15" customHeight="1">
      <c r="B260" s="333" t="s">
        <v>415</v>
      </c>
      <c r="C260" s="334" t="s">
        <v>416</v>
      </c>
      <c r="D260" s="335">
        <v>199.78216</v>
      </c>
      <c r="E260" s="335">
        <v>113.36</v>
      </c>
      <c r="F260" s="335">
        <f t="shared" si="13"/>
        <v>22647.305657600002</v>
      </c>
      <c r="G260" s="336">
        <f t="shared" si="12"/>
        <v>4.580405655237486E-4</v>
      </c>
      <c r="H260" s="109" t="s">
        <v>4</v>
      </c>
      <c r="I260" s="110" t="str">
        <f t="shared" si="14"/>
        <v/>
      </c>
      <c r="J260" s="110">
        <v>0.17115</v>
      </c>
      <c r="K260" s="110">
        <f t="shared" si="15"/>
        <v>7.8393642789389566E-5</v>
      </c>
    </row>
    <row r="261" spans="2:11" ht="15" customHeight="1">
      <c r="B261" s="333" t="s">
        <v>417</v>
      </c>
      <c r="C261" s="334" t="s">
        <v>418</v>
      </c>
      <c r="D261" s="335">
        <v>5026</v>
      </c>
      <c r="E261" s="335">
        <v>139.63</v>
      </c>
      <c r="F261" s="335">
        <f t="shared" si="13"/>
        <v>701780.38</v>
      </c>
      <c r="G261" s="336" t="str">
        <f t="shared" si="12"/>
        <v/>
      </c>
      <c r="H261" s="109" t="s">
        <v>4</v>
      </c>
      <c r="I261" s="110" t="str">
        <f t="shared" si="14"/>
        <v/>
      </c>
      <c r="J261" s="110">
        <v>0.51265000000000005</v>
      </c>
      <c r="K261" s="110" t="str">
        <f t="shared" si="15"/>
        <v/>
      </c>
    </row>
    <row r="262" spans="2:11" ht="15" customHeight="1">
      <c r="B262" s="333" t="s">
        <v>419</v>
      </c>
      <c r="C262" s="334" t="s">
        <v>420</v>
      </c>
      <c r="D262" s="335">
        <v>273.53699999999998</v>
      </c>
      <c r="E262" s="335">
        <v>261</v>
      </c>
      <c r="F262" s="335">
        <f t="shared" si="13"/>
        <v>71393.156999999992</v>
      </c>
      <c r="G262" s="336">
        <f t="shared" si="12"/>
        <v>1.4439228445628344E-3</v>
      </c>
      <c r="H262" s="109">
        <v>1.8390804597701149E-2</v>
      </c>
      <c r="I262" s="110">
        <f t="shared" si="14"/>
        <v>2.6554902888511898E-5</v>
      </c>
      <c r="J262" s="110">
        <v>0.14415</v>
      </c>
      <c r="K262" s="110">
        <f t="shared" si="15"/>
        <v>2.0814147804373259E-4</v>
      </c>
    </row>
    <row r="263" spans="2:11" ht="15" customHeight="1">
      <c r="B263" s="333" t="s">
        <v>1091</v>
      </c>
      <c r="C263" s="334" t="s">
        <v>1092</v>
      </c>
      <c r="D263" s="335">
        <v>594.04196000000002</v>
      </c>
      <c r="E263" s="335">
        <v>30.21</v>
      </c>
      <c r="F263" s="335">
        <f t="shared" si="13"/>
        <v>17946.007611600002</v>
      </c>
      <c r="G263" s="336">
        <f t="shared" si="12"/>
        <v>3.6295705986342299E-4</v>
      </c>
      <c r="H263" s="109">
        <v>3.9721946375372394E-2</v>
      </c>
      <c r="I263" s="110">
        <f t="shared" si="14"/>
        <v>1.4417360868457716E-5</v>
      </c>
      <c r="J263" s="110">
        <v>6.5049999999999997E-2</v>
      </c>
      <c r="K263" s="110">
        <f t="shared" si="15"/>
        <v>2.3610356744115666E-5</v>
      </c>
    </row>
    <row r="264" spans="2:11" ht="15" customHeight="1">
      <c r="B264" s="333" t="s">
        <v>421</v>
      </c>
      <c r="C264" s="334" t="s">
        <v>422</v>
      </c>
      <c r="D264" s="335">
        <v>529.51697000000001</v>
      </c>
      <c r="E264" s="335">
        <v>38.1</v>
      </c>
      <c r="F264" s="335">
        <f t="shared" si="13"/>
        <v>20174.596557000001</v>
      </c>
      <c r="G264" s="336">
        <f t="shared" si="12"/>
        <v>4.0803015404531013E-4</v>
      </c>
      <c r="H264" s="109">
        <v>4.8556430446194225E-2</v>
      </c>
      <c r="I264" s="110">
        <f t="shared" si="14"/>
        <v>1.9812487794851017E-5</v>
      </c>
      <c r="J264" s="110">
        <v>9.5000000000000001E-2</v>
      </c>
      <c r="K264" s="110">
        <f t="shared" si="15"/>
        <v>3.8762864634304461E-5</v>
      </c>
    </row>
    <row r="265" spans="2:11" ht="15" customHeight="1">
      <c r="B265" s="333" t="s">
        <v>423</v>
      </c>
      <c r="C265" s="334" t="s">
        <v>424</v>
      </c>
      <c r="D265" s="335">
        <v>166.9</v>
      </c>
      <c r="E265" s="335">
        <v>193.22</v>
      </c>
      <c r="F265" s="335">
        <f t="shared" si="13"/>
        <v>32248.418000000001</v>
      </c>
      <c r="G265" s="336">
        <f t="shared" si="12"/>
        <v>6.5222255756544449E-4</v>
      </c>
      <c r="H265" s="109" t="s">
        <v>4</v>
      </c>
      <c r="I265" s="110" t="str">
        <f t="shared" si="14"/>
        <v/>
      </c>
      <c r="J265" s="110">
        <v>8.0149999999999999E-2</v>
      </c>
      <c r="K265" s="110">
        <f t="shared" si="15"/>
        <v>5.2275637988870375E-5</v>
      </c>
    </row>
    <row r="266" spans="2:11" ht="15" customHeight="1">
      <c r="B266" s="333" t="s">
        <v>425</v>
      </c>
      <c r="C266" s="334" t="s">
        <v>426</v>
      </c>
      <c r="D266" s="335">
        <v>391.33683000000002</v>
      </c>
      <c r="E266" s="335">
        <v>81.99</v>
      </c>
      <c r="F266" s="335">
        <f t="shared" si="13"/>
        <v>32085.706691700001</v>
      </c>
      <c r="G266" s="336">
        <f t="shared" si="12"/>
        <v>6.4893172991479055E-4</v>
      </c>
      <c r="H266" s="109">
        <v>9.7572874740822063E-4</v>
      </c>
      <c r="I266" s="110">
        <f t="shared" si="14"/>
        <v>6.3318134398320833E-7</v>
      </c>
      <c r="J266" s="110">
        <v>8.5000000000000006E-2</v>
      </c>
      <c r="K266" s="110">
        <f t="shared" si="15"/>
        <v>5.5159197042757204E-5</v>
      </c>
    </row>
    <row r="267" spans="2:11" ht="15" customHeight="1">
      <c r="B267" s="333" t="s">
        <v>427</v>
      </c>
      <c r="C267" s="334" t="s">
        <v>428</v>
      </c>
      <c r="D267" s="335">
        <v>297.52467999999999</v>
      </c>
      <c r="E267" s="335">
        <v>126.31</v>
      </c>
      <c r="F267" s="335">
        <f t="shared" si="13"/>
        <v>37580.342330799998</v>
      </c>
      <c r="G267" s="336">
        <f t="shared" si="12"/>
        <v>7.6006044666064902E-4</v>
      </c>
      <c r="H267" s="109">
        <v>2.7361254057477635E-2</v>
      </c>
      <c r="I267" s="110">
        <f t="shared" si="14"/>
        <v>2.0796206980121948E-5</v>
      </c>
      <c r="J267" s="110">
        <v>9.5000000000000001E-2</v>
      </c>
      <c r="K267" s="110">
        <f t="shared" si="15"/>
        <v>7.2205742432761663E-5</v>
      </c>
    </row>
    <row r="268" spans="2:11" ht="15" customHeight="1">
      <c r="B268" s="333" t="s">
        <v>429</v>
      </c>
      <c r="C268" s="334" t="s">
        <v>430</v>
      </c>
      <c r="D268" s="335">
        <v>354.16284000000002</v>
      </c>
      <c r="E268" s="335">
        <v>397.68</v>
      </c>
      <c r="F268" s="335">
        <f t="shared" si="13"/>
        <v>140843.47821120001</v>
      </c>
      <c r="G268" s="336">
        <f t="shared" si="12"/>
        <v>2.8485519375034715E-3</v>
      </c>
      <c r="H268" s="109" t="s">
        <v>4</v>
      </c>
      <c r="I268" s="110" t="str">
        <f t="shared" si="14"/>
        <v/>
      </c>
      <c r="J268" s="110">
        <v>0.13009999999999999</v>
      </c>
      <c r="K268" s="110">
        <f t="shared" si="15"/>
        <v>3.705966070692016E-4</v>
      </c>
    </row>
    <row r="269" spans="2:11" ht="15" customHeight="1">
      <c r="B269" s="333" t="s">
        <v>431</v>
      </c>
      <c r="C269" s="334" t="s">
        <v>432</v>
      </c>
      <c r="D269" s="335">
        <v>66.951890000000006</v>
      </c>
      <c r="E269" s="335">
        <v>129.62</v>
      </c>
      <c r="F269" s="335">
        <f t="shared" si="13"/>
        <v>8678.3039818000016</v>
      </c>
      <c r="G269" s="336">
        <f t="shared" si="12"/>
        <v>1.7551824149451232E-4</v>
      </c>
      <c r="H269" s="109" t="s">
        <v>4</v>
      </c>
      <c r="I269" s="110" t="str">
        <f t="shared" si="14"/>
        <v/>
      </c>
      <c r="J269" s="110">
        <v>9.1425000000000006E-2</v>
      </c>
      <c r="K269" s="110">
        <f t="shared" si="15"/>
        <v>1.6046755228635789E-5</v>
      </c>
    </row>
    <row r="270" spans="2:11" ht="15" customHeight="1">
      <c r="B270" s="333" t="s">
        <v>433</v>
      </c>
      <c r="C270" s="334" t="s">
        <v>434</v>
      </c>
      <c r="D270" s="335">
        <v>287.7</v>
      </c>
      <c r="E270" s="335">
        <v>270.47000000000003</v>
      </c>
      <c r="F270" s="335">
        <f t="shared" si="13"/>
        <v>77814.219000000012</v>
      </c>
      <c r="G270" s="336">
        <f t="shared" si="12"/>
        <v>1.5737884857216131E-3</v>
      </c>
      <c r="H270" s="109">
        <v>2.3810404111361701E-2</v>
      </c>
      <c r="I270" s="110">
        <f t="shared" si="14"/>
        <v>3.7472539830839606E-5</v>
      </c>
      <c r="J270" s="110">
        <v>9.035E-2</v>
      </c>
      <c r="K270" s="110">
        <f t="shared" si="15"/>
        <v>1.4219178968494776E-4</v>
      </c>
    </row>
    <row r="271" spans="2:11" ht="15" customHeight="1">
      <c r="B271" s="333" t="s">
        <v>435</v>
      </c>
      <c r="C271" s="334" t="s">
        <v>436</v>
      </c>
      <c r="D271" s="335">
        <v>443.29662999999999</v>
      </c>
      <c r="E271" s="335">
        <v>26.39</v>
      </c>
      <c r="F271" s="335">
        <f t="shared" si="13"/>
        <v>11698.5980657</v>
      </c>
      <c r="G271" s="336" t="str">
        <f t="shared" ref="G271:G334" si="16">IF(AND(ISNUMBER($J271)), IF(AND($J271&lt;=20%,$J271&gt;0%), $F271/SUMIFS($F$15:$F$517,$J$15:$J$517, "&gt;"&amp;0%,$J$15:$J$517, "&lt;="&amp;20%),""),"")</f>
        <v/>
      </c>
      <c r="H271" s="109">
        <v>3.2588101553618791E-2</v>
      </c>
      <c r="I271" s="110" t="str">
        <f t="shared" si="14"/>
        <v/>
      </c>
      <c r="J271" s="110">
        <v>0.22559999999999999</v>
      </c>
      <c r="K271" s="110" t="str">
        <f t="shared" si="15"/>
        <v/>
      </c>
    </row>
    <row r="272" spans="2:11" ht="15" customHeight="1">
      <c r="B272" s="333" t="s">
        <v>1065</v>
      </c>
      <c r="C272" s="334" t="s">
        <v>437</v>
      </c>
      <c r="D272" s="335">
        <v>118.08087999999999</v>
      </c>
      <c r="E272" s="335">
        <v>126</v>
      </c>
      <c r="F272" s="335">
        <f t="shared" ref="F272:F335" si="17">IFERROR(D272*E272,"")</f>
        <v>14878.190879999998</v>
      </c>
      <c r="G272" s="336">
        <f t="shared" si="16"/>
        <v>3.0091062785468951E-4</v>
      </c>
      <c r="H272" s="109">
        <v>1.1428571428571429E-2</v>
      </c>
      <c r="I272" s="110">
        <f t="shared" ref="I272:I335" si="18">IFERROR(G272*H272,"")</f>
        <v>3.4389786040535942E-6</v>
      </c>
      <c r="J272" s="110">
        <v>0.10639999999999999</v>
      </c>
      <c r="K272" s="110">
        <f t="shared" ref="K272:K335" si="19">IFERROR(G272*J272,"")</f>
        <v>3.201689080373896E-5</v>
      </c>
    </row>
    <row r="273" spans="2:11" ht="15" customHeight="1">
      <c r="B273" s="333" t="s">
        <v>438</v>
      </c>
      <c r="C273" s="334" t="s">
        <v>439</v>
      </c>
      <c r="D273" s="335">
        <v>94.299199999999999</v>
      </c>
      <c r="E273" s="335">
        <v>289.43</v>
      </c>
      <c r="F273" s="335">
        <f t="shared" si="17"/>
        <v>27293.017456000001</v>
      </c>
      <c r="G273" s="336">
        <f t="shared" si="16"/>
        <v>5.5199984225057621E-4</v>
      </c>
      <c r="H273" s="109">
        <v>6.219120339978579E-3</v>
      </c>
      <c r="I273" s="110">
        <f t="shared" si="18"/>
        <v>3.4329534466055255E-6</v>
      </c>
      <c r="J273" s="110">
        <v>0.15225</v>
      </c>
      <c r="K273" s="110">
        <f t="shared" si="19"/>
        <v>8.4041975982650225E-5</v>
      </c>
    </row>
    <row r="274" spans="2:11" ht="15" customHeight="1">
      <c r="B274" s="333" t="s">
        <v>1203</v>
      </c>
      <c r="C274" s="334" t="s">
        <v>1204</v>
      </c>
      <c r="D274" s="335">
        <v>104.78709000000001</v>
      </c>
      <c r="E274" s="335">
        <v>385.48</v>
      </c>
      <c r="F274" s="335">
        <f t="shared" si="17"/>
        <v>40393.327453200007</v>
      </c>
      <c r="G274" s="336" t="str">
        <f t="shared" si="16"/>
        <v/>
      </c>
      <c r="H274" s="109">
        <v>8.3013385908477743E-4</v>
      </c>
      <c r="I274" s="110" t="str">
        <f t="shared" si="18"/>
        <v/>
      </c>
      <c r="J274" s="110">
        <v>0.21515000000000001</v>
      </c>
      <c r="K274" s="110" t="str">
        <f t="shared" si="19"/>
        <v/>
      </c>
    </row>
    <row r="275" spans="2:11" ht="15" customHeight="1">
      <c r="B275" s="333" t="s">
        <v>440</v>
      </c>
      <c r="C275" s="334" t="s">
        <v>441</v>
      </c>
      <c r="D275" s="335">
        <v>610.11559999999997</v>
      </c>
      <c r="E275" s="335">
        <v>146.11000000000001</v>
      </c>
      <c r="F275" s="335">
        <f t="shared" si="17"/>
        <v>89143.99031600001</v>
      </c>
      <c r="G275" s="336">
        <f t="shared" si="16"/>
        <v>1.8029325145652337E-3</v>
      </c>
      <c r="H275" s="109">
        <v>1.0950653617137773E-2</v>
      </c>
      <c r="I275" s="110">
        <f t="shared" si="18"/>
        <v>1.9743289462079076E-5</v>
      </c>
      <c r="J275" s="110">
        <v>0.18009999999999998</v>
      </c>
      <c r="K275" s="110">
        <f t="shared" si="19"/>
        <v>3.2470814587319855E-4</v>
      </c>
    </row>
    <row r="276" spans="2:11" ht="15" customHeight="1">
      <c r="B276" s="333" t="s">
        <v>442</v>
      </c>
      <c r="C276" s="334" t="s">
        <v>443</v>
      </c>
      <c r="D276" s="335">
        <v>71.050780000000003</v>
      </c>
      <c r="E276" s="335">
        <v>137.74</v>
      </c>
      <c r="F276" s="335">
        <f t="shared" si="17"/>
        <v>9786.5344372000018</v>
      </c>
      <c r="G276" s="336">
        <f t="shared" si="16"/>
        <v>1.9793214415457164E-4</v>
      </c>
      <c r="H276" s="109">
        <v>1.7714534630463189E-2</v>
      </c>
      <c r="I276" s="110">
        <f t="shared" si="18"/>
        <v>3.5062758221079912E-6</v>
      </c>
      <c r="J276" s="110">
        <v>6.5000000000000002E-2</v>
      </c>
      <c r="K276" s="110">
        <f t="shared" si="19"/>
        <v>1.2865589370047157E-5</v>
      </c>
    </row>
    <row r="277" spans="2:11" ht="15" customHeight="1">
      <c r="B277" s="333" t="s">
        <v>444</v>
      </c>
      <c r="C277" s="334" t="s">
        <v>445</v>
      </c>
      <c r="D277" s="335">
        <v>2407.2169699999999</v>
      </c>
      <c r="E277" s="335">
        <v>253.97</v>
      </c>
      <c r="F277" s="335">
        <f t="shared" si="17"/>
        <v>611360.89387090004</v>
      </c>
      <c r="G277" s="336">
        <f t="shared" si="16"/>
        <v>1.2364741916827508E-2</v>
      </c>
      <c r="H277" s="109">
        <v>2.1104854904122537E-2</v>
      </c>
      <c r="I277" s="110">
        <f t="shared" si="18"/>
        <v>2.6095608408156654E-4</v>
      </c>
      <c r="J277" s="110">
        <v>7.2349999999999998E-2</v>
      </c>
      <c r="K277" s="110">
        <f t="shared" si="19"/>
        <v>8.9458907768247015E-4</v>
      </c>
    </row>
    <row r="278" spans="2:11" ht="15" customHeight="1">
      <c r="B278" s="333" t="s">
        <v>446</v>
      </c>
      <c r="C278" s="334" t="s">
        <v>447</v>
      </c>
      <c r="D278" s="335">
        <v>2679.5114199999998</v>
      </c>
      <c r="E278" s="335">
        <v>327.33</v>
      </c>
      <c r="F278" s="335">
        <f t="shared" si="17"/>
        <v>877084.47310859989</v>
      </c>
      <c r="G278" s="336">
        <f t="shared" si="16"/>
        <v>1.7738987328055327E-2</v>
      </c>
      <c r="H278" s="109">
        <v>1.8330125561360096E-2</v>
      </c>
      <c r="I278" s="110">
        <f t="shared" si="18"/>
        <v>3.2515786505462978E-4</v>
      </c>
      <c r="J278" s="110">
        <v>9.5949999999999994E-2</v>
      </c>
      <c r="K278" s="110">
        <f t="shared" si="19"/>
        <v>1.7020558341269084E-3</v>
      </c>
    </row>
    <row r="279" spans="2:11" ht="15" customHeight="1">
      <c r="B279" s="333" t="s">
        <v>1066</v>
      </c>
      <c r="C279" s="334" t="s">
        <v>1067</v>
      </c>
      <c r="D279" s="335">
        <v>1360.5594699999999</v>
      </c>
      <c r="E279" s="335">
        <v>32.729999999999997</v>
      </c>
      <c r="F279" s="335">
        <f t="shared" si="17"/>
        <v>44531.111453099991</v>
      </c>
      <c r="G279" s="336">
        <f t="shared" si="16"/>
        <v>9.0063938650177303E-4</v>
      </c>
      <c r="H279" s="109">
        <v>2.8108768713718306E-2</v>
      </c>
      <c r="I279" s="110">
        <f t="shared" si="18"/>
        <v>2.5315864209643488E-5</v>
      </c>
      <c r="J279" s="110">
        <v>0.10214999999999999</v>
      </c>
      <c r="K279" s="110">
        <f t="shared" si="19"/>
        <v>9.2000313331156106E-5</v>
      </c>
    </row>
    <row r="280" spans="2:11" ht="15" customHeight="1">
      <c r="B280" s="333" t="s">
        <v>448</v>
      </c>
      <c r="C280" s="334" t="s">
        <v>449</v>
      </c>
      <c r="D280" s="335">
        <v>1079.3686399999999</v>
      </c>
      <c r="E280" s="335">
        <v>23.05</v>
      </c>
      <c r="F280" s="335">
        <f t="shared" si="17"/>
        <v>24879.447151999997</v>
      </c>
      <c r="G280" s="336">
        <f t="shared" si="16"/>
        <v>5.0318550982227258E-4</v>
      </c>
      <c r="H280" s="109">
        <v>3.5574837310195222E-2</v>
      </c>
      <c r="I280" s="110">
        <f t="shared" si="18"/>
        <v>1.7900742648774987E-5</v>
      </c>
      <c r="J280" s="110">
        <v>0.12920000000000001</v>
      </c>
      <c r="K280" s="110">
        <f t="shared" si="19"/>
        <v>6.5011567869037619E-5</v>
      </c>
    </row>
    <row r="281" spans="2:11" ht="15" customHeight="1">
      <c r="B281" s="333" t="s">
        <v>450</v>
      </c>
      <c r="C281" s="334" t="s">
        <v>451</v>
      </c>
      <c r="D281" s="335">
        <v>170.89537000000001</v>
      </c>
      <c r="E281" s="335">
        <v>350.07</v>
      </c>
      <c r="F281" s="335">
        <f t="shared" si="17"/>
        <v>59825.342175900005</v>
      </c>
      <c r="G281" s="336">
        <f t="shared" si="16"/>
        <v>1.2099643982905876E-3</v>
      </c>
      <c r="H281" s="109" t="s">
        <v>4</v>
      </c>
      <c r="I281" s="110" t="str">
        <f t="shared" si="18"/>
        <v/>
      </c>
      <c r="J281" s="110">
        <v>0.13720000000000002</v>
      </c>
      <c r="K281" s="110">
        <f t="shared" si="19"/>
        <v>1.6600711544546864E-4</v>
      </c>
    </row>
    <row r="282" spans="2:11" ht="15" customHeight="1">
      <c r="B282" s="333" t="s">
        <v>452</v>
      </c>
      <c r="C282" s="334" t="s">
        <v>453</v>
      </c>
      <c r="D282" s="335">
        <v>1185.77764</v>
      </c>
      <c r="E282" s="335">
        <v>23.62</v>
      </c>
      <c r="F282" s="335">
        <f t="shared" si="17"/>
        <v>28008.0678568</v>
      </c>
      <c r="G282" s="336" t="str">
        <f t="shared" si="16"/>
        <v/>
      </c>
      <c r="H282" s="109">
        <v>6.7739204064352243E-2</v>
      </c>
      <c r="I282" s="110" t="str">
        <f t="shared" si="18"/>
        <v/>
      </c>
      <c r="J282" s="110">
        <v>-3.2500000000000029E-3</v>
      </c>
      <c r="K282" s="110" t="str">
        <f t="shared" si="19"/>
        <v/>
      </c>
    </row>
    <row r="283" spans="2:11" ht="15" customHeight="1">
      <c r="B283" s="333" t="s">
        <v>454</v>
      </c>
      <c r="C283" s="334" t="s">
        <v>455</v>
      </c>
      <c r="D283" s="335">
        <v>674.40320999999994</v>
      </c>
      <c r="E283" s="335">
        <v>25.35</v>
      </c>
      <c r="F283" s="335">
        <f t="shared" si="17"/>
        <v>17096.121373499998</v>
      </c>
      <c r="G283" s="336">
        <f t="shared" si="16"/>
        <v>3.4576815540760566E-4</v>
      </c>
      <c r="H283" s="109">
        <v>4.1025641025641026E-2</v>
      </c>
      <c r="I283" s="110">
        <f t="shared" si="18"/>
        <v>1.4185360221850489E-5</v>
      </c>
      <c r="J283" s="110">
        <v>0.10590000000000001</v>
      </c>
      <c r="K283" s="110">
        <f t="shared" si="19"/>
        <v>3.6616847657665444E-5</v>
      </c>
    </row>
    <row r="284" spans="2:11" ht="15" customHeight="1">
      <c r="B284" s="333" t="s">
        <v>1231</v>
      </c>
      <c r="C284" s="334" t="s">
        <v>1232</v>
      </c>
      <c r="D284" s="335">
        <v>897.87293999999997</v>
      </c>
      <c r="E284" s="335">
        <v>91.78</v>
      </c>
      <c r="F284" s="335">
        <f t="shared" si="17"/>
        <v>82406.778433200001</v>
      </c>
      <c r="G284" s="336">
        <f t="shared" si="16"/>
        <v>1.6666727586584439E-3</v>
      </c>
      <c r="H284" s="109">
        <v>8.4985835694051E-3</v>
      </c>
      <c r="I284" s="110">
        <f t="shared" si="18"/>
        <v>1.4164357722309723E-5</v>
      </c>
      <c r="J284" s="110">
        <v>7.0000000000000007E-2</v>
      </c>
      <c r="K284" s="110">
        <f t="shared" si="19"/>
        <v>1.1666709310609109E-4</v>
      </c>
    </row>
    <row r="285" spans="2:11" ht="15" customHeight="1">
      <c r="B285" s="333" t="s">
        <v>456</v>
      </c>
      <c r="C285" s="334" t="s">
        <v>457</v>
      </c>
      <c r="D285" s="335">
        <v>1306.27521</v>
      </c>
      <c r="E285" s="335">
        <v>301.70999999999998</v>
      </c>
      <c r="F285" s="335">
        <f t="shared" si="17"/>
        <v>394116.29360909999</v>
      </c>
      <c r="G285" s="336">
        <f t="shared" si="16"/>
        <v>7.9709813050655946E-3</v>
      </c>
      <c r="H285" s="109">
        <v>3.0492857379602932E-3</v>
      </c>
      <c r="I285" s="110">
        <f t="shared" si="18"/>
        <v>2.4305799611084643E-5</v>
      </c>
      <c r="J285" s="110">
        <v>0.16239999999999999</v>
      </c>
      <c r="K285" s="110">
        <f t="shared" si="19"/>
        <v>1.2944873639426525E-3</v>
      </c>
    </row>
    <row r="286" spans="2:11" ht="15" customHeight="1">
      <c r="B286" s="333" t="s">
        <v>458</v>
      </c>
      <c r="C286" s="334" t="s">
        <v>459</v>
      </c>
      <c r="D286" s="335">
        <v>331.94036</v>
      </c>
      <c r="E286" s="335">
        <v>109.77</v>
      </c>
      <c r="F286" s="335">
        <f t="shared" si="17"/>
        <v>36437.0933172</v>
      </c>
      <c r="G286" s="336">
        <f t="shared" si="16"/>
        <v>7.3693829550320732E-4</v>
      </c>
      <c r="H286" s="109">
        <v>4.6642980777990346E-2</v>
      </c>
      <c r="I286" s="110">
        <f t="shared" si="18"/>
        <v>3.4372998751721072E-5</v>
      </c>
      <c r="J286" s="110">
        <v>4.9600000000000005E-2</v>
      </c>
      <c r="K286" s="110">
        <f t="shared" si="19"/>
        <v>3.6552139456959088E-5</v>
      </c>
    </row>
    <row r="287" spans="2:11" ht="15" customHeight="1">
      <c r="B287" s="333" t="s">
        <v>460</v>
      </c>
      <c r="C287" s="334" t="s">
        <v>461</v>
      </c>
      <c r="D287" s="335">
        <v>2224.8257600000002</v>
      </c>
      <c r="E287" s="335">
        <v>31.97</v>
      </c>
      <c r="F287" s="335">
        <f t="shared" si="17"/>
        <v>71127.679547200009</v>
      </c>
      <c r="G287" s="336">
        <f t="shared" si="16"/>
        <v>1.4385535770458614E-3</v>
      </c>
      <c r="H287" s="109">
        <v>3.722239599624648E-2</v>
      </c>
      <c r="I287" s="110">
        <f t="shared" si="18"/>
        <v>5.3546410906617921E-5</v>
      </c>
      <c r="J287" s="110">
        <v>8.0250000000000002E-2</v>
      </c>
      <c r="K287" s="110">
        <f t="shared" si="19"/>
        <v>1.1544392455793038E-4</v>
      </c>
    </row>
    <row r="288" spans="2:11" ht="15" customHeight="1">
      <c r="B288" s="333" t="s">
        <v>462</v>
      </c>
      <c r="C288" s="334" t="s">
        <v>463</v>
      </c>
      <c r="D288" s="335">
        <v>4302.4824200000003</v>
      </c>
      <c r="E288" s="335">
        <v>81.27</v>
      </c>
      <c r="F288" s="335">
        <f t="shared" si="17"/>
        <v>349662.74627340003</v>
      </c>
      <c r="G288" s="336">
        <f t="shared" si="16"/>
        <v>7.0719106487578415E-3</v>
      </c>
      <c r="H288" s="109">
        <v>2.6085886551002833E-2</v>
      </c>
      <c r="I288" s="110">
        <f t="shared" si="18"/>
        <v>1.8447705888232588E-4</v>
      </c>
      <c r="J288" s="110">
        <v>7.3599999999999999E-2</v>
      </c>
      <c r="K288" s="110">
        <f t="shared" si="19"/>
        <v>5.204926237485771E-4</v>
      </c>
    </row>
    <row r="289" spans="2:11" ht="15" customHeight="1">
      <c r="B289" s="333" t="s">
        <v>464</v>
      </c>
      <c r="C289" s="334" t="s">
        <v>465</v>
      </c>
      <c r="D289" s="335">
        <v>612.64728000000002</v>
      </c>
      <c r="E289" s="335">
        <v>55.53</v>
      </c>
      <c r="F289" s="335">
        <f t="shared" si="17"/>
        <v>34020.303458400005</v>
      </c>
      <c r="G289" s="336">
        <f t="shared" si="16"/>
        <v>6.8805884774844422E-4</v>
      </c>
      <c r="H289" s="109">
        <v>2.8092922744462453E-2</v>
      </c>
      <c r="I289" s="110">
        <f t="shared" si="18"/>
        <v>1.9329584053440896E-5</v>
      </c>
      <c r="J289" s="110">
        <v>6.2899999999999998E-2</v>
      </c>
      <c r="K289" s="110">
        <f t="shared" si="19"/>
        <v>4.3278901523377138E-5</v>
      </c>
    </row>
    <row r="290" spans="2:11" ht="15" customHeight="1">
      <c r="B290" s="333" t="s">
        <v>1237</v>
      </c>
      <c r="C290" s="334" t="s">
        <v>1238</v>
      </c>
      <c r="D290" s="335">
        <v>1920.0086699999999</v>
      </c>
      <c r="E290" s="335">
        <v>19.11</v>
      </c>
      <c r="F290" s="335">
        <f t="shared" si="17"/>
        <v>36691.365683699994</v>
      </c>
      <c r="G290" s="336">
        <f t="shared" si="16"/>
        <v>7.420809407392261E-4</v>
      </c>
      <c r="H290" s="109">
        <v>4.3432757718472007E-2</v>
      </c>
      <c r="I290" s="110">
        <f t="shared" si="18"/>
        <v>3.2230621706622593E-5</v>
      </c>
      <c r="J290" s="110">
        <v>0.14810000000000001</v>
      </c>
      <c r="K290" s="110">
        <f t="shared" si="19"/>
        <v>1.0990218732347939E-4</v>
      </c>
    </row>
    <row r="291" spans="2:11" ht="15" customHeight="1">
      <c r="B291" s="333" t="s">
        <v>466</v>
      </c>
      <c r="C291" s="334" t="s">
        <v>467</v>
      </c>
      <c r="D291" s="335">
        <v>205.76886999999999</v>
      </c>
      <c r="E291" s="335">
        <v>113.21</v>
      </c>
      <c r="F291" s="335">
        <f t="shared" si="17"/>
        <v>23295.093772699998</v>
      </c>
      <c r="G291" s="336">
        <f t="shared" si="16"/>
        <v>4.7114204607361673E-4</v>
      </c>
      <c r="H291" s="109">
        <v>2.2082854871477786E-3</v>
      </c>
      <c r="I291" s="110">
        <f t="shared" si="18"/>
        <v>1.0404161427294778E-6</v>
      </c>
      <c r="J291" s="110">
        <v>0.14000000000000001</v>
      </c>
      <c r="K291" s="110">
        <f t="shared" si="19"/>
        <v>6.5959886450306344E-5</v>
      </c>
    </row>
    <row r="292" spans="2:11" ht="15" customHeight="1">
      <c r="B292" s="333" t="s">
        <v>468</v>
      </c>
      <c r="C292" s="334" t="s">
        <v>469</v>
      </c>
      <c r="D292" s="335">
        <v>125.78547</v>
      </c>
      <c r="E292" s="335">
        <v>102.97</v>
      </c>
      <c r="F292" s="335">
        <f t="shared" si="17"/>
        <v>12952.129845900001</v>
      </c>
      <c r="G292" s="336">
        <f t="shared" si="16"/>
        <v>2.6195614476383382E-4</v>
      </c>
      <c r="H292" s="109">
        <v>1.6703894338156746E-2</v>
      </c>
      <c r="I292" s="110">
        <f t="shared" si="18"/>
        <v>4.3756877633659725E-6</v>
      </c>
      <c r="J292" s="110">
        <v>7.2749999999999995E-2</v>
      </c>
      <c r="K292" s="110">
        <f t="shared" si="19"/>
        <v>1.9057309531568908E-5</v>
      </c>
    </row>
    <row r="293" spans="2:11" ht="15" customHeight="1">
      <c r="B293" s="333" t="s">
        <v>470</v>
      </c>
      <c r="C293" s="334" t="s">
        <v>471</v>
      </c>
      <c r="D293" s="335">
        <v>210.506</v>
      </c>
      <c r="E293" s="335">
        <v>90.49</v>
      </c>
      <c r="F293" s="335">
        <f t="shared" si="17"/>
        <v>19048.68794</v>
      </c>
      <c r="G293" s="336" t="str">
        <f t="shared" si="16"/>
        <v/>
      </c>
      <c r="H293" s="109">
        <v>2.210188971157034E-2</v>
      </c>
      <c r="I293" s="110" t="str">
        <f t="shared" si="18"/>
        <v/>
      </c>
      <c r="J293" s="110">
        <v>-1.7299999999999999E-2</v>
      </c>
      <c r="K293" s="110" t="str">
        <f t="shared" si="19"/>
        <v/>
      </c>
    </row>
    <row r="294" spans="2:11" ht="15" customHeight="1">
      <c r="B294" s="333" t="s">
        <v>1192</v>
      </c>
      <c r="C294" s="334" t="s">
        <v>472</v>
      </c>
      <c r="D294" s="335">
        <v>82</v>
      </c>
      <c r="E294" s="335">
        <v>280</v>
      </c>
      <c r="F294" s="335">
        <f t="shared" si="17"/>
        <v>22960</v>
      </c>
      <c r="G294" s="336">
        <f t="shared" si="16"/>
        <v>4.6436479214895455E-4</v>
      </c>
      <c r="H294" s="109">
        <v>1.0285714285714285E-2</v>
      </c>
      <c r="I294" s="110">
        <f t="shared" si="18"/>
        <v>4.7763235763892467E-6</v>
      </c>
      <c r="J294" s="110">
        <v>8.4150000000000003E-2</v>
      </c>
      <c r="K294" s="110">
        <f t="shared" si="19"/>
        <v>3.9076297259334528E-5</v>
      </c>
    </row>
    <row r="295" spans="2:11" ht="15" customHeight="1">
      <c r="B295" s="333" t="s">
        <v>473</v>
      </c>
      <c r="C295" s="334" t="s">
        <v>474</v>
      </c>
      <c r="D295" s="335">
        <v>186.29495</v>
      </c>
      <c r="E295" s="335">
        <v>290.58999999999997</v>
      </c>
      <c r="F295" s="335">
        <f t="shared" si="17"/>
        <v>54135.449520499998</v>
      </c>
      <c r="G295" s="336">
        <f t="shared" si="16"/>
        <v>1.094886618661899E-3</v>
      </c>
      <c r="H295" s="109">
        <v>1.7206373240648339E-2</v>
      </c>
      <c r="I295" s="110">
        <f t="shared" si="18"/>
        <v>1.8839027816888042E-5</v>
      </c>
      <c r="J295" s="110">
        <v>0.16</v>
      </c>
      <c r="K295" s="110">
        <f t="shared" si="19"/>
        <v>1.7518185898590384E-4</v>
      </c>
    </row>
    <row r="296" spans="2:11" ht="15" customHeight="1">
      <c r="B296" s="333" t="s">
        <v>1153</v>
      </c>
      <c r="C296" s="334" t="s">
        <v>1154</v>
      </c>
      <c r="D296" s="335">
        <v>34.799970000000002</v>
      </c>
      <c r="E296" s="335">
        <v>572.95000000000005</v>
      </c>
      <c r="F296" s="335">
        <f t="shared" si="17"/>
        <v>19938.642811500002</v>
      </c>
      <c r="G296" s="336">
        <f t="shared" si="16"/>
        <v>4.0325800195533301E-4</v>
      </c>
      <c r="H296" s="109">
        <v>9.4947203071821269E-3</v>
      </c>
      <c r="I296" s="110">
        <f t="shared" si="18"/>
        <v>3.8288219401989901E-6</v>
      </c>
      <c r="J296" s="110">
        <v>0.11</v>
      </c>
      <c r="K296" s="110">
        <f t="shared" si="19"/>
        <v>4.4358380215086633E-5</v>
      </c>
    </row>
    <row r="297" spans="2:11" ht="15" customHeight="1">
      <c r="B297" s="333" t="s">
        <v>475</v>
      </c>
      <c r="C297" s="334" t="s">
        <v>476</v>
      </c>
      <c r="D297" s="335">
        <v>462.59953999999999</v>
      </c>
      <c r="E297" s="335">
        <v>518.94000000000005</v>
      </c>
      <c r="F297" s="335">
        <f t="shared" si="17"/>
        <v>240061.40528760001</v>
      </c>
      <c r="G297" s="336">
        <f t="shared" si="16"/>
        <v>4.8552292930906932E-3</v>
      </c>
      <c r="H297" s="109">
        <v>1.2332832312020658E-2</v>
      </c>
      <c r="I297" s="110">
        <f t="shared" si="18"/>
        <v>5.987872870809812E-5</v>
      </c>
      <c r="J297" s="110">
        <v>7.9250000000000001E-2</v>
      </c>
      <c r="K297" s="110">
        <f t="shared" si="19"/>
        <v>3.8477692147743746E-4</v>
      </c>
    </row>
    <row r="298" spans="2:11" ht="15" customHeight="1">
      <c r="B298" s="333" t="s">
        <v>1455</v>
      </c>
      <c r="C298" s="334" t="s">
        <v>1456</v>
      </c>
      <c r="D298" s="335">
        <v>77.8</v>
      </c>
      <c r="E298" s="335">
        <v>858.06</v>
      </c>
      <c r="F298" s="335">
        <f t="shared" si="17"/>
        <v>66757.067999999999</v>
      </c>
      <c r="G298" s="336" t="str">
        <f t="shared" si="16"/>
        <v/>
      </c>
      <c r="H298" s="109" t="s">
        <v>4</v>
      </c>
      <c r="I298" s="110" t="str">
        <f t="shared" si="18"/>
        <v/>
      </c>
      <c r="J298" s="110">
        <v>1.3865000000000001</v>
      </c>
      <c r="K298" s="110" t="str">
        <f t="shared" si="19"/>
        <v/>
      </c>
    </row>
    <row r="299" spans="2:11" ht="15" customHeight="1">
      <c r="B299" s="333" t="s">
        <v>477</v>
      </c>
      <c r="C299" s="334" t="s">
        <v>478</v>
      </c>
      <c r="D299" s="335">
        <v>941.74140999999997</v>
      </c>
      <c r="E299" s="335">
        <v>1199.43</v>
      </c>
      <c r="F299" s="335">
        <f t="shared" si="17"/>
        <v>1129552.8993963001</v>
      </c>
      <c r="G299" s="336" t="str">
        <f t="shared" si="16"/>
        <v/>
      </c>
      <c r="H299" s="109">
        <v>5.7694071350558179E-3</v>
      </c>
      <c r="I299" s="110" t="str">
        <f t="shared" si="18"/>
        <v/>
      </c>
      <c r="J299" s="110">
        <v>0.26</v>
      </c>
      <c r="K299" s="110" t="str">
        <f t="shared" si="19"/>
        <v/>
      </c>
    </row>
    <row r="300" spans="2:11" ht="15" customHeight="1">
      <c r="B300" s="333" t="s">
        <v>479</v>
      </c>
      <c r="C300" s="334" t="s">
        <v>480</v>
      </c>
      <c r="D300" s="335">
        <v>230.56361000000001</v>
      </c>
      <c r="E300" s="335">
        <v>509.46</v>
      </c>
      <c r="F300" s="335">
        <f t="shared" si="17"/>
        <v>117462.9367506</v>
      </c>
      <c r="G300" s="336">
        <f t="shared" si="16"/>
        <v>2.3756817164372022E-3</v>
      </c>
      <c r="H300" s="109">
        <v>2.7087504416440939E-2</v>
      </c>
      <c r="I300" s="110">
        <f t="shared" si="18"/>
        <v>6.43512889860507E-5</v>
      </c>
      <c r="J300" s="110">
        <v>0.1633</v>
      </c>
      <c r="K300" s="110">
        <f t="shared" si="19"/>
        <v>3.8794882429419512E-4</v>
      </c>
    </row>
    <row r="301" spans="2:11" ht="15" customHeight="1">
      <c r="B301" s="333" t="s">
        <v>481</v>
      </c>
      <c r="C301" s="334" t="s">
        <v>9</v>
      </c>
      <c r="D301" s="335">
        <v>258.27704</v>
      </c>
      <c r="E301" s="335">
        <v>76.290000000000006</v>
      </c>
      <c r="F301" s="335">
        <f t="shared" si="17"/>
        <v>19703.955381600001</v>
      </c>
      <c r="G301" s="336">
        <f t="shared" si="16"/>
        <v>3.9851146103174912E-4</v>
      </c>
      <c r="H301" s="109">
        <v>2.8050858565998163E-2</v>
      </c>
      <c r="I301" s="110">
        <f t="shared" si="18"/>
        <v>1.1178588630330883E-5</v>
      </c>
      <c r="J301" s="110">
        <v>6.6250000000000003E-2</v>
      </c>
      <c r="K301" s="110">
        <f t="shared" si="19"/>
        <v>2.6401384293353382E-5</v>
      </c>
    </row>
    <row r="302" spans="2:11" ht="15" customHeight="1">
      <c r="B302" s="333" t="s">
        <v>482</v>
      </c>
      <c r="C302" s="334" t="s">
        <v>483</v>
      </c>
      <c r="D302" s="335">
        <v>560.70704000000001</v>
      </c>
      <c r="E302" s="335">
        <v>220.49</v>
      </c>
      <c r="F302" s="335">
        <f t="shared" si="17"/>
        <v>123630.29524960001</v>
      </c>
      <c r="G302" s="336">
        <f t="shared" si="16"/>
        <v>2.5004162176347731E-3</v>
      </c>
      <c r="H302" s="109">
        <v>2.2676765386185314E-2</v>
      </c>
      <c r="I302" s="110">
        <f t="shared" si="18"/>
        <v>5.6701351935116627E-5</v>
      </c>
      <c r="J302" s="110">
        <v>4.5950000000000005E-2</v>
      </c>
      <c r="K302" s="110">
        <f t="shared" si="19"/>
        <v>1.1489412520031783E-4</v>
      </c>
    </row>
    <row r="303" spans="2:11" ht="15" customHeight="1">
      <c r="B303" s="333" t="s">
        <v>484</v>
      </c>
      <c r="C303" s="334" t="s">
        <v>485</v>
      </c>
      <c r="D303" s="335">
        <v>1250.5709999999999</v>
      </c>
      <c r="E303" s="335">
        <v>433.33</v>
      </c>
      <c r="F303" s="335">
        <f t="shared" si="17"/>
        <v>541909.93143</v>
      </c>
      <c r="G303" s="336" t="str">
        <f t="shared" si="16"/>
        <v/>
      </c>
      <c r="H303" s="109">
        <v>2.4000184616804745E-3</v>
      </c>
      <c r="I303" s="110" t="str">
        <f t="shared" si="18"/>
        <v/>
      </c>
      <c r="J303" s="110">
        <v>0.22847500000000001</v>
      </c>
      <c r="K303" s="110" t="str">
        <f t="shared" si="19"/>
        <v/>
      </c>
    </row>
    <row r="304" spans="2:11" ht="15" customHeight="1">
      <c r="B304" s="333" t="s">
        <v>1145</v>
      </c>
      <c r="C304" s="334" t="s">
        <v>1146</v>
      </c>
      <c r="D304" s="335">
        <v>108.43796</v>
      </c>
      <c r="E304" s="335">
        <v>114.18</v>
      </c>
      <c r="F304" s="335">
        <f t="shared" si="17"/>
        <v>12381.446272800002</v>
      </c>
      <c r="G304" s="336">
        <f t="shared" si="16"/>
        <v>2.5041409951969605E-4</v>
      </c>
      <c r="H304" s="109" t="s">
        <v>4</v>
      </c>
      <c r="I304" s="110" t="str">
        <f t="shared" si="18"/>
        <v/>
      </c>
      <c r="J304" s="110">
        <v>1.8000000000000013E-3</v>
      </c>
      <c r="K304" s="110">
        <f t="shared" si="19"/>
        <v>4.5074537913545322E-7</v>
      </c>
    </row>
    <row r="305" spans="2:11" ht="15" customHeight="1">
      <c r="B305" s="333" t="s">
        <v>486</v>
      </c>
      <c r="C305" s="334" t="s">
        <v>487</v>
      </c>
      <c r="D305" s="335">
        <v>488.77370999999999</v>
      </c>
      <c r="E305" s="335">
        <v>51.42</v>
      </c>
      <c r="F305" s="335">
        <f t="shared" si="17"/>
        <v>25132.744168199999</v>
      </c>
      <c r="G305" s="336" t="str">
        <f t="shared" si="16"/>
        <v/>
      </c>
      <c r="H305" s="109">
        <v>1.4002333722287047E-2</v>
      </c>
      <c r="I305" s="110" t="str">
        <f t="shared" si="18"/>
        <v/>
      </c>
      <c r="J305" s="110">
        <v>0.5129999999999999</v>
      </c>
      <c r="K305" s="110" t="str">
        <f t="shared" si="19"/>
        <v/>
      </c>
    </row>
    <row r="306" spans="2:11" ht="15" customHeight="1">
      <c r="B306" s="333" t="s">
        <v>488</v>
      </c>
      <c r="C306" s="334" t="s">
        <v>489</v>
      </c>
      <c r="D306" s="335">
        <v>662.63733000000002</v>
      </c>
      <c r="E306" s="335">
        <v>46.19</v>
      </c>
      <c r="F306" s="335">
        <f t="shared" si="17"/>
        <v>30607.2182727</v>
      </c>
      <c r="G306" s="336" t="str">
        <f t="shared" si="16"/>
        <v/>
      </c>
      <c r="H306" s="109">
        <v>2.5979649274734791E-2</v>
      </c>
      <c r="I306" s="110" t="str">
        <f t="shared" si="18"/>
        <v/>
      </c>
      <c r="J306" s="110">
        <v>0.20855000000000001</v>
      </c>
      <c r="K306" s="110" t="str">
        <f t="shared" si="19"/>
        <v/>
      </c>
    </row>
    <row r="307" spans="2:11" ht="15" customHeight="1">
      <c r="B307" s="333" t="s">
        <v>490</v>
      </c>
      <c r="C307" s="334" t="s">
        <v>491</v>
      </c>
      <c r="D307" s="335">
        <v>322.78476999999998</v>
      </c>
      <c r="E307" s="335">
        <v>52.65</v>
      </c>
      <c r="F307" s="335">
        <f t="shared" si="17"/>
        <v>16994.618140499999</v>
      </c>
      <c r="G307" s="336" t="str">
        <f t="shared" si="16"/>
        <v/>
      </c>
      <c r="H307" s="109">
        <v>5.242165242165242E-2</v>
      </c>
      <c r="I307" s="110" t="str">
        <f t="shared" si="18"/>
        <v/>
      </c>
      <c r="J307" s="110">
        <v>0.25684999999999997</v>
      </c>
      <c r="K307" s="110" t="str">
        <f t="shared" si="19"/>
        <v/>
      </c>
    </row>
    <row r="308" spans="2:11" ht="15" customHeight="1">
      <c r="B308" s="333" t="s">
        <v>492</v>
      </c>
      <c r="C308" s="334" t="s">
        <v>493</v>
      </c>
      <c r="D308" s="335">
        <v>235.54706999999999</v>
      </c>
      <c r="E308" s="335">
        <v>183.11</v>
      </c>
      <c r="F308" s="335">
        <f t="shared" si="17"/>
        <v>43131.023987699999</v>
      </c>
      <c r="G308" s="336" t="str">
        <f t="shared" si="16"/>
        <v/>
      </c>
      <c r="H308" s="109" t="s">
        <v>4</v>
      </c>
      <c r="I308" s="110" t="str">
        <f t="shared" si="18"/>
        <v/>
      </c>
      <c r="J308" s="110">
        <v>0.75549999999999995</v>
      </c>
      <c r="K308" s="110" t="str">
        <f t="shared" si="19"/>
        <v/>
      </c>
    </row>
    <row r="309" spans="2:11" ht="15" customHeight="1">
      <c r="B309" s="333" t="s">
        <v>494</v>
      </c>
      <c r="C309" s="334" t="s">
        <v>495</v>
      </c>
      <c r="D309" s="335">
        <v>877.03623000000005</v>
      </c>
      <c r="E309" s="335">
        <v>513.6</v>
      </c>
      <c r="F309" s="335">
        <f t="shared" si="17"/>
        <v>450445.80772800004</v>
      </c>
      <c r="G309" s="336">
        <f t="shared" si="16"/>
        <v>9.1102427648075222E-3</v>
      </c>
      <c r="H309" s="109">
        <v>6.775700934579439E-3</v>
      </c>
      <c r="I309" s="110">
        <f t="shared" si="18"/>
        <v>6.1728280415751901E-5</v>
      </c>
      <c r="J309" s="110">
        <v>0.13819999999999999</v>
      </c>
      <c r="K309" s="110">
        <f t="shared" si="19"/>
        <v>1.2590355500963996E-3</v>
      </c>
    </row>
    <row r="310" spans="2:11" ht="15" customHeight="1">
      <c r="B310" s="333" t="s">
        <v>496</v>
      </c>
      <c r="C310" s="334" t="s">
        <v>497</v>
      </c>
      <c r="D310" s="335">
        <v>116.3848</v>
      </c>
      <c r="E310" s="335">
        <v>138.94</v>
      </c>
      <c r="F310" s="335">
        <f t="shared" si="17"/>
        <v>16170.504111999999</v>
      </c>
      <c r="G310" s="336">
        <f t="shared" si="16"/>
        <v>3.270475949874867E-4</v>
      </c>
      <c r="H310" s="109">
        <v>4.4047790413127973E-2</v>
      </c>
      <c r="I310" s="110">
        <f t="shared" si="18"/>
        <v>1.4405723919126377E-5</v>
      </c>
      <c r="J310" s="110">
        <v>1.035E-2</v>
      </c>
      <c r="K310" s="110">
        <f t="shared" si="19"/>
        <v>3.3849426081204874E-6</v>
      </c>
    </row>
    <row r="311" spans="2:11" ht="15" customHeight="1">
      <c r="B311" s="333" t="s">
        <v>498</v>
      </c>
      <c r="C311" s="334" t="s">
        <v>499</v>
      </c>
      <c r="D311" s="335">
        <v>263.68862000000001</v>
      </c>
      <c r="E311" s="335">
        <v>370.59</v>
      </c>
      <c r="F311" s="335">
        <f t="shared" si="17"/>
        <v>97720.365685800003</v>
      </c>
      <c r="G311" s="336">
        <f t="shared" si="16"/>
        <v>1.9763892552441789E-3</v>
      </c>
      <c r="H311" s="109">
        <v>7.8793275587576567E-3</v>
      </c>
      <c r="I311" s="110">
        <f t="shared" si="18"/>
        <v>1.5572618325677978E-5</v>
      </c>
      <c r="J311" s="110">
        <v>0.1094</v>
      </c>
      <c r="K311" s="110">
        <f t="shared" si="19"/>
        <v>2.1621698452371316E-4</v>
      </c>
    </row>
    <row r="312" spans="2:11" ht="15" customHeight="1">
      <c r="B312" s="333" t="s">
        <v>500</v>
      </c>
      <c r="C312" s="334" t="s">
        <v>501</v>
      </c>
      <c r="D312" s="335">
        <v>201.73444000000001</v>
      </c>
      <c r="E312" s="335">
        <v>81.37</v>
      </c>
      <c r="F312" s="335">
        <f t="shared" si="17"/>
        <v>16415.131382800002</v>
      </c>
      <c r="G312" s="336">
        <f t="shared" si="16"/>
        <v>3.3199516867037039E-4</v>
      </c>
      <c r="H312" s="109">
        <v>1.5730613248125844E-2</v>
      </c>
      <c r="I312" s="110">
        <f t="shared" si="18"/>
        <v>5.2224875985999023E-6</v>
      </c>
      <c r="J312" s="110">
        <v>8.6525000000000005E-2</v>
      </c>
      <c r="K312" s="110">
        <f t="shared" si="19"/>
        <v>2.8725881969203799E-5</v>
      </c>
    </row>
    <row r="313" spans="2:11" ht="15" customHeight="1">
      <c r="B313" s="333" t="s">
        <v>502</v>
      </c>
      <c r="C313" s="334" t="s">
        <v>503</v>
      </c>
      <c r="D313" s="335">
        <v>710.50585999999998</v>
      </c>
      <c r="E313" s="335">
        <v>270.31</v>
      </c>
      <c r="F313" s="335">
        <f t="shared" si="17"/>
        <v>192056.83901659999</v>
      </c>
      <c r="G313" s="336">
        <f t="shared" si="16"/>
        <v>3.8843394656240715E-3</v>
      </c>
      <c r="H313" s="109">
        <v>2.7523953978765121E-2</v>
      </c>
      <c r="I313" s="110">
        <f t="shared" si="18"/>
        <v>1.0691238068973804E-4</v>
      </c>
      <c r="J313" s="110">
        <v>8.0750000000000002E-2</v>
      </c>
      <c r="K313" s="110">
        <f t="shared" si="19"/>
        <v>3.1366041184914377E-4</v>
      </c>
    </row>
    <row r="314" spans="2:11" ht="15" customHeight="1">
      <c r="B314" s="333" t="s">
        <v>504</v>
      </c>
      <c r="C314" s="334" t="s">
        <v>505</v>
      </c>
      <c r="D314" s="335">
        <v>542.07928000000004</v>
      </c>
      <c r="E314" s="335">
        <v>91.2</v>
      </c>
      <c r="F314" s="335">
        <f t="shared" si="17"/>
        <v>49437.630336000002</v>
      </c>
      <c r="G314" s="336" t="str">
        <f t="shared" si="16"/>
        <v/>
      </c>
      <c r="H314" s="109">
        <v>1.9956140350877193E-2</v>
      </c>
      <c r="I314" s="110" t="str">
        <f t="shared" si="18"/>
        <v/>
      </c>
      <c r="J314" s="110">
        <v>0.20660000000000001</v>
      </c>
      <c r="K314" s="110" t="str">
        <f t="shared" si="19"/>
        <v/>
      </c>
    </row>
    <row r="315" spans="2:11" ht="15" customHeight="1">
      <c r="B315" s="333" t="s">
        <v>506</v>
      </c>
      <c r="C315" s="334" t="s">
        <v>507</v>
      </c>
      <c r="D315" s="335">
        <v>117.07774999999999</v>
      </c>
      <c r="E315" s="335">
        <v>755.6</v>
      </c>
      <c r="F315" s="335">
        <f t="shared" si="17"/>
        <v>88463.947899999999</v>
      </c>
      <c r="G315" s="336">
        <f t="shared" si="16"/>
        <v>1.7891786924764568E-3</v>
      </c>
      <c r="H315" s="109">
        <v>4.3409211222869238E-3</v>
      </c>
      <c r="I315" s="110">
        <f t="shared" si="18"/>
        <v>7.7666835777167514E-6</v>
      </c>
      <c r="J315" s="110">
        <v>0.1212</v>
      </c>
      <c r="K315" s="110">
        <f t="shared" si="19"/>
        <v>2.1684845752814656E-4</v>
      </c>
    </row>
    <row r="316" spans="2:11" ht="15" customHeight="1">
      <c r="B316" s="333" t="s">
        <v>508</v>
      </c>
      <c r="C316" s="334" t="s">
        <v>509</v>
      </c>
      <c r="D316" s="335">
        <v>174.7</v>
      </c>
      <c r="E316" s="335">
        <v>452.92</v>
      </c>
      <c r="F316" s="335">
        <f t="shared" si="17"/>
        <v>79125.123999999996</v>
      </c>
      <c r="G316" s="336">
        <f t="shared" si="16"/>
        <v>1.6003014703841576E-3</v>
      </c>
      <c r="H316" s="109">
        <v>9.0965291883776389E-3</v>
      </c>
      <c r="I316" s="110">
        <f t="shared" si="18"/>
        <v>1.4557189035553142E-5</v>
      </c>
      <c r="J316" s="110">
        <v>0.10855000000000001</v>
      </c>
      <c r="K316" s="110">
        <f t="shared" si="19"/>
        <v>1.7371272461020031E-4</v>
      </c>
    </row>
    <row r="317" spans="2:11" ht="15" customHeight="1">
      <c r="B317" s="333" t="s">
        <v>510</v>
      </c>
      <c r="C317" s="334" t="s">
        <v>511</v>
      </c>
      <c r="D317" s="335">
        <v>1283.64977</v>
      </c>
      <c r="E317" s="335">
        <v>57.84</v>
      </c>
      <c r="F317" s="335">
        <f t="shared" si="17"/>
        <v>74246.302696800005</v>
      </c>
      <c r="G317" s="336">
        <f t="shared" si="16"/>
        <v>1.5016275661858842E-3</v>
      </c>
      <c r="H317" s="109">
        <v>3.4578146611341627E-2</v>
      </c>
      <c r="I317" s="110">
        <f t="shared" si="18"/>
        <v>5.1923498139207608E-5</v>
      </c>
      <c r="J317" s="110">
        <v>7.3550000000000004E-2</v>
      </c>
      <c r="K317" s="110">
        <f t="shared" si="19"/>
        <v>1.1044470749297179E-4</v>
      </c>
    </row>
    <row r="318" spans="2:11" ht="15" customHeight="1">
      <c r="B318" s="333" t="s">
        <v>512</v>
      </c>
      <c r="C318" s="334" t="s">
        <v>513</v>
      </c>
      <c r="D318" s="335">
        <v>1280.04519</v>
      </c>
      <c r="E318" s="335">
        <v>78.23</v>
      </c>
      <c r="F318" s="335">
        <f t="shared" si="17"/>
        <v>100137.93521370001</v>
      </c>
      <c r="G318" s="336">
        <f t="shared" si="16"/>
        <v>2.0252844717654739E-3</v>
      </c>
      <c r="H318" s="109">
        <v>3.6814521283395116E-2</v>
      </c>
      <c r="I318" s="110">
        <f t="shared" si="18"/>
        <v>7.4559878290739672E-5</v>
      </c>
      <c r="J318" s="110">
        <v>6.6849999999999993E-2</v>
      </c>
      <c r="K318" s="110">
        <f t="shared" si="19"/>
        <v>1.3539026693752191E-4</v>
      </c>
    </row>
    <row r="319" spans="2:11" ht="15" customHeight="1">
      <c r="B319" s="333" t="s">
        <v>514</v>
      </c>
      <c r="C319" s="334" t="s">
        <v>515</v>
      </c>
      <c r="D319" s="335">
        <v>643.43678</v>
      </c>
      <c r="E319" s="335">
        <v>84.61</v>
      </c>
      <c r="F319" s="335">
        <f t="shared" si="17"/>
        <v>54441.1859558</v>
      </c>
      <c r="G319" s="336">
        <f t="shared" si="16"/>
        <v>1.1010701219820406E-3</v>
      </c>
      <c r="H319" s="109">
        <v>2.8010873419217586E-2</v>
      </c>
      <c r="I319" s="110">
        <f t="shared" si="18"/>
        <v>3.0841935812521406E-5</v>
      </c>
      <c r="J319" s="110">
        <v>0.1043</v>
      </c>
      <c r="K319" s="110">
        <f t="shared" si="19"/>
        <v>1.1484161372272683E-4</v>
      </c>
    </row>
    <row r="320" spans="2:11" ht="15" customHeight="1">
      <c r="B320" s="333" t="s">
        <v>319</v>
      </c>
      <c r="C320" s="334" t="s">
        <v>1068</v>
      </c>
      <c r="D320" s="335">
        <v>2196.0455900000002</v>
      </c>
      <c r="E320" s="335">
        <v>563.29</v>
      </c>
      <c r="F320" s="335">
        <f t="shared" si="17"/>
        <v>1237010.5203911001</v>
      </c>
      <c r="G320" s="336">
        <f t="shared" si="16"/>
        <v>2.5018472699803281E-2</v>
      </c>
      <c r="H320" s="109">
        <v>3.7280974276127751E-3</v>
      </c>
      <c r="I320" s="110">
        <f t="shared" si="18"/>
        <v>9.3271303714937052E-5</v>
      </c>
      <c r="J320" s="110">
        <v>0.15415000000000001</v>
      </c>
      <c r="K320" s="110">
        <f t="shared" si="19"/>
        <v>3.8565975666746762E-3</v>
      </c>
    </row>
    <row r="321" spans="2:11" ht="15" customHeight="1">
      <c r="B321" s="333" t="s">
        <v>516</v>
      </c>
      <c r="C321" s="334" t="s">
        <v>517</v>
      </c>
      <c r="D321" s="335">
        <v>255.85123999999999</v>
      </c>
      <c r="E321" s="335">
        <v>47.81</v>
      </c>
      <c r="F321" s="335">
        <f t="shared" si="17"/>
        <v>12232.2477844</v>
      </c>
      <c r="G321" s="336" t="str">
        <f t="shared" si="16"/>
        <v/>
      </c>
      <c r="H321" s="109" t="s">
        <v>4</v>
      </c>
      <c r="I321" s="110" t="str">
        <f t="shared" si="18"/>
        <v/>
      </c>
      <c r="J321" s="110">
        <v>0.33679999999999999</v>
      </c>
      <c r="K321" s="110" t="str">
        <f t="shared" si="19"/>
        <v/>
      </c>
    </row>
    <row r="322" spans="2:11" ht="15" customHeight="1">
      <c r="B322" s="333" t="s">
        <v>518</v>
      </c>
      <c r="C322" s="334" t="s">
        <v>519</v>
      </c>
      <c r="D322" s="335">
        <v>254.05515</v>
      </c>
      <c r="E322" s="335">
        <v>50.42</v>
      </c>
      <c r="F322" s="335">
        <f t="shared" si="17"/>
        <v>12809.460663</v>
      </c>
      <c r="G322" s="336">
        <f t="shared" si="16"/>
        <v>2.5907066804504379E-4</v>
      </c>
      <c r="H322" s="109">
        <v>3.8080126933756446E-2</v>
      </c>
      <c r="I322" s="110">
        <f t="shared" si="18"/>
        <v>9.8654439239683482E-6</v>
      </c>
      <c r="J322" s="110">
        <v>5.6349999999999997E-2</v>
      </c>
      <c r="K322" s="110">
        <f t="shared" si="19"/>
        <v>1.4598632144338216E-5</v>
      </c>
    </row>
    <row r="323" spans="2:11" ht="15" customHeight="1">
      <c r="B323" s="333" t="s">
        <v>520</v>
      </c>
      <c r="C323" s="334" t="s">
        <v>521</v>
      </c>
      <c r="D323" s="335">
        <v>60.256210000000003</v>
      </c>
      <c r="E323" s="335">
        <v>576.70000000000005</v>
      </c>
      <c r="F323" s="335">
        <f t="shared" si="17"/>
        <v>34749.756307000003</v>
      </c>
      <c r="G323" s="336">
        <f t="shared" si="16"/>
        <v>7.0281199323723347E-4</v>
      </c>
      <c r="H323" s="109">
        <v>5.7568926651638628E-3</v>
      </c>
      <c r="I323" s="110">
        <f t="shared" si="18"/>
        <v>4.0460132088566234E-6</v>
      </c>
      <c r="J323" s="110">
        <v>0.12219999999999999</v>
      </c>
      <c r="K323" s="110">
        <f t="shared" si="19"/>
        <v>8.5883625573589923E-5</v>
      </c>
    </row>
    <row r="324" spans="2:11" ht="15" customHeight="1">
      <c r="B324" s="333" t="s">
        <v>523</v>
      </c>
      <c r="C324" s="334" t="s">
        <v>524</v>
      </c>
      <c r="D324" s="335">
        <v>521.56726000000003</v>
      </c>
      <c r="E324" s="335">
        <v>161.91</v>
      </c>
      <c r="F324" s="335">
        <f t="shared" si="17"/>
        <v>84446.9550666</v>
      </c>
      <c r="G324" s="336" t="str">
        <f t="shared" si="16"/>
        <v/>
      </c>
      <c r="H324" s="109">
        <v>1.9269964795256625E-2</v>
      </c>
      <c r="I324" s="110" t="str">
        <f t="shared" si="18"/>
        <v/>
      </c>
      <c r="J324" s="110">
        <v>0.31030000000000002</v>
      </c>
      <c r="K324" s="110" t="str">
        <f t="shared" si="19"/>
        <v/>
      </c>
    </row>
    <row r="325" spans="2:11" ht="15" customHeight="1">
      <c r="B325" s="333" t="s">
        <v>525</v>
      </c>
      <c r="C325" s="334" t="s">
        <v>526</v>
      </c>
      <c r="D325" s="335">
        <v>978.00810999999999</v>
      </c>
      <c r="E325" s="335">
        <v>96.12</v>
      </c>
      <c r="F325" s="335">
        <f t="shared" si="17"/>
        <v>94006.13953320001</v>
      </c>
      <c r="G325" s="336">
        <f t="shared" si="16"/>
        <v>1.9012692267012215E-3</v>
      </c>
      <c r="H325" s="109" t="s">
        <v>4</v>
      </c>
      <c r="I325" s="110" t="str">
        <f t="shared" si="18"/>
        <v/>
      </c>
      <c r="J325" s="110">
        <v>0.10650000000000001</v>
      </c>
      <c r="K325" s="110">
        <f t="shared" si="19"/>
        <v>2.0248517264368011E-4</v>
      </c>
    </row>
    <row r="326" spans="2:11" ht="15" customHeight="1">
      <c r="B326" s="333" t="s">
        <v>527</v>
      </c>
      <c r="C326" s="334" t="s">
        <v>528</v>
      </c>
      <c r="D326" s="335">
        <v>1669.8912399999999</v>
      </c>
      <c r="E326" s="335">
        <v>71.95</v>
      </c>
      <c r="F326" s="335">
        <f t="shared" si="17"/>
        <v>120148.67471799999</v>
      </c>
      <c r="G326" s="336">
        <f t="shared" si="16"/>
        <v>2.430000625539914E-3</v>
      </c>
      <c r="H326" s="109">
        <v>5.8929812369701184E-2</v>
      </c>
      <c r="I326" s="110">
        <f t="shared" si="18"/>
        <v>1.4319948092132365E-4</v>
      </c>
      <c r="J326" s="110">
        <v>5.0099999999999992E-2</v>
      </c>
      <c r="K326" s="110">
        <f t="shared" si="19"/>
        <v>1.2174303133954967E-4</v>
      </c>
    </row>
    <row r="327" spans="2:11" ht="15" customHeight="1">
      <c r="B327" s="333" t="s">
        <v>529</v>
      </c>
      <c r="C327" s="334" t="s">
        <v>530</v>
      </c>
      <c r="D327" s="335">
        <v>317.84663999999998</v>
      </c>
      <c r="E327" s="335">
        <v>21.19</v>
      </c>
      <c r="F327" s="335">
        <f t="shared" si="17"/>
        <v>6735.1703016000001</v>
      </c>
      <c r="G327" s="336">
        <f t="shared" si="16"/>
        <v>1.3621846503442055E-4</v>
      </c>
      <c r="H327" s="109">
        <v>4.1529023124115147E-2</v>
      </c>
      <c r="I327" s="110">
        <f t="shared" si="18"/>
        <v>5.6570197843459215E-6</v>
      </c>
      <c r="J327" s="110">
        <v>0.10135</v>
      </c>
      <c r="K327" s="110">
        <f t="shared" si="19"/>
        <v>1.3805741431238522E-5</v>
      </c>
    </row>
    <row r="328" spans="2:11" ht="15" customHeight="1">
      <c r="B328" s="333" t="s">
        <v>531</v>
      </c>
      <c r="C328" s="334" t="s">
        <v>532</v>
      </c>
      <c r="D328" s="335">
        <v>291.93664000000001</v>
      </c>
      <c r="E328" s="335">
        <v>255.67</v>
      </c>
      <c r="F328" s="335">
        <f t="shared" si="17"/>
        <v>74639.4407488</v>
      </c>
      <c r="G328" s="336">
        <f t="shared" si="16"/>
        <v>1.5095787626058677E-3</v>
      </c>
      <c r="H328" s="109">
        <v>1.5645167598857902E-2</v>
      </c>
      <c r="I328" s="110">
        <f t="shared" si="18"/>
        <v>2.3617612744645328E-5</v>
      </c>
      <c r="J328" s="110">
        <v>0.10390000000000001</v>
      </c>
      <c r="K328" s="110">
        <f t="shared" si="19"/>
        <v>1.5684523343474966E-4</v>
      </c>
    </row>
    <row r="329" spans="2:11" ht="15" customHeight="1">
      <c r="B329" s="333" t="s">
        <v>533</v>
      </c>
      <c r="C329" s="334" t="s">
        <v>534</v>
      </c>
      <c r="D329" s="335">
        <v>49.13</v>
      </c>
      <c r="E329" s="335">
        <v>1382.36</v>
      </c>
      <c r="F329" s="335">
        <f t="shared" si="17"/>
        <v>67915.346799999999</v>
      </c>
      <c r="G329" s="336">
        <f t="shared" si="16"/>
        <v>1.3735843162241362E-3</v>
      </c>
      <c r="H329" s="109">
        <v>5.787204490870685E-3</v>
      </c>
      <c r="I329" s="110">
        <f t="shared" si="18"/>
        <v>7.9492133234418609E-6</v>
      </c>
      <c r="J329" s="110">
        <v>0.15</v>
      </c>
      <c r="K329" s="110">
        <f t="shared" si="19"/>
        <v>2.0603764743362042E-4</v>
      </c>
    </row>
    <row r="330" spans="2:11" ht="15" customHeight="1">
      <c r="B330" s="333" t="s">
        <v>535</v>
      </c>
      <c r="C330" s="334" t="s">
        <v>536</v>
      </c>
      <c r="D330" s="335">
        <v>2469.8244199999999</v>
      </c>
      <c r="E330" s="335">
        <v>128.5</v>
      </c>
      <c r="F330" s="335">
        <f t="shared" si="17"/>
        <v>317372.43796999997</v>
      </c>
      <c r="G330" s="336">
        <f t="shared" si="16"/>
        <v>6.418840862009844E-3</v>
      </c>
      <c r="H330" s="109">
        <v>2.6459143968871595E-2</v>
      </c>
      <c r="I330" s="110">
        <f t="shared" si="18"/>
        <v>1.6983703448119431E-4</v>
      </c>
      <c r="J330" s="110">
        <v>0.10765</v>
      </c>
      <c r="K330" s="110">
        <f t="shared" si="19"/>
        <v>6.9098821879535967E-4</v>
      </c>
    </row>
    <row r="331" spans="2:11" ht="15" customHeight="1">
      <c r="B331" s="333" t="s">
        <v>537</v>
      </c>
      <c r="C331" s="334" t="s">
        <v>538</v>
      </c>
      <c r="D331" s="335">
        <v>396.78626000000003</v>
      </c>
      <c r="E331" s="335">
        <v>70.03</v>
      </c>
      <c r="F331" s="335">
        <f t="shared" si="17"/>
        <v>27786.941787800002</v>
      </c>
      <c r="G331" s="336" t="str">
        <f t="shared" si="16"/>
        <v/>
      </c>
      <c r="H331" s="109" t="s">
        <v>4</v>
      </c>
      <c r="I331" s="110" t="str">
        <f t="shared" si="18"/>
        <v/>
      </c>
      <c r="J331" s="110">
        <v>0.27210000000000001</v>
      </c>
      <c r="K331" s="110" t="str">
        <f t="shared" si="19"/>
        <v/>
      </c>
    </row>
    <row r="332" spans="2:11" ht="15" customHeight="1">
      <c r="B332" s="333" t="s">
        <v>522</v>
      </c>
      <c r="C332" s="334" t="s">
        <v>1440</v>
      </c>
      <c r="D332" s="335">
        <v>481.79450000000003</v>
      </c>
      <c r="E332" s="335">
        <v>166.67</v>
      </c>
      <c r="F332" s="335">
        <f t="shared" si="17"/>
        <v>80300.689314999996</v>
      </c>
      <c r="G332" s="336">
        <f t="shared" si="16"/>
        <v>1.6240772170373584E-3</v>
      </c>
      <c r="H332" s="109">
        <v>2.1599568008639828E-2</v>
      </c>
      <c r="I332" s="110">
        <f t="shared" si="18"/>
        <v>3.507936630068093E-5</v>
      </c>
      <c r="J332" s="110">
        <v>7.7499999999999999E-2</v>
      </c>
      <c r="K332" s="110">
        <f t="shared" si="19"/>
        <v>1.2586598432039528E-4</v>
      </c>
    </row>
    <row r="333" spans="2:11" ht="15" customHeight="1">
      <c r="B333" s="333" t="s">
        <v>1516</v>
      </c>
      <c r="C333" s="334" t="s">
        <v>1517</v>
      </c>
      <c r="D333" s="335">
        <v>874.8</v>
      </c>
      <c r="E333" s="335">
        <v>297.89</v>
      </c>
      <c r="F333" s="335">
        <f t="shared" si="17"/>
        <v>260594.17199999996</v>
      </c>
      <c r="G333" s="336" t="str">
        <f t="shared" si="16"/>
        <v/>
      </c>
      <c r="H333" s="109">
        <v>8.0566652119910039E-4</v>
      </c>
      <c r="I333" s="110" t="str">
        <f t="shared" si="18"/>
        <v/>
      </c>
      <c r="J333" s="110">
        <v>0.32780000000000004</v>
      </c>
      <c r="K333" s="110" t="str">
        <f t="shared" si="19"/>
        <v/>
      </c>
    </row>
    <row r="334" spans="2:11" ht="15" customHeight="1">
      <c r="B334" s="333" t="s">
        <v>539</v>
      </c>
      <c r="C334" s="334" t="s">
        <v>540</v>
      </c>
      <c r="D334" s="335">
        <v>1577.2848200000001</v>
      </c>
      <c r="E334" s="335">
        <v>209.04</v>
      </c>
      <c r="F334" s="335">
        <f t="shared" si="17"/>
        <v>329715.61877280002</v>
      </c>
      <c r="G334" s="336">
        <f t="shared" si="16"/>
        <v>6.6684810444118132E-3</v>
      </c>
      <c r="H334" s="109">
        <v>1.9135093761959435E-2</v>
      </c>
      <c r="I334" s="110">
        <f t="shared" si="18"/>
        <v>1.2760201003466924E-4</v>
      </c>
      <c r="J334" s="110">
        <v>9.820000000000001E-2</v>
      </c>
      <c r="K334" s="110">
        <f t="shared" si="19"/>
        <v>6.5484483856124011E-4</v>
      </c>
    </row>
    <row r="335" spans="2:11" ht="15" customHeight="1">
      <c r="B335" s="333" t="s">
        <v>541</v>
      </c>
      <c r="C335" s="334" t="s">
        <v>542</v>
      </c>
      <c r="D335" s="335">
        <v>73.12021</v>
      </c>
      <c r="E335" s="335">
        <v>560.04</v>
      </c>
      <c r="F335" s="335">
        <f t="shared" si="17"/>
        <v>40950.242408399994</v>
      </c>
      <c r="G335" s="336">
        <f t="shared" ref="G335:G398" si="20">IF(AND(ISNUMBER($J335)), IF(AND($J335&lt;=20%,$J335&gt;0%), $F335/SUMIFS($F$15:$F$517,$J$15:$J$517, "&gt;"&amp;0%,$J$15:$J$517, "&lt;="&amp;20%),""),"")</f>
        <v>8.2821649845060837E-4</v>
      </c>
      <c r="H335" s="109">
        <v>1.4641811299192915E-2</v>
      </c>
      <c r="I335" s="110">
        <f t="shared" si="18"/>
        <v>1.2126589685192109E-5</v>
      </c>
      <c r="J335" s="110">
        <v>0.13105</v>
      </c>
      <c r="K335" s="110">
        <f t="shared" si="19"/>
        <v>1.0853777212195223E-4</v>
      </c>
    </row>
    <row r="336" spans="2:11" ht="15" customHeight="1">
      <c r="B336" s="333" t="s">
        <v>543</v>
      </c>
      <c r="C336" s="334" t="s">
        <v>544</v>
      </c>
      <c r="D336" s="335">
        <v>7428.4346999999998</v>
      </c>
      <c r="E336" s="335">
        <v>373.02</v>
      </c>
      <c r="F336" s="335">
        <f t="shared" ref="F336:F399" si="21">IFERROR(D336*E336,"")</f>
        <v>2770954.7117939997</v>
      </c>
      <c r="G336" s="336">
        <f t="shared" si="20"/>
        <v>5.604241327510396E-2</v>
      </c>
      <c r="H336" s="109">
        <v>9.758189909388237E-3</v>
      </c>
      <c r="I336" s="110">
        <f t="shared" ref="I336:I399" si="22">IFERROR(G336*H336,"")</f>
        <v>5.4687251171888483E-4</v>
      </c>
      <c r="J336" s="110">
        <v>0.13705000000000001</v>
      </c>
      <c r="K336" s="110">
        <f t="shared" ref="K336:K399" si="23">IFERROR(G336*J336,"")</f>
        <v>7.680612739352998E-3</v>
      </c>
    </row>
    <row r="337" spans="2:11" ht="15" customHeight="1">
      <c r="B337" s="333" t="s">
        <v>545</v>
      </c>
      <c r="C337" s="334" t="s">
        <v>546</v>
      </c>
      <c r="D337" s="335">
        <v>165.99557999999999</v>
      </c>
      <c r="E337" s="335">
        <v>415.29</v>
      </c>
      <c r="F337" s="335">
        <f t="shared" si="21"/>
        <v>68936.304418200001</v>
      </c>
      <c r="G337" s="336">
        <f t="shared" si="20"/>
        <v>1.3942331303429662E-3</v>
      </c>
      <c r="H337" s="109">
        <v>1.1654506489441113E-2</v>
      </c>
      <c r="I337" s="110">
        <f t="shared" si="22"/>
        <v>1.6249099065375897E-5</v>
      </c>
      <c r="J337" s="110">
        <v>7.9649999999999999E-2</v>
      </c>
      <c r="K337" s="110">
        <f t="shared" si="23"/>
        <v>1.1105066883181726E-4</v>
      </c>
    </row>
    <row r="338" spans="2:11" ht="15" customHeight="1">
      <c r="B338" s="333" t="s">
        <v>547</v>
      </c>
      <c r="C338" s="334" t="s">
        <v>548</v>
      </c>
      <c r="D338" s="335">
        <v>146.44506000000001</v>
      </c>
      <c r="E338" s="335">
        <v>238.01</v>
      </c>
      <c r="F338" s="335">
        <f t="shared" si="21"/>
        <v>34855.388730600003</v>
      </c>
      <c r="G338" s="336">
        <f t="shared" si="20"/>
        <v>7.0494840344756469E-4</v>
      </c>
      <c r="H338" s="109">
        <v>2.5209024830889458E-2</v>
      </c>
      <c r="I338" s="110">
        <f t="shared" si="22"/>
        <v>1.7771061807005538E-5</v>
      </c>
      <c r="J338" s="110">
        <v>9.1299999999999992E-2</v>
      </c>
      <c r="K338" s="110">
        <f t="shared" si="23"/>
        <v>6.4361789234762656E-5</v>
      </c>
    </row>
    <row r="339" spans="2:11" ht="15" customHeight="1">
      <c r="B339" s="333" t="s">
        <v>549</v>
      </c>
      <c r="C339" s="334" t="s">
        <v>550</v>
      </c>
      <c r="D339" s="335">
        <v>20.207599999999999</v>
      </c>
      <c r="E339" s="335">
        <v>1277.51</v>
      </c>
      <c r="F339" s="335">
        <f t="shared" si="21"/>
        <v>25815.411076</v>
      </c>
      <c r="G339" s="336">
        <f t="shared" si="20"/>
        <v>5.2211533094714986E-4</v>
      </c>
      <c r="H339" s="109" t="s">
        <v>4</v>
      </c>
      <c r="I339" s="110" t="str">
        <f t="shared" si="22"/>
        <v/>
      </c>
      <c r="J339" s="110">
        <v>0.10289999999999999</v>
      </c>
      <c r="K339" s="110">
        <f t="shared" si="23"/>
        <v>5.3725667554461719E-5</v>
      </c>
    </row>
    <row r="340" spans="2:11" ht="15" customHeight="1">
      <c r="B340" s="333" t="s">
        <v>551</v>
      </c>
      <c r="C340" s="334" t="s">
        <v>552</v>
      </c>
      <c r="D340" s="335">
        <v>1129.3931500000001</v>
      </c>
      <c r="E340" s="335">
        <v>1154.29</v>
      </c>
      <c r="F340" s="335">
        <f t="shared" si="21"/>
        <v>1303647.2191135001</v>
      </c>
      <c r="G340" s="336" t="str">
        <f t="shared" si="20"/>
        <v/>
      </c>
      <c r="H340" s="109">
        <v>5.1980005024733814E-4</v>
      </c>
      <c r="I340" s="110" t="str">
        <f t="shared" si="22"/>
        <v/>
      </c>
      <c r="J340" s="110">
        <v>0.88675000000000004</v>
      </c>
      <c r="K340" s="110" t="str">
        <f t="shared" si="23"/>
        <v/>
      </c>
    </row>
    <row r="341" spans="2:11" ht="15" customHeight="1">
      <c r="B341" s="333" t="s">
        <v>553</v>
      </c>
      <c r="C341" s="334" t="s">
        <v>554</v>
      </c>
      <c r="D341" s="335">
        <v>459.11014</v>
      </c>
      <c r="E341" s="335">
        <v>21.11</v>
      </c>
      <c r="F341" s="335">
        <f t="shared" si="21"/>
        <v>9691.8150554000003</v>
      </c>
      <c r="G341" s="336">
        <f t="shared" si="20"/>
        <v>1.9601644964054572E-4</v>
      </c>
      <c r="H341" s="109" t="s">
        <v>4</v>
      </c>
      <c r="I341" s="110" t="str">
        <f t="shared" si="22"/>
        <v/>
      </c>
      <c r="J341" s="110">
        <v>6.2799999999999995E-2</v>
      </c>
      <c r="K341" s="110">
        <f t="shared" si="23"/>
        <v>1.230983303742627E-5</v>
      </c>
    </row>
    <row r="342" spans="2:11" ht="15" customHeight="1">
      <c r="B342" s="333" t="s">
        <v>555</v>
      </c>
      <c r="C342" s="334" t="s">
        <v>556</v>
      </c>
      <c r="D342" s="335">
        <v>565.54079999999999</v>
      </c>
      <c r="E342" s="335">
        <v>78.819999999999993</v>
      </c>
      <c r="F342" s="335">
        <f t="shared" si="21"/>
        <v>44575.925855999994</v>
      </c>
      <c r="G342" s="336">
        <f t="shared" si="20"/>
        <v>9.0154575544288535E-4</v>
      </c>
      <c r="H342" s="109">
        <v>1.5732047703628523E-2</v>
      </c>
      <c r="I342" s="110">
        <f t="shared" si="22"/>
        <v>1.4183160831631287E-5</v>
      </c>
      <c r="J342" s="110">
        <v>0.10570000000000002</v>
      </c>
      <c r="K342" s="110">
        <f t="shared" si="23"/>
        <v>9.5293386350312999E-5</v>
      </c>
    </row>
    <row r="343" spans="2:11" ht="15" customHeight="1">
      <c r="B343" s="333" t="s">
        <v>1054</v>
      </c>
      <c r="C343" s="334" t="s">
        <v>562</v>
      </c>
      <c r="D343" s="335">
        <v>55.717950000000002</v>
      </c>
      <c r="E343" s="335">
        <v>301.69</v>
      </c>
      <c r="F343" s="335">
        <f t="shared" si="21"/>
        <v>16809.5483355</v>
      </c>
      <c r="G343" s="336">
        <f t="shared" si="20"/>
        <v>3.3997223078973272E-4</v>
      </c>
      <c r="H343" s="109">
        <v>1.0872087241870793E-2</v>
      </c>
      <c r="I343" s="110">
        <f t="shared" si="22"/>
        <v>3.6962077529594059E-6</v>
      </c>
      <c r="J343" s="110">
        <v>8.5000000000000006E-2</v>
      </c>
      <c r="K343" s="110">
        <f t="shared" si="23"/>
        <v>2.8897639617127283E-5</v>
      </c>
    </row>
    <row r="344" spans="2:11" ht="15" customHeight="1">
      <c r="B344" s="333" t="s">
        <v>557</v>
      </c>
      <c r="C344" s="334" t="s">
        <v>26</v>
      </c>
      <c r="D344" s="335">
        <v>2085.3414600000001</v>
      </c>
      <c r="E344" s="335">
        <v>87.77</v>
      </c>
      <c r="F344" s="335">
        <f t="shared" si="21"/>
        <v>183030.4199442</v>
      </c>
      <c r="G344" s="336">
        <f t="shared" si="20"/>
        <v>3.7017806147353789E-3</v>
      </c>
      <c r="H344" s="109">
        <v>2.8401503930728038E-2</v>
      </c>
      <c r="I344" s="110">
        <f t="shared" si="22"/>
        <v>1.0513613668009971E-4</v>
      </c>
      <c r="J344" s="110">
        <v>0.158025</v>
      </c>
      <c r="K344" s="110">
        <f t="shared" si="23"/>
        <v>5.8497388164355821E-4</v>
      </c>
    </row>
    <row r="345" spans="2:11" ht="15" customHeight="1">
      <c r="B345" s="333" t="s">
        <v>558</v>
      </c>
      <c r="C345" s="334" t="s">
        <v>559</v>
      </c>
      <c r="D345" s="335">
        <v>1067.55276</v>
      </c>
      <c r="E345" s="335">
        <v>93.4</v>
      </c>
      <c r="F345" s="335">
        <f t="shared" si="21"/>
        <v>99709.427784000014</v>
      </c>
      <c r="G345" s="336">
        <f t="shared" si="20"/>
        <v>2.0166179315421759E-3</v>
      </c>
      <c r="H345" s="109">
        <v>1.1134903640256958E-2</v>
      </c>
      <c r="I345" s="110">
        <f t="shared" si="22"/>
        <v>2.2454846346936431E-5</v>
      </c>
      <c r="J345" s="110">
        <v>0.125225</v>
      </c>
      <c r="K345" s="110">
        <f t="shared" si="23"/>
        <v>2.52530980477369E-4</v>
      </c>
    </row>
    <row r="346" spans="2:11" ht="15" customHeight="1">
      <c r="B346" s="333" t="s">
        <v>560</v>
      </c>
      <c r="C346" s="334" t="s">
        <v>561</v>
      </c>
      <c r="D346" s="335">
        <v>4210.79853</v>
      </c>
      <c r="E346" s="335">
        <v>71.400000000000006</v>
      </c>
      <c r="F346" s="335">
        <f t="shared" si="21"/>
        <v>300651.01504200004</v>
      </c>
      <c r="G346" s="336">
        <f t="shared" si="20"/>
        <v>6.0806509629508084E-3</v>
      </c>
      <c r="H346" s="109" t="s">
        <v>4</v>
      </c>
      <c r="I346" s="110" t="str">
        <f t="shared" si="22"/>
        <v/>
      </c>
      <c r="J346" s="110">
        <v>0.16009999999999999</v>
      </c>
      <c r="K346" s="110">
        <f t="shared" si="23"/>
        <v>9.7351221916842435E-4</v>
      </c>
    </row>
    <row r="347" spans="2:11" ht="15" customHeight="1">
      <c r="B347" s="333" t="s">
        <v>563</v>
      </c>
      <c r="C347" s="334" t="s">
        <v>6</v>
      </c>
      <c r="D347" s="335">
        <v>479.43925000000002</v>
      </c>
      <c r="E347" s="335">
        <v>47.55</v>
      </c>
      <c r="F347" s="335">
        <f t="shared" si="21"/>
        <v>22797.336337500001</v>
      </c>
      <c r="G347" s="336">
        <f t="shared" si="20"/>
        <v>4.6107492813209918E-4</v>
      </c>
      <c r="H347" s="109">
        <v>2.5236593059936908E-2</v>
      </c>
      <c r="I347" s="110">
        <f t="shared" si="22"/>
        <v>1.1635960331409442E-5</v>
      </c>
      <c r="J347" s="110">
        <v>5.3999999999999999E-2</v>
      </c>
      <c r="K347" s="110">
        <f t="shared" si="23"/>
        <v>2.4898046119133355E-5</v>
      </c>
    </row>
    <row r="348" spans="2:11" ht="15" customHeight="1">
      <c r="B348" s="333" t="s">
        <v>564</v>
      </c>
      <c r="C348" s="334" t="s">
        <v>565</v>
      </c>
      <c r="D348" s="335">
        <v>1199.49928</v>
      </c>
      <c r="E348" s="335">
        <v>41.05</v>
      </c>
      <c r="F348" s="335">
        <f t="shared" si="21"/>
        <v>49239.445443999997</v>
      </c>
      <c r="G348" s="336">
        <f t="shared" si="20"/>
        <v>9.9586519377756308E-4</v>
      </c>
      <c r="H348" s="109">
        <v>3.9951278928136422E-2</v>
      </c>
      <c r="I348" s="110">
        <f t="shared" si="22"/>
        <v>3.9786088131430053E-5</v>
      </c>
      <c r="J348" s="110">
        <v>6.9150000000000003E-2</v>
      </c>
      <c r="K348" s="110">
        <f t="shared" si="23"/>
        <v>6.8864078149718491E-5</v>
      </c>
    </row>
    <row r="349" spans="2:11" ht="15" customHeight="1">
      <c r="B349" s="333" t="s">
        <v>566</v>
      </c>
      <c r="C349" s="334" t="s">
        <v>567</v>
      </c>
      <c r="D349" s="335">
        <v>142.03348</v>
      </c>
      <c r="E349" s="335">
        <v>509.31</v>
      </c>
      <c r="F349" s="335">
        <f t="shared" si="21"/>
        <v>72339.071698800006</v>
      </c>
      <c r="G349" s="336">
        <f t="shared" si="20"/>
        <v>1.4630539195845638E-3</v>
      </c>
      <c r="H349" s="109">
        <v>1.9398794447389608E-2</v>
      </c>
      <c r="I349" s="110">
        <f t="shared" si="22"/>
        <v>2.8381482251468639E-5</v>
      </c>
      <c r="J349" s="110">
        <v>0.12100000000000001</v>
      </c>
      <c r="K349" s="110">
        <f t="shared" si="23"/>
        <v>1.7702952426973224E-4</v>
      </c>
    </row>
    <row r="350" spans="2:11" ht="15" customHeight="1">
      <c r="B350" s="333" t="s">
        <v>568</v>
      </c>
      <c r="C350" s="334" t="s">
        <v>569</v>
      </c>
      <c r="D350" s="335">
        <v>1031</v>
      </c>
      <c r="E350" s="335">
        <v>99.28</v>
      </c>
      <c r="F350" s="335">
        <f t="shared" si="21"/>
        <v>102357.68000000001</v>
      </c>
      <c r="G350" s="336">
        <f t="shared" si="20"/>
        <v>2.0701786932948263E-3</v>
      </c>
      <c r="H350" s="109" t="s">
        <v>4</v>
      </c>
      <c r="I350" s="110" t="str">
        <f t="shared" si="22"/>
        <v/>
      </c>
      <c r="J350" s="110">
        <v>0.2</v>
      </c>
      <c r="K350" s="110">
        <f t="shared" si="23"/>
        <v>4.1403573865896525E-4</v>
      </c>
    </row>
    <row r="351" spans="2:11" ht="15" customHeight="1">
      <c r="B351" s="333" t="s">
        <v>570</v>
      </c>
      <c r="C351" s="334" t="s">
        <v>571</v>
      </c>
      <c r="D351" s="335">
        <v>210.98647</v>
      </c>
      <c r="E351" s="335">
        <v>146.06</v>
      </c>
      <c r="F351" s="335">
        <f t="shared" si="21"/>
        <v>30816.683808199999</v>
      </c>
      <c r="G351" s="336">
        <f t="shared" si="20"/>
        <v>6.2326580885517621E-4</v>
      </c>
      <c r="H351" s="109">
        <v>1.3008352731754073E-2</v>
      </c>
      <c r="I351" s="110">
        <f t="shared" si="22"/>
        <v>8.1076614872301431E-6</v>
      </c>
      <c r="J351" s="110">
        <v>8.5000000000000006E-2</v>
      </c>
      <c r="K351" s="110">
        <f t="shared" si="23"/>
        <v>5.2977593752689984E-5</v>
      </c>
    </row>
    <row r="352" spans="2:11" ht="15" customHeight="1">
      <c r="B352" s="333" t="s">
        <v>572</v>
      </c>
      <c r="C352" s="334" t="s">
        <v>573</v>
      </c>
      <c r="D352" s="335">
        <v>224.59399999999999</v>
      </c>
      <c r="E352" s="335">
        <v>314.58999999999997</v>
      </c>
      <c r="F352" s="335">
        <f t="shared" si="21"/>
        <v>70655.026459999994</v>
      </c>
      <c r="G352" s="336">
        <f t="shared" si="20"/>
        <v>1.4289941932219853E-3</v>
      </c>
      <c r="H352" s="109">
        <v>1.7165199148097526E-2</v>
      </c>
      <c r="I352" s="110">
        <f t="shared" si="22"/>
        <v>2.4528969908130335E-5</v>
      </c>
      <c r="J352" s="110">
        <v>0.09</v>
      </c>
      <c r="K352" s="110">
        <f t="shared" si="23"/>
        <v>1.2860947738997866E-4</v>
      </c>
    </row>
    <row r="353" spans="2:11" ht="15" customHeight="1">
      <c r="B353" s="333" t="s">
        <v>574</v>
      </c>
      <c r="C353" s="334" t="s">
        <v>575</v>
      </c>
      <c r="D353" s="335">
        <v>195.91992999999999</v>
      </c>
      <c r="E353" s="335">
        <v>154.76</v>
      </c>
      <c r="F353" s="335">
        <f t="shared" si="21"/>
        <v>30320.568366799998</v>
      </c>
      <c r="G353" s="336">
        <f t="shared" si="20"/>
        <v>6.1323190015188358E-4</v>
      </c>
      <c r="H353" s="109">
        <v>1.3440165417420524E-2</v>
      </c>
      <c r="I353" s="110">
        <f t="shared" si="22"/>
        <v>8.2419381772804218E-6</v>
      </c>
      <c r="J353" s="110">
        <v>7.3899999999999993E-2</v>
      </c>
      <c r="K353" s="110">
        <f t="shared" si="23"/>
        <v>4.5317837421224195E-5</v>
      </c>
    </row>
    <row r="354" spans="2:11" ht="15" customHeight="1">
      <c r="B354" s="333" t="s">
        <v>576</v>
      </c>
      <c r="C354" s="334" t="s">
        <v>577</v>
      </c>
      <c r="D354" s="335">
        <v>185.04725999999999</v>
      </c>
      <c r="E354" s="335">
        <v>173.84</v>
      </c>
      <c r="F354" s="335">
        <f t="shared" si="21"/>
        <v>32168.615678400001</v>
      </c>
      <c r="G354" s="336">
        <f t="shared" si="20"/>
        <v>6.5060855980922556E-4</v>
      </c>
      <c r="H354" s="109">
        <v>1.8407731247123794E-2</v>
      </c>
      <c r="I354" s="110">
        <f t="shared" si="22"/>
        <v>1.1976227516046491E-5</v>
      </c>
      <c r="J354" s="110">
        <v>0.11285000000000001</v>
      </c>
      <c r="K354" s="110">
        <f t="shared" si="23"/>
        <v>7.3421175974471107E-5</v>
      </c>
    </row>
    <row r="355" spans="2:11" ht="15" customHeight="1">
      <c r="B355" s="333" t="s">
        <v>578</v>
      </c>
      <c r="C355" s="334" t="s">
        <v>579</v>
      </c>
      <c r="D355" s="335">
        <v>227.74095</v>
      </c>
      <c r="E355" s="335">
        <v>222.75</v>
      </c>
      <c r="F355" s="335">
        <f t="shared" si="21"/>
        <v>50729.296612500002</v>
      </c>
      <c r="G355" s="336" t="str">
        <f t="shared" si="20"/>
        <v/>
      </c>
      <c r="H355" s="109">
        <v>1.0056116722783391E-2</v>
      </c>
      <c r="I355" s="110" t="str">
        <f t="shared" si="22"/>
        <v/>
      </c>
      <c r="J355" s="110">
        <v>0.26919999999999999</v>
      </c>
      <c r="K355" s="110" t="str">
        <f t="shared" si="23"/>
        <v/>
      </c>
    </row>
    <row r="356" spans="2:11" ht="15" customHeight="1">
      <c r="B356" s="333" t="s">
        <v>580</v>
      </c>
      <c r="C356" s="334" t="s">
        <v>581</v>
      </c>
      <c r="D356" s="335">
        <v>24200</v>
      </c>
      <c r="E356" s="335">
        <v>200.09</v>
      </c>
      <c r="F356" s="335">
        <f t="shared" si="21"/>
        <v>4842178</v>
      </c>
      <c r="G356" s="336" t="str">
        <f t="shared" si="20"/>
        <v/>
      </c>
      <c r="H356" s="109">
        <v>4.9977510120445797E-3</v>
      </c>
      <c r="I356" s="110" t="str">
        <f t="shared" si="22"/>
        <v/>
      </c>
      <c r="J356" s="110">
        <v>0.30135000000000001</v>
      </c>
      <c r="K356" s="110" t="str">
        <f t="shared" si="23"/>
        <v/>
      </c>
    </row>
    <row r="357" spans="2:11" ht="15" customHeight="1">
      <c r="B357" s="333" t="s">
        <v>582</v>
      </c>
      <c r="C357" s="334" t="s">
        <v>583</v>
      </c>
      <c r="D357" s="335">
        <v>2.69929</v>
      </c>
      <c r="E357" s="335">
        <v>6813.4</v>
      </c>
      <c r="F357" s="335">
        <f t="shared" si="21"/>
        <v>18391.342485999998</v>
      </c>
      <c r="G357" s="336">
        <f t="shared" si="20"/>
        <v>3.719639342705412E-4</v>
      </c>
      <c r="H357" s="109" t="s">
        <v>4</v>
      </c>
      <c r="I357" s="110" t="str">
        <f t="shared" si="22"/>
        <v/>
      </c>
      <c r="J357" s="110">
        <v>3.6200000000000003E-2</v>
      </c>
      <c r="K357" s="110">
        <f t="shared" si="23"/>
        <v>1.3465094420593593E-5</v>
      </c>
    </row>
    <row r="358" spans="2:11" ht="15" customHeight="1">
      <c r="B358" s="333" t="s">
        <v>584</v>
      </c>
      <c r="C358" s="334" t="s">
        <v>585</v>
      </c>
      <c r="D358" s="335">
        <v>184.34030000000001</v>
      </c>
      <c r="E358" s="335">
        <v>28.06</v>
      </c>
      <c r="F358" s="335">
        <f t="shared" si="21"/>
        <v>5172.5888180000002</v>
      </c>
      <c r="G358" s="336">
        <f t="shared" si="20"/>
        <v>1.0461533673094846E-4</v>
      </c>
      <c r="H358" s="109">
        <v>7.1275837491090524E-3</v>
      </c>
      <c r="I358" s="110">
        <f t="shared" si="22"/>
        <v>7.4565457399107956E-7</v>
      </c>
      <c r="J358" s="110">
        <v>0.19500000000000001</v>
      </c>
      <c r="K358" s="110">
        <f t="shared" si="23"/>
        <v>2.0399990662534952E-5</v>
      </c>
    </row>
    <row r="359" spans="2:11" ht="15" customHeight="1">
      <c r="B359" s="333" t="s">
        <v>584</v>
      </c>
      <c r="C359" s="334" t="s">
        <v>586</v>
      </c>
      <c r="D359" s="335">
        <v>364.89492999999999</v>
      </c>
      <c r="E359" s="335">
        <v>24.83</v>
      </c>
      <c r="F359" s="335">
        <f t="shared" si="21"/>
        <v>9060.3411118999993</v>
      </c>
      <c r="G359" s="336">
        <f t="shared" si="20"/>
        <v>1.8324492235305187E-4</v>
      </c>
      <c r="H359" s="109">
        <v>8.0547724526782126E-3</v>
      </c>
      <c r="I359" s="110">
        <f t="shared" si="22"/>
        <v>1.4759961526625203E-6</v>
      </c>
      <c r="J359" s="110">
        <v>0.08</v>
      </c>
      <c r="K359" s="110">
        <f t="shared" si="23"/>
        <v>1.465959378824415E-5</v>
      </c>
    </row>
    <row r="360" spans="2:11" ht="15" customHeight="1">
      <c r="B360" s="333" t="s">
        <v>587</v>
      </c>
      <c r="C360" s="334" t="s">
        <v>588</v>
      </c>
      <c r="D360" s="335">
        <v>252.47108</v>
      </c>
      <c r="E360" s="335">
        <v>281.02999999999997</v>
      </c>
      <c r="F360" s="335">
        <f t="shared" si="21"/>
        <v>70951.947612399992</v>
      </c>
      <c r="G360" s="336">
        <f t="shared" si="20"/>
        <v>1.4349994079092176E-3</v>
      </c>
      <c r="H360" s="109">
        <v>1.443262285165285E-2</v>
      </c>
      <c r="I360" s="110">
        <f t="shared" si="22"/>
        <v>2.0710805246698883E-5</v>
      </c>
      <c r="J360" s="110">
        <v>0.1144</v>
      </c>
      <c r="K360" s="110">
        <f t="shared" si="23"/>
        <v>1.6416393226481449E-4</v>
      </c>
    </row>
    <row r="361" spans="2:11" ht="15" customHeight="1">
      <c r="B361" s="333" t="s">
        <v>589</v>
      </c>
      <c r="C361" s="334" t="s">
        <v>590</v>
      </c>
      <c r="D361" s="335">
        <v>932.49252999999999</v>
      </c>
      <c r="E361" s="335">
        <v>61.96</v>
      </c>
      <c r="F361" s="335">
        <f t="shared" si="21"/>
        <v>57777.237158800002</v>
      </c>
      <c r="G361" s="336">
        <f t="shared" si="20"/>
        <v>1.1685415820638944E-3</v>
      </c>
      <c r="H361" s="109">
        <v>5.2485474499677207E-2</v>
      </c>
      <c r="I361" s="110">
        <f t="shared" si="22"/>
        <v>6.1331459407226995E-5</v>
      </c>
      <c r="J361" s="110">
        <v>5.4400000000000004E-2</v>
      </c>
      <c r="K361" s="110">
        <f t="shared" si="23"/>
        <v>6.3568662064275865E-5</v>
      </c>
    </row>
    <row r="362" spans="2:11" ht="15" customHeight="1">
      <c r="B362" s="333" t="s">
        <v>591</v>
      </c>
      <c r="C362" s="334" t="s">
        <v>592</v>
      </c>
      <c r="D362" s="335">
        <v>207.96827999999999</v>
      </c>
      <c r="E362" s="335">
        <v>216.6</v>
      </c>
      <c r="F362" s="335">
        <f t="shared" si="21"/>
        <v>45045.929447999995</v>
      </c>
      <c r="G362" s="336">
        <f t="shared" si="20"/>
        <v>9.1105155336572256E-4</v>
      </c>
      <c r="H362" s="109">
        <v>5.3554939981532773E-3</v>
      </c>
      <c r="I362" s="110">
        <f t="shared" si="22"/>
        <v>4.8791311260583471E-6</v>
      </c>
      <c r="J362" s="110">
        <v>0.1411</v>
      </c>
      <c r="K362" s="110">
        <f t="shared" si="23"/>
        <v>1.2854937417990344E-4</v>
      </c>
    </row>
    <row r="363" spans="2:11" ht="15" customHeight="1">
      <c r="B363" s="333" t="s">
        <v>593</v>
      </c>
      <c r="C363" s="334" t="s">
        <v>594</v>
      </c>
      <c r="D363" s="335">
        <v>630.03285000000005</v>
      </c>
      <c r="E363" s="335">
        <v>86.94</v>
      </c>
      <c r="F363" s="335">
        <f t="shared" si="21"/>
        <v>54775.055979000004</v>
      </c>
      <c r="G363" s="336">
        <f t="shared" si="20"/>
        <v>1.107822625637443E-3</v>
      </c>
      <c r="H363" s="109">
        <v>4.9229353577179669E-2</v>
      </c>
      <c r="I363" s="110">
        <f t="shared" si="22"/>
        <v>5.4537391738305223E-5</v>
      </c>
      <c r="J363" s="110">
        <v>6.6699999999999995E-2</v>
      </c>
      <c r="K363" s="110">
        <f t="shared" si="23"/>
        <v>7.3891769130017434E-5</v>
      </c>
    </row>
    <row r="364" spans="2:11" ht="15" customHeight="1">
      <c r="B364" s="333" t="s">
        <v>595</v>
      </c>
      <c r="C364" s="334" t="s">
        <v>596</v>
      </c>
      <c r="D364" s="335">
        <v>285.00619999999998</v>
      </c>
      <c r="E364" s="335">
        <v>72.83</v>
      </c>
      <c r="F364" s="335">
        <f t="shared" si="21"/>
        <v>20757.001546</v>
      </c>
      <c r="G364" s="336">
        <f t="shared" si="20"/>
        <v>4.1980926430939977E-4</v>
      </c>
      <c r="H364" s="109">
        <v>4.3937937663050944E-2</v>
      </c>
      <c r="I364" s="110">
        <f t="shared" si="22"/>
        <v>1.8445553285597683E-5</v>
      </c>
      <c r="J364" s="110">
        <v>8.6099999999999996E-2</v>
      </c>
      <c r="K364" s="110">
        <f t="shared" si="23"/>
        <v>3.6145577657039316E-5</v>
      </c>
    </row>
    <row r="365" spans="2:11" ht="15" customHeight="1">
      <c r="B365" s="333" t="s">
        <v>1069</v>
      </c>
      <c r="C365" s="334" t="s">
        <v>1070</v>
      </c>
      <c r="D365" s="335">
        <v>391.90319</v>
      </c>
      <c r="E365" s="335">
        <v>94.54</v>
      </c>
      <c r="F365" s="335">
        <f t="shared" si="21"/>
        <v>37050.5275826</v>
      </c>
      <c r="G365" s="336" t="str">
        <f t="shared" si="20"/>
        <v/>
      </c>
      <c r="H365" s="109" t="s">
        <v>4</v>
      </c>
      <c r="I365" s="110" t="str">
        <f t="shared" si="22"/>
        <v/>
      </c>
      <c r="J365" s="110">
        <v>0.25190000000000001</v>
      </c>
      <c r="K365" s="110" t="str">
        <f t="shared" si="23"/>
        <v/>
      </c>
    </row>
    <row r="366" spans="2:11" ht="15" customHeight="1">
      <c r="B366" s="333" t="s">
        <v>597</v>
      </c>
      <c r="C366" s="334" t="s">
        <v>598</v>
      </c>
      <c r="D366" s="335">
        <v>2880.471</v>
      </c>
      <c r="E366" s="335">
        <v>146.55000000000001</v>
      </c>
      <c r="F366" s="335">
        <f t="shared" si="21"/>
        <v>422133.02505000005</v>
      </c>
      <c r="G366" s="336">
        <f t="shared" si="20"/>
        <v>8.5376182245885321E-3</v>
      </c>
      <c r="H366" s="109">
        <v>1.3647219379051518E-2</v>
      </c>
      <c r="I366" s="110">
        <f t="shared" si="22"/>
        <v>1.1651474888554803E-4</v>
      </c>
      <c r="J366" s="110">
        <v>0.18035000000000001</v>
      </c>
      <c r="K366" s="110">
        <f t="shared" si="23"/>
        <v>1.5397594468045419E-3</v>
      </c>
    </row>
    <row r="367" spans="2:11" ht="15" customHeight="1">
      <c r="B367" s="333" t="s">
        <v>599</v>
      </c>
      <c r="C367" s="334" t="s">
        <v>600</v>
      </c>
      <c r="D367" s="335">
        <v>828.71507999999994</v>
      </c>
      <c r="E367" s="335">
        <v>92.09</v>
      </c>
      <c r="F367" s="335">
        <f t="shared" si="21"/>
        <v>76316.371717200003</v>
      </c>
      <c r="G367" s="336">
        <f t="shared" si="20"/>
        <v>1.5434946032238648E-3</v>
      </c>
      <c r="H367" s="109" t="s">
        <v>4</v>
      </c>
      <c r="I367" s="110" t="str">
        <f t="shared" si="22"/>
        <v/>
      </c>
      <c r="J367" s="110">
        <v>9.7350000000000006E-2</v>
      </c>
      <c r="K367" s="110">
        <f t="shared" si="23"/>
        <v>1.5025919962384325E-4</v>
      </c>
    </row>
    <row r="368" spans="2:11" ht="15" customHeight="1">
      <c r="B368" s="333" t="s">
        <v>601</v>
      </c>
      <c r="C368" s="334" t="s">
        <v>602</v>
      </c>
      <c r="D368" s="335">
        <v>383.71607999999998</v>
      </c>
      <c r="E368" s="335">
        <v>71.599999999999994</v>
      </c>
      <c r="F368" s="335">
        <f t="shared" si="21"/>
        <v>27474.071327999995</v>
      </c>
      <c r="G368" s="336" t="str">
        <f t="shared" si="20"/>
        <v/>
      </c>
      <c r="H368" s="109">
        <v>2.4581005586592181E-2</v>
      </c>
      <c r="I368" s="110" t="str">
        <f t="shared" si="22"/>
        <v/>
      </c>
      <c r="J368" s="110" t="s">
        <v>4</v>
      </c>
      <c r="K368" s="110" t="str">
        <f t="shared" si="23"/>
        <v/>
      </c>
    </row>
    <row r="369" spans="2:11" ht="15" customHeight="1">
      <c r="B369" s="333" t="s">
        <v>603</v>
      </c>
      <c r="C369" s="334" t="s">
        <v>604</v>
      </c>
      <c r="D369" s="335">
        <v>994.63469999999995</v>
      </c>
      <c r="E369" s="335">
        <v>48.57</v>
      </c>
      <c r="F369" s="335">
        <f t="shared" si="21"/>
        <v>48309.407378999997</v>
      </c>
      <c r="G369" s="336" t="str">
        <f t="shared" si="20"/>
        <v/>
      </c>
      <c r="H369" s="109">
        <v>2.1412394482190653E-2</v>
      </c>
      <c r="I369" s="110" t="str">
        <f t="shared" si="22"/>
        <v/>
      </c>
      <c r="J369" s="110">
        <v>0.315</v>
      </c>
      <c r="K369" s="110" t="str">
        <f t="shared" si="23"/>
        <v/>
      </c>
    </row>
    <row r="370" spans="2:11" ht="15" customHeight="1">
      <c r="B370" s="333" t="s">
        <v>1220</v>
      </c>
      <c r="C370" s="334" t="s">
        <v>1221</v>
      </c>
      <c r="D370" s="335">
        <v>815</v>
      </c>
      <c r="E370" s="335">
        <v>341.02</v>
      </c>
      <c r="F370" s="335">
        <f t="shared" si="21"/>
        <v>277931.3</v>
      </c>
      <c r="G370" s="336">
        <f t="shared" si="20"/>
        <v>5.6211459214367916E-3</v>
      </c>
      <c r="H370" s="109" t="s">
        <v>4</v>
      </c>
      <c r="I370" s="110" t="str">
        <f t="shared" si="22"/>
        <v/>
      </c>
      <c r="J370" s="110">
        <v>9.6599999999999991E-2</v>
      </c>
      <c r="K370" s="110">
        <f t="shared" si="23"/>
        <v>5.4300269601079403E-4</v>
      </c>
    </row>
    <row r="371" spans="2:11" ht="15" customHeight="1">
      <c r="B371" s="333" t="s">
        <v>605</v>
      </c>
      <c r="C371" s="334" t="s">
        <v>606</v>
      </c>
      <c r="D371" s="335">
        <v>355.6</v>
      </c>
      <c r="E371" s="335">
        <v>98.33</v>
      </c>
      <c r="F371" s="335">
        <f t="shared" si="21"/>
        <v>34966.148000000001</v>
      </c>
      <c r="G371" s="336" t="str">
        <f t="shared" si="20"/>
        <v/>
      </c>
      <c r="H371" s="109">
        <v>4.8408420624427947E-2</v>
      </c>
      <c r="I371" s="110" t="str">
        <f t="shared" si="22"/>
        <v/>
      </c>
      <c r="J371" s="110">
        <v>-0.01</v>
      </c>
      <c r="K371" s="110" t="str">
        <f t="shared" si="23"/>
        <v/>
      </c>
    </row>
    <row r="372" spans="2:11" ht="15" customHeight="1">
      <c r="B372" s="333" t="s">
        <v>607</v>
      </c>
      <c r="C372" s="334" t="s">
        <v>608</v>
      </c>
      <c r="D372" s="335">
        <v>526.28623000000005</v>
      </c>
      <c r="E372" s="335">
        <v>120.12</v>
      </c>
      <c r="F372" s="335">
        <f t="shared" si="21"/>
        <v>63217.501947600009</v>
      </c>
      <c r="G372" s="336">
        <f t="shared" si="20"/>
        <v>1.2785706512227094E-3</v>
      </c>
      <c r="H372" s="109">
        <v>1.1655011655011654E-2</v>
      </c>
      <c r="I372" s="110">
        <f t="shared" si="22"/>
        <v>1.4901755841756519E-5</v>
      </c>
      <c r="J372" s="110">
        <v>0.14134999999999998</v>
      </c>
      <c r="K372" s="110">
        <f t="shared" si="23"/>
        <v>1.8072596155032993E-4</v>
      </c>
    </row>
    <row r="373" spans="2:11" ht="15" customHeight="1">
      <c r="B373" s="333" t="s">
        <v>1087</v>
      </c>
      <c r="C373" s="334" t="s">
        <v>1088</v>
      </c>
      <c r="D373" s="335">
        <v>2202.2247299999999</v>
      </c>
      <c r="E373" s="335">
        <v>16.82</v>
      </c>
      <c r="F373" s="335">
        <f t="shared" si="21"/>
        <v>37041.419958599996</v>
      </c>
      <c r="G373" s="336">
        <f t="shared" si="20"/>
        <v>7.4916077003385993E-4</v>
      </c>
      <c r="H373" s="109">
        <v>1.1890606420927468E-2</v>
      </c>
      <c r="I373" s="110">
        <f t="shared" si="22"/>
        <v>8.9079758624715813E-6</v>
      </c>
      <c r="J373" s="110">
        <v>8.2000000000000003E-2</v>
      </c>
      <c r="K373" s="110">
        <f t="shared" si="23"/>
        <v>6.1431183142776513E-5</v>
      </c>
    </row>
    <row r="374" spans="2:11" ht="15" customHeight="1">
      <c r="B374" s="333" t="s">
        <v>610</v>
      </c>
      <c r="C374" s="334" t="s">
        <v>29</v>
      </c>
      <c r="D374" s="335">
        <v>498.32139999999998</v>
      </c>
      <c r="E374" s="335">
        <v>81.16</v>
      </c>
      <c r="F374" s="335">
        <f t="shared" si="21"/>
        <v>40443.764823999998</v>
      </c>
      <c r="G374" s="336">
        <f t="shared" si="20"/>
        <v>8.179730159502595E-4</v>
      </c>
      <c r="H374" s="109">
        <v>3.3021192705766388E-2</v>
      </c>
      <c r="I374" s="110">
        <f t="shared" si="22"/>
        <v>2.7010444587810442E-5</v>
      </c>
      <c r="J374" s="110">
        <v>6.4750000000000002E-2</v>
      </c>
      <c r="K374" s="110">
        <f t="shared" si="23"/>
        <v>5.2963752782779303E-5</v>
      </c>
    </row>
    <row r="375" spans="2:11" ht="15" customHeight="1">
      <c r="B375" s="333" t="s">
        <v>611</v>
      </c>
      <c r="C375" s="334" t="s">
        <v>612</v>
      </c>
      <c r="D375" s="335">
        <v>1366.7683199999999</v>
      </c>
      <c r="E375" s="335">
        <v>135.4</v>
      </c>
      <c r="F375" s="335">
        <f t="shared" si="21"/>
        <v>185060.430528</v>
      </c>
      <c r="G375" s="336">
        <f t="shared" si="20"/>
        <v>3.7428374720004688E-3</v>
      </c>
      <c r="H375" s="109">
        <v>4.3722304283604137E-2</v>
      </c>
      <c r="I375" s="110">
        <f t="shared" si="22"/>
        <v>1.6364547883488016E-4</v>
      </c>
      <c r="J375" s="110">
        <v>7.4200000000000002E-2</v>
      </c>
      <c r="K375" s="110">
        <f t="shared" si="23"/>
        <v>2.7771854042243482E-4</v>
      </c>
    </row>
    <row r="376" spans="2:11" ht="15" customHeight="1">
      <c r="B376" s="333" t="s">
        <v>613</v>
      </c>
      <c r="C376" s="334" t="s">
        <v>614</v>
      </c>
      <c r="D376" s="335">
        <v>5699.4441699999998</v>
      </c>
      <c r="E376" s="335">
        <v>24.08</v>
      </c>
      <c r="F376" s="335">
        <f t="shared" si="21"/>
        <v>137242.61561359998</v>
      </c>
      <c r="G376" s="336" t="str">
        <f t="shared" si="20"/>
        <v/>
      </c>
      <c r="H376" s="109">
        <v>7.1428571428571438E-2</v>
      </c>
      <c r="I376" s="110" t="str">
        <f t="shared" si="22"/>
        <v/>
      </c>
      <c r="J376" s="110">
        <v>-1.9849999999999996E-2</v>
      </c>
      <c r="K376" s="110" t="str">
        <f t="shared" si="23"/>
        <v/>
      </c>
    </row>
    <row r="377" spans="2:11" ht="15" customHeight="1">
      <c r="B377" s="333" t="s">
        <v>615</v>
      </c>
      <c r="C377" s="334" t="s">
        <v>616</v>
      </c>
      <c r="D377" s="335">
        <v>216.01238000000001</v>
      </c>
      <c r="E377" s="335">
        <v>107.78</v>
      </c>
      <c r="F377" s="335">
        <f t="shared" si="21"/>
        <v>23281.814316399999</v>
      </c>
      <c r="G377" s="336">
        <f t="shared" si="20"/>
        <v>4.7087346976853838E-4</v>
      </c>
      <c r="H377" s="109">
        <v>3.0432362219335683E-2</v>
      </c>
      <c r="I377" s="110">
        <f t="shared" si="22"/>
        <v>1.432979199147157E-5</v>
      </c>
      <c r="J377" s="110">
        <v>7.5899999999999995E-2</v>
      </c>
      <c r="K377" s="110">
        <f t="shared" si="23"/>
        <v>3.5739296355432061E-5</v>
      </c>
    </row>
    <row r="378" spans="2:11" ht="15" customHeight="1">
      <c r="B378" s="333" t="s">
        <v>617</v>
      </c>
      <c r="C378" s="334" t="s">
        <v>618</v>
      </c>
      <c r="D378" s="335">
        <v>2328.5989800000002</v>
      </c>
      <c r="E378" s="335">
        <v>146.63999999999999</v>
      </c>
      <c r="F378" s="335">
        <f t="shared" si="21"/>
        <v>341465.75442720001</v>
      </c>
      <c r="G378" s="336">
        <f t="shared" si="20"/>
        <v>6.9061269198855708E-3</v>
      </c>
      <c r="H378" s="109">
        <v>2.9691762138570651E-2</v>
      </c>
      <c r="I378" s="110">
        <f t="shared" si="22"/>
        <v>2.0505507780402195E-4</v>
      </c>
      <c r="J378" s="110">
        <v>8.7000000000000008E-2</v>
      </c>
      <c r="K378" s="110">
        <f t="shared" si="23"/>
        <v>6.0083304203004475E-4</v>
      </c>
    </row>
    <row r="379" spans="2:11" ht="15" customHeight="1">
      <c r="B379" s="333" t="s">
        <v>619</v>
      </c>
      <c r="C379" s="334" t="s">
        <v>620</v>
      </c>
      <c r="D379" s="335">
        <v>583.5</v>
      </c>
      <c r="E379" s="335">
        <v>218.45</v>
      </c>
      <c r="F379" s="335">
        <f t="shared" si="21"/>
        <v>127465.575</v>
      </c>
      <c r="G379" s="336">
        <f t="shared" si="20"/>
        <v>2.5779845488249991E-3</v>
      </c>
      <c r="H379" s="109">
        <v>1.8310826276035708E-3</v>
      </c>
      <c r="I379" s="110">
        <f t="shared" si="22"/>
        <v>4.7205027215838852E-6</v>
      </c>
      <c r="J379" s="110">
        <v>5.9650000000000002E-2</v>
      </c>
      <c r="K379" s="110">
        <f t="shared" si="23"/>
        <v>1.537767783374112E-4</v>
      </c>
    </row>
    <row r="380" spans="2:11" ht="15" customHeight="1">
      <c r="B380" s="333" t="s">
        <v>621</v>
      </c>
      <c r="C380" s="334" t="s">
        <v>622</v>
      </c>
      <c r="D380" s="335">
        <v>126.08638999999999</v>
      </c>
      <c r="E380" s="335">
        <v>978.12</v>
      </c>
      <c r="F380" s="335">
        <f t="shared" si="21"/>
        <v>123327.6197868</v>
      </c>
      <c r="G380" s="336">
        <f t="shared" si="20"/>
        <v>2.4942946223224165E-3</v>
      </c>
      <c r="H380" s="109">
        <v>8.1789555473766005E-3</v>
      </c>
      <c r="I380" s="110">
        <f t="shared" si="22"/>
        <v>2.0400724838035552E-5</v>
      </c>
      <c r="J380" s="110">
        <v>7.0000000000000007E-2</v>
      </c>
      <c r="K380" s="110">
        <f t="shared" si="23"/>
        <v>1.7460062356256916E-4</v>
      </c>
    </row>
    <row r="381" spans="2:11" ht="15" customHeight="1">
      <c r="B381" s="333" t="s">
        <v>623</v>
      </c>
      <c r="C381" s="334" t="s">
        <v>624</v>
      </c>
      <c r="D381" s="335">
        <v>190.48634999999999</v>
      </c>
      <c r="E381" s="335">
        <v>137.21</v>
      </c>
      <c r="F381" s="335">
        <f t="shared" si="21"/>
        <v>26136.632083500001</v>
      </c>
      <c r="G381" s="336">
        <f t="shared" si="20"/>
        <v>5.286120089254432E-4</v>
      </c>
      <c r="H381" s="109">
        <v>7.5796224764958821E-3</v>
      </c>
      <c r="I381" s="110">
        <f t="shared" si="22"/>
        <v>4.0066794641969311E-6</v>
      </c>
      <c r="J381" s="110">
        <v>5.6400000000000006E-2</v>
      </c>
      <c r="K381" s="110">
        <f t="shared" si="23"/>
        <v>2.9813717303395E-5</v>
      </c>
    </row>
    <row r="382" spans="2:11" ht="15" customHeight="1">
      <c r="B382" s="333" t="s">
        <v>625</v>
      </c>
      <c r="C382" s="334" t="s">
        <v>626</v>
      </c>
      <c r="D382" s="335">
        <v>89.098650000000006</v>
      </c>
      <c r="E382" s="335">
        <v>238.28</v>
      </c>
      <c r="F382" s="335">
        <f t="shared" si="21"/>
        <v>21230.426322000003</v>
      </c>
      <c r="G382" s="336">
        <f t="shared" si="20"/>
        <v>4.2938425549865966E-4</v>
      </c>
      <c r="H382" s="109">
        <v>2.5180459963068658E-2</v>
      </c>
      <c r="I382" s="110">
        <f t="shared" si="22"/>
        <v>1.0812093054356042E-5</v>
      </c>
      <c r="J382" s="110">
        <v>6.0600000000000001E-2</v>
      </c>
      <c r="K382" s="110">
        <f t="shared" si="23"/>
        <v>2.6020685883218776E-5</v>
      </c>
    </row>
    <row r="383" spans="2:11" ht="15" customHeight="1">
      <c r="B383" s="333" t="s">
        <v>627</v>
      </c>
      <c r="C383" s="334" t="s">
        <v>628</v>
      </c>
      <c r="D383" s="335">
        <v>932.23068000000001</v>
      </c>
      <c r="E383" s="335">
        <v>135.47</v>
      </c>
      <c r="F383" s="335">
        <f t="shared" si="21"/>
        <v>126289.29021960001</v>
      </c>
      <c r="G383" s="336">
        <f t="shared" si="20"/>
        <v>2.5541942510219321E-3</v>
      </c>
      <c r="H383" s="109">
        <v>3.1593710784675579E-2</v>
      </c>
      <c r="I383" s="110">
        <f t="shared" si="22"/>
        <v>8.0696474454667978E-5</v>
      </c>
      <c r="J383" s="110">
        <v>7.46E-2</v>
      </c>
      <c r="K383" s="110">
        <f t="shared" si="23"/>
        <v>1.9054289112623612E-4</v>
      </c>
    </row>
    <row r="384" spans="2:11" ht="15" customHeight="1">
      <c r="B384" s="333" t="s">
        <v>1217</v>
      </c>
      <c r="C384" s="334" t="s">
        <v>1218</v>
      </c>
      <c r="D384" s="335">
        <v>2296.0713300000002</v>
      </c>
      <c r="E384" s="335">
        <v>116.67</v>
      </c>
      <c r="F384" s="335">
        <f t="shared" si="21"/>
        <v>267882.64207110001</v>
      </c>
      <c r="G384" s="336" t="str">
        <f t="shared" si="20"/>
        <v/>
      </c>
      <c r="H384" s="109" t="s">
        <v>4</v>
      </c>
      <c r="I384" s="110" t="str">
        <f t="shared" si="22"/>
        <v/>
      </c>
      <c r="J384" s="110">
        <v>0.28365000000000001</v>
      </c>
      <c r="K384" s="110" t="str">
        <f t="shared" si="23"/>
        <v/>
      </c>
    </row>
    <row r="385" spans="2:11" ht="15" customHeight="1">
      <c r="B385" s="333" t="s">
        <v>629</v>
      </c>
      <c r="C385" s="334" t="s">
        <v>630</v>
      </c>
      <c r="D385" s="335">
        <v>1558.5588499999999</v>
      </c>
      <c r="E385" s="335">
        <v>180.91</v>
      </c>
      <c r="F385" s="335">
        <f t="shared" si="21"/>
        <v>281958.88155349996</v>
      </c>
      <c r="G385" s="336">
        <f t="shared" si="20"/>
        <v>5.7026035464783414E-3</v>
      </c>
      <c r="H385" s="109">
        <v>3.2502349234425958E-2</v>
      </c>
      <c r="I385" s="110">
        <f t="shared" si="22"/>
        <v>1.8534801201311506E-4</v>
      </c>
      <c r="J385" s="110">
        <v>0.10039999999999999</v>
      </c>
      <c r="K385" s="110">
        <f t="shared" si="23"/>
        <v>5.725413960664254E-4</v>
      </c>
    </row>
    <row r="386" spans="2:11" ht="15" customHeight="1">
      <c r="B386" s="333" t="s">
        <v>631</v>
      </c>
      <c r="C386" s="334" t="s">
        <v>632</v>
      </c>
      <c r="D386" s="335">
        <v>401.56463000000002</v>
      </c>
      <c r="E386" s="335">
        <v>246.22</v>
      </c>
      <c r="F386" s="335">
        <f t="shared" si="21"/>
        <v>98873.243198600001</v>
      </c>
      <c r="G386" s="336">
        <f t="shared" si="20"/>
        <v>1.9997061422914165E-3</v>
      </c>
      <c r="H386" s="109">
        <v>2.7617577775972707E-2</v>
      </c>
      <c r="I386" s="110">
        <f t="shared" si="22"/>
        <v>5.522703991382354E-5</v>
      </c>
      <c r="J386" s="110">
        <v>0.14030000000000001</v>
      </c>
      <c r="K386" s="110">
        <f t="shared" si="23"/>
        <v>2.8055877176348573E-4</v>
      </c>
    </row>
    <row r="387" spans="2:11" ht="15" customHeight="1">
      <c r="B387" s="333" t="s">
        <v>633</v>
      </c>
      <c r="C387" s="334" t="s">
        <v>634</v>
      </c>
      <c r="D387" s="335">
        <v>161.60553999999999</v>
      </c>
      <c r="E387" s="335">
        <v>76.66</v>
      </c>
      <c r="F387" s="335">
        <f t="shared" si="21"/>
        <v>12388.680696399999</v>
      </c>
      <c r="G387" s="336">
        <f t="shared" si="20"/>
        <v>2.5056041535642643E-4</v>
      </c>
      <c r="H387" s="109">
        <v>1.4088181581007046E-2</v>
      </c>
      <c r="I387" s="110">
        <f t="shared" si="22"/>
        <v>3.5299406285538819E-6</v>
      </c>
      <c r="J387" s="110">
        <v>7.8049999999999994E-2</v>
      </c>
      <c r="K387" s="110">
        <f t="shared" si="23"/>
        <v>1.955624041856908E-5</v>
      </c>
    </row>
    <row r="388" spans="2:11" ht="15" customHeight="1">
      <c r="B388" s="333" t="s">
        <v>635</v>
      </c>
      <c r="C388" s="334" t="s">
        <v>27</v>
      </c>
      <c r="D388" s="335">
        <v>121.18716999999999</v>
      </c>
      <c r="E388" s="335">
        <v>107</v>
      </c>
      <c r="F388" s="335">
        <f t="shared" si="21"/>
        <v>12967.027189999999</v>
      </c>
      <c r="G388" s="336">
        <f t="shared" si="20"/>
        <v>2.6225744276455539E-4</v>
      </c>
      <c r="H388" s="109">
        <v>3.4018691588785045E-2</v>
      </c>
      <c r="I388" s="110">
        <f t="shared" si="22"/>
        <v>8.9216550622708552E-6</v>
      </c>
      <c r="J388" s="110">
        <v>0.1895</v>
      </c>
      <c r="K388" s="110">
        <f t="shared" si="23"/>
        <v>4.9697785403883249E-5</v>
      </c>
    </row>
    <row r="389" spans="2:11" ht="15" customHeight="1">
      <c r="B389" s="333" t="s">
        <v>1179</v>
      </c>
      <c r="C389" s="334" t="s">
        <v>1180</v>
      </c>
      <c r="D389" s="335">
        <v>69.264669999999995</v>
      </c>
      <c r="E389" s="335">
        <v>152.25</v>
      </c>
      <c r="F389" s="335">
        <f t="shared" si="21"/>
        <v>10545.546007499999</v>
      </c>
      <c r="G389" s="336">
        <f t="shared" si="20"/>
        <v>2.13283113234755E-4</v>
      </c>
      <c r="H389" s="109" t="s">
        <v>4</v>
      </c>
      <c r="I389" s="110" t="str">
        <f t="shared" si="22"/>
        <v/>
      </c>
      <c r="J389" s="110">
        <v>0.13915</v>
      </c>
      <c r="K389" s="110">
        <f t="shared" si="23"/>
        <v>2.9678345206616157E-5</v>
      </c>
    </row>
    <row r="390" spans="2:11" ht="15" customHeight="1">
      <c r="B390" s="333" t="s">
        <v>636</v>
      </c>
      <c r="C390" s="334" t="s">
        <v>637</v>
      </c>
      <c r="D390" s="335">
        <v>222.9</v>
      </c>
      <c r="E390" s="335">
        <v>121.29</v>
      </c>
      <c r="F390" s="335">
        <f t="shared" si="21"/>
        <v>27035.541000000001</v>
      </c>
      <c r="G390" s="336">
        <f t="shared" si="20"/>
        <v>5.4679239447297647E-4</v>
      </c>
      <c r="H390" s="109">
        <v>2.3414955890840132E-2</v>
      </c>
      <c r="I390" s="110">
        <f t="shared" si="22"/>
        <v>1.2803119798031601E-5</v>
      </c>
      <c r="J390" s="110">
        <v>6.08E-2</v>
      </c>
      <c r="K390" s="110">
        <f t="shared" si="23"/>
        <v>3.324497758395697E-5</v>
      </c>
    </row>
    <row r="391" spans="2:11" ht="15" customHeight="1">
      <c r="B391" s="333" t="s">
        <v>638</v>
      </c>
      <c r="C391" s="334" t="s">
        <v>28</v>
      </c>
      <c r="D391" s="335">
        <v>752.35036000000002</v>
      </c>
      <c r="E391" s="335">
        <v>36.35</v>
      </c>
      <c r="F391" s="335">
        <f t="shared" si="21"/>
        <v>27347.935586000003</v>
      </c>
      <c r="G391" s="336">
        <f t="shared" si="20"/>
        <v>5.531105585407617E-4</v>
      </c>
      <c r="H391" s="109">
        <v>3.1361760660247588E-2</v>
      </c>
      <c r="I391" s="110">
        <f t="shared" si="22"/>
        <v>1.734652095561123E-5</v>
      </c>
      <c r="J391" s="110">
        <v>7.8050000000000008E-2</v>
      </c>
      <c r="K391" s="110">
        <f t="shared" si="23"/>
        <v>4.3170279094106456E-5</v>
      </c>
    </row>
    <row r="392" spans="2:11" ht="15" customHeight="1">
      <c r="B392" s="333" t="s">
        <v>639</v>
      </c>
      <c r="C392" s="334" t="s">
        <v>640</v>
      </c>
      <c r="D392" s="335">
        <v>347</v>
      </c>
      <c r="E392" s="335">
        <v>107.93</v>
      </c>
      <c r="F392" s="335">
        <f t="shared" si="21"/>
        <v>37451.71</v>
      </c>
      <c r="G392" s="336">
        <f t="shared" si="20"/>
        <v>7.5745886453714817E-4</v>
      </c>
      <c r="H392" s="109">
        <v>5.1885481330491978E-2</v>
      </c>
      <c r="I392" s="110">
        <f t="shared" si="22"/>
        <v>3.9301117774557856E-5</v>
      </c>
      <c r="J392" s="110">
        <v>5.9450000000000003E-2</v>
      </c>
      <c r="K392" s="110">
        <f t="shared" si="23"/>
        <v>4.5030929496733462E-5</v>
      </c>
    </row>
    <row r="393" spans="2:11" ht="15" customHeight="1">
      <c r="B393" s="333" t="s">
        <v>641</v>
      </c>
      <c r="C393" s="334" t="s">
        <v>642</v>
      </c>
      <c r="D393" s="335">
        <v>175.54575</v>
      </c>
      <c r="E393" s="335">
        <v>318.31</v>
      </c>
      <c r="F393" s="335">
        <f t="shared" si="21"/>
        <v>55877.967682499999</v>
      </c>
      <c r="G393" s="336">
        <f t="shared" si="20"/>
        <v>1.1301289568201268E-3</v>
      </c>
      <c r="H393" s="109">
        <v>3.7699098363230814E-2</v>
      </c>
      <c r="I393" s="110">
        <f t="shared" si="22"/>
        <v>4.260484270629739E-5</v>
      </c>
      <c r="J393" s="110">
        <v>4.9050000000000003E-2</v>
      </c>
      <c r="K393" s="110">
        <f t="shared" si="23"/>
        <v>5.5432825332027223E-5</v>
      </c>
    </row>
    <row r="394" spans="2:11" ht="15" customHeight="1">
      <c r="B394" s="333" t="s">
        <v>1245</v>
      </c>
      <c r="C394" s="334" t="s">
        <v>1246</v>
      </c>
      <c r="D394" s="335">
        <v>1087.6729700000001</v>
      </c>
      <c r="E394" s="335">
        <v>9.86</v>
      </c>
      <c r="F394" s="335">
        <f t="shared" si="21"/>
        <v>10724.4554842</v>
      </c>
      <c r="G394" s="336">
        <f t="shared" si="20"/>
        <v>2.169015479891659E-4</v>
      </c>
      <c r="H394" s="109">
        <v>2.0283975659229212E-2</v>
      </c>
      <c r="I394" s="110">
        <f t="shared" si="22"/>
        <v>4.3996257198613783E-6</v>
      </c>
      <c r="J394" s="110">
        <v>0.19030000000000002</v>
      </c>
      <c r="K394" s="110">
        <f t="shared" si="23"/>
        <v>4.1276364582338273E-5</v>
      </c>
    </row>
    <row r="395" spans="2:11" ht="15" customHeight="1">
      <c r="B395" s="333" t="s">
        <v>643</v>
      </c>
      <c r="C395" s="334" t="s">
        <v>644</v>
      </c>
      <c r="D395" s="335">
        <v>400.93502000000001</v>
      </c>
      <c r="E395" s="335">
        <v>169.05</v>
      </c>
      <c r="F395" s="335">
        <f t="shared" si="21"/>
        <v>67778.06513100001</v>
      </c>
      <c r="G395" s="336" t="str">
        <f t="shared" si="20"/>
        <v/>
      </c>
      <c r="H395" s="109">
        <v>3.0050280981958E-2</v>
      </c>
      <c r="I395" s="110" t="str">
        <f t="shared" si="22"/>
        <v/>
      </c>
      <c r="J395" s="110">
        <v>0.26090000000000002</v>
      </c>
      <c r="K395" s="110" t="str">
        <f t="shared" si="23"/>
        <v/>
      </c>
    </row>
    <row r="396" spans="2:11" ht="15" customHeight="1">
      <c r="B396" s="333" t="s">
        <v>645</v>
      </c>
      <c r="C396" s="334" t="s">
        <v>646</v>
      </c>
      <c r="D396" s="335">
        <v>115.50579</v>
      </c>
      <c r="E396" s="335">
        <v>113.61</v>
      </c>
      <c r="F396" s="335">
        <f t="shared" si="21"/>
        <v>13122.612801900001</v>
      </c>
      <c r="G396" s="336">
        <f t="shared" si="20"/>
        <v>2.6540415358037911E-4</v>
      </c>
      <c r="H396" s="109" t="s">
        <v>4</v>
      </c>
      <c r="I396" s="110" t="str">
        <f t="shared" si="22"/>
        <v/>
      </c>
      <c r="J396" s="110">
        <v>9.9250000000000005E-2</v>
      </c>
      <c r="K396" s="110">
        <f t="shared" si="23"/>
        <v>2.6341362242852628E-5</v>
      </c>
    </row>
    <row r="397" spans="2:11" ht="15" customHeight="1">
      <c r="B397" s="333" t="s">
        <v>647</v>
      </c>
      <c r="C397" s="334" t="s">
        <v>648</v>
      </c>
      <c r="D397" s="335">
        <v>150.06014999999999</v>
      </c>
      <c r="E397" s="335">
        <v>719.9298</v>
      </c>
      <c r="F397" s="335">
        <f t="shared" si="21"/>
        <v>108032.77377746999</v>
      </c>
      <c r="G397" s="336" t="str">
        <f t="shared" si="20"/>
        <v/>
      </c>
      <c r="H397" s="109">
        <v>6.1117070025438591E-4</v>
      </c>
      <c r="I397" s="110" t="str">
        <f t="shared" si="22"/>
        <v/>
      </c>
      <c r="J397" s="110">
        <v>0.21340000000000001</v>
      </c>
      <c r="K397" s="110" t="str">
        <f t="shared" si="23"/>
        <v/>
      </c>
    </row>
    <row r="398" spans="2:11" ht="15" customHeight="1">
      <c r="B398" s="333" t="s">
        <v>649</v>
      </c>
      <c r="C398" s="334" t="s">
        <v>650</v>
      </c>
      <c r="D398" s="335">
        <v>882.10549000000003</v>
      </c>
      <c r="E398" s="335">
        <v>43.18</v>
      </c>
      <c r="F398" s="335">
        <f t="shared" si="21"/>
        <v>38089.315058200002</v>
      </c>
      <c r="G398" s="336">
        <f t="shared" si="20"/>
        <v>7.7035439329691154E-4</v>
      </c>
      <c r="H398" s="109">
        <v>1.2968967114404819E-2</v>
      </c>
      <c r="I398" s="110">
        <f t="shared" si="22"/>
        <v>9.9907007931049217E-6</v>
      </c>
      <c r="J398" s="110">
        <v>7.4050000000000005E-2</v>
      </c>
      <c r="K398" s="110">
        <f t="shared" si="23"/>
        <v>5.7044742823636306E-5</v>
      </c>
    </row>
    <row r="399" spans="2:11" ht="15" customHeight="1">
      <c r="B399" s="333" t="s">
        <v>1350</v>
      </c>
      <c r="C399" s="334" t="s">
        <v>1351</v>
      </c>
      <c r="D399" s="335">
        <v>209.33921000000001</v>
      </c>
      <c r="E399" s="335">
        <v>163.31</v>
      </c>
      <c r="F399" s="335">
        <f t="shared" si="21"/>
        <v>34187.186385100002</v>
      </c>
      <c r="G399" s="336" t="str">
        <f t="shared" ref="G399:G462" si="24">IF(AND(ISNUMBER($J399)), IF(AND($J399&lt;=20%,$J399&gt;0%), $F399/SUMIFS($F$15:$F$517,$J$15:$J$517, "&gt;"&amp;0%,$J$15:$J$517, "&lt;="&amp;20%),""),"")</f>
        <v/>
      </c>
      <c r="H399" s="109">
        <v>1.9594635968403652E-3</v>
      </c>
      <c r="I399" s="110" t="str">
        <f t="shared" si="22"/>
        <v/>
      </c>
      <c r="J399" s="110" t="s">
        <v>4</v>
      </c>
      <c r="K399" s="110" t="str">
        <f t="shared" si="23"/>
        <v/>
      </c>
    </row>
    <row r="400" spans="2:11" ht="15" customHeight="1">
      <c r="B400" s="333" t="s">
        <v>651</v>
      </c>
      <c r="C400" s="334" t="s">
        <v>652</v>
      </c>
      <c r="D400" s="335">
        <v>1054</v>
      </c>
      <c r="E400" s="335">
        <v>184.79</v>
      </c>
      <c r="F400" s="335">
        <f t="shared" ref="F400:F463" si="25">IFERROR(D400*E400,"")</f>
        <v>194768.66</v>
      </c>
      <c r="G400" s="336">
        <f t="shared" si="24"/>
        <v>3.9391859023532403E-3</v>
      </c>
      <c r="H400" s="109">
        <v>1.9914497537745549E-2</v>
      </c>
      <c r="I400" s="110">
        <f t="shared" ref="I400:I463" si="26">IFERROR(G400*H400,"")</f>
        <v>7.8446907953135583E-5</v>
      </c>
      <c r="J400" s="110">
        <v>4.8599999999999997E-2</v>
      </c>
      <c r="K400" s="110">
        <f t="shared" ref="K400:K463" si="27">IFERROR(G400*J400,"")</f>
        <v>1.9144443485436747E-4</v>
      </c>
    </row>
    <row r="401" spans="2:11" ht="15" customHeight="1">
      <c r="B401" s="333" t="s">
        <v>653</v>
      </c>
      <c r="C401" s="334" t="s">
        <v>654</v>
      </c>
      <c r="D401" s="335">
        <v>268.19497999999999</v>
      </c>
      <c r="E401" s="335">
        <v>317.52999999999997</v>
      </c>
      <c r="F401" s="335">
        <f t="shared" si="25"/>
        <v>85159.951999399986</v>
      </c>
      <c r="G401" s="336">
        <f t="shared" si="24"/>
        <v>1.7223555491993172E-3</v>
      </c>
      <c r="H401" s="109">
        <v>1.8895852360406893E-2</v>
      </c>
      <c r="I401" s="110">
        <f t="shared" si="26"/>
        <v>3.2545376169797827E-5</v>
      </c>
      <c r="J401" s="110">
        <v>0.14394999999999999</v>
      </c>
      <c r="K401" s="110">
        <f t="shared" si="27"/>
        <v>2.4793308130724169E-4</v>
      </c>
    </row>
    <row r="402" spans="2:11" ht="15" customHeight="1">
      <c r="B402" s="333" t="s">
        <v>655</v>
      </c>
      <c r="C402" s="334" t="s">
        <v>656</v>
      </c>
      <c r="D402" s="335">
        <v>183.09679</v>
      </c>
      <c r="E402" s="335">
        <v>79.739999999999995</v>
      </c>
      <c r="F402" s="335">
        <f t="shared" si="25"/>
        <v>14600.138034599999</v>
      </c>
      <c r="G402" s="336">
        <f t="shared" si="24"/>
        <v>2.952870236839318E-4</v>
      </c>
      <c r="H402" s="109">
        <v>3.7873087534487086E-2</v>
      </c>
      <c r="I402" s="110">
        <f t="shared" si="26"/>
        <v>1.1183431295779711E-5</v>
      </c>
      <c r="J402" s="110">
        <v>5.6800000000000003E-2</v>
      </c>
      <c r="K402" s="110">
        <f t="shared" si="27"/>
        <v>1.6772302945247326E-5</v>
      </c>
    </row>
    <row r="403" spans="2:11" ht="15" customHeight="1">
      <c r="B403" s="333" t="s">
        <v>657</v>
      </c>
      <c r="C403" s="334" t="s">
        <v>658</v>
      </c>
      <c r="D403" s="335">
        <v>103.02189</v>
      </c>
      <c r="E403" s="335">
        <v>623.54</v>
      </c>
      <c r="F403" s="335">
        <f t="shared" si="25"/>
        <v>64238.269290599994</v>
      </c>
      <c r="G403" s="336">
        <f t="shared" si="24"/>
        <v>1.2992156170356288E-3</v>
      </c>
      <c r="H403" s="109">
        <v>6.0300862815537096E-3</v>
      </c>
      <c r="I403" s="110">
        <f t="shared" si="26"/>
        <v>7.8343822690668833E-6</v>
      </c>
      <c r="J403" s="110">
        <v>0.10235000000000001</v>
      </c>
      <c r="K403" s="110">
        <f t="shared" si="27"/>
        <v>1.3297471840359663E-4</v>
      </c>
    </row>
    <row r="404" spans="2:11" ht="15" customHeight="1">
      <c r="B404" s="333" t="s">
        <v>659</v>
      </c>
      <c r="C404" s="334" t="s">
        <v>660</v>
      </c>
      <c r="D404" s="335">
        <v>853.37954000000002</v>
      </c>
      <c r="E404" s="335">
        <v>30.2</v>
      </c>
      <c r="F404" s="335">
        <f t="shared" si="25"/>
        <v>25772.062107999998</v>
      </c>
      <c r="G404" s="336">
        <f t="shared" si="24"/>
        <v>5.2123860034979823E-4</v>
      </c>
      <c r="H404" s="109">
        <v>3.5099337748344374E-2</v>
      </c>
      <c r="I404" s="110">
        <f t="shared" si="26"/>
        <v>1.8295129681151861E-5</v>
      </c>
      <c r="J404" s="110">
        <v>9.325E-2</v>
      </c>
      <c r="K404" s="110">
        <f t="shared" si="27"/>
        <v>4.8605499482618683E-5</v>
      </c>
    </row>
    <row r="405" spans="2:11" ht="15" customHeight="1">
      <c r="B405" s="333" t="s">
        <v>661</v>
      </c>
      <c r="C405" s="334" t="s">
        <v>662</v>
      </c>
      <c r="D405" s="335">
        <v>194.88302999999999</v>
      </c>
      <c r="E405" s="335">
        <v>151.49</v>
      </c>
      <c r="F405" s="335">
        <f t="shared" si="25"/>
        <v>29522.830214699999</v>
      </c>
      <c r="G405" s="336">
        <f t="shared" si="24"/>
        <v>5.9709768799207498E-4</v>
      </c>
      <c r="H405" s="109">
        <v>1.4258366888903558E-2</v>
      </c>
      <c r="I405" s="110">
        <f t="shared" si="26"/>
        <v>8.5136379039070699E-6</v>
      </c>
      <c r="J405" s="110">
        <v>0.12325</v>
      </c>
      <c r="K405" s="110">
        <f t="shared" si="27"/>
        <v>7.3592290045023246E-5</v>
      </c>
    </row>
    <row r="406" spans="2:11" ht="15" customHeight="1">
      <c r="B406" s="333" t="s">
        <v>663</v>
      </c>
      <c r="C406" s="334" t="s">
        <v>664</v>
      </c>
      <c r="D406" s="335">
        <v>37.635069999999999</v>
      </c>
      <c r="E406" s="335">
        <v>401.41</v>
      </c>
      <c r="F406" s="335">
        <f t="shared" si="25"/>
        <v>15107.093448700001</v>
      </c>
      <c r="G406" s="336">
        <f t="shared" si="24"/>
        <v>3.055401702648262E-4</v>
      </c>
      <c r="H406" s="109">
        <v>9.9648738197852561E-3</v>
      </c>
      <c r="I406" s="110">
        <f t="shared" si="26"/>
        <v>3.0446692435646963E-6</v>
      </c>
      <c r="J406" s="110">
        <v>0.1295</v>
      </c>
      <c r="K406" s="110">
        <f t="shared" si="27"/>
        <v>3.9567452049294992E-5</v>
      </c>
    </row>
    <row r="407" spans="2:11" ht="15" customHeight="1">
      <c r="B407" s="333" t="s">
        <v>665</v>
      </c>
      <c r="C407" s="334" t="s">
        <v>666</v>
      </c>
      <c r="D407" s="335">
        <v>145.05637999999999</v>
      </c>
      <c r="E407" s="335">
        <v>194.88</v>
      </c>
      <c r="F407" s="335">
        <f t="shared" si="25"/>
        <v>28268.587334399996</v>
      </c>
      <c r="G407" s="336">
        <f t="shared" si="24"/>
        <v>5.7173069171965259E-4</v>
      </c>
      <c r="H407" s="109">
        <v>1.2315270935960592E-2</v>
      </c>
      <c r="I407" s="110">
        <f t="shared" si="26"/>
        <v>7.0410183709316824E-6</v>
      </c>
      <c r="J407" s="110">
        <v>0.10105</v>
      </c>
      <c r="K407" s="110">
        <f t="shared" si="27"/>
        <v>5.7773386398270894E-5</v>
      </c>
    </row>
    <row r="408" spans="2:11" ht="15" customHeight="1">
      <c r="B408" s="333" t="s">
        <v>667</v>
      </c>
      <c r="C408" s="334" t="s">
        <v>668</v>
      </c>
      <c r="D408" s="335">
        <v>111.27395</v>
      </c>
      <c r="E408" s="335">
        <v>495.08</v>
      </c>
      <c r="F408" s="335">
        <f t="shared" si="25"/>
        <v>55089.507165999996</v>
      </c>
      <c r="G408" s="336">
        <f t="shared" si="24"/>
        <v>1.1141823843522618E-3</v>
      </c>
      <c r="H408" s="109">
        <v>1.1149713177668255E-2</v>
      </c>
      <c r="I408" s="110">
        <f t="shared" si="26"/>
        <v>1.2422814013138251E-5</v>
      </c>
      <c r="J408" s="110">
        <v>0.13175000000000001</v>
      </c>
      <c r="K408" s="110">
        <f t="shared" si="27"/>
        <v>1.4679352913841051E-4</v>
      </c>
    </row>
    <row r="409" spans="2:11" ht="15" customHeight="1">
      <c r="B409" s="333" t="s">
        <v>669</v>
      </c>
      <c r="C409" s="334" t="s">
        <v>670</v>
      </c>
      <c r="D409" s="335">
        <v>481.46366</v>
      </c>
      <c r="E409" s="335">
        <v>41.74</v>
      </c>
      <c r="F409" s="335">
        <f t="shared" si="25"/>
        <v>20096.2931684</v>
      </c>
      <c r="G409" s="336">
        <f t="shared" si="24"/>
        <v>4.0644647213016209E-4</v>
      </c>
      <c r="H409" s="109">
        <v>1.7489218974604693E-2</v>
      </c>
      <c r="I409" s="110">
        <f t="shared" si="26"/>
        <v>7.1084313525399681E-6</v>
      </c>
      <c r="J409" s="110">
        <v>0.10794999999999999</v>
      </c>
      <c r="K409" s="110">
        <f t="shared" si="27"/>
        <v>4.3875896666450992E-5</v>
      </c>
    </row>
    <row r="410" spans="2:11" ht="15" customHeight="1">
      <c r="B410" s="333" t="s">
        <v>671</v>
      </c>
      <c r="C410" s="334" t="s">
        <v>672</v>
      </c>
      <c r="D410" s="335">
        <v>100.91736</v>
      </c>
      <c r="E410" s="335">
        <v>338.39</v>
      </c>
      <c r="F410" s="335">
        <f t="shared" si="25"/>
        <v>34149.425450399998</v>
      </c>
      <c r="G410" s="336">
        <f t="shared" si="24"/>
        <v>6.9067033324395532E-4</v>
      </c>
      <c r="H410" s="109">
        <v>1.0756819054936612E-2</v>
      </c>
      <c r="I410" s="110">
        <f t="shared" si="26"/>
        <v>7.4294158013179978E-6</v>
      </c>
      <c r="J410" s="110">
        <v>0.08</v>
      </c>
      <c r="K410" s="110">
        <f t="shared" si="27"/>
        <v>5.5253626659516428E-5</v>
      </c>
    </row>
    <row r="411" spans="2:11" ht="15" customHeight="1">
      <c r="B411" s="333" t="s">
        <v>673</v>
      </c>
      <c r="C411" s="334" t="s">
        <v>674</v>
      </c>
      <c r="D411" s="335">
        <v>320.78107999999997</v>
      </c>
      <c r="E411" s="335">
        <v>212.85</v>
      </c>
      <c r="F411" s="335">
        <f t="shared" si="25"/>
        <v>68278.252877999999</v>
      </c>
      <c r="G411" s="336">
        <f t="shared" si="24"/>
        <v>1.3809240725603758E-3</v>
      </c>
      <c r="H411" s="109">
        <v>8.3626967347897579E-3</v>
      </c>
      <c r="I411" s="110">
        <f t="shared" si="26"/>
        <v>1.1548249232593229E-5</v>
      </c>
      <c r="J411" s="110">
        <v>0.10405</v>
      </c>
      <c r="K411" s="110">
        <f t="shared" si="27"/>
        <v>1.4368514974990711E-4</v>
      </c>
    </row>
    <row r="412" spans="2:11" ht="15" customHeight="1">
      <c r="B412" s="333" t="s">
        <v>675</v>
      </c>
      <c r="C412" s="334" t="s">
        <v>676</v>
      </c>
      <c r="D412" s="335">
        <v>307.66408999999999</v>
      </c>
      <c r="E412" s="335">
        <v>213.08</v>
      </c>
      <c r="F412" s="335">
        <f t="shared" si="25"/>
        <v>65557.064297200006</v>
      </c>
      <c r="G412" s="336">
        <f t="shared" si="24"/>
        <v>1.3258881766665912E-3</v>
      </c>
      <c r="H412" s="109">
        <v>1.1732682560540641E-2</v>
      </c>
      <c r="I412" s="110">
        <f t="shared" si="26"/>
        <v>1.5556225087603143E-5</v>
      </c>
      <c r="J412" s="110">
        <v>8.4749999999999992E-2</v>
      </c>
      <c r="K412" s="110">
        <f t="shared" si="27"/>
        <v>1.123690229724936E-4</v>
      </c>
    </row>
    <row r="413" spans="2:11" ht="15" customHeight="1">
      <c r="B413" s="333" t="s">
        <v>1147</v>
      </c>
      <c r="C413" s="334" t="s">
        <v>677</v>
      </c>
      <c r="D413" s="335">
        <v>1346.68343</v>
      </c>
      <c r="E413" s="335">
        <v>189.73</v>
      </c>
      <c r="F413" s="335">
        <f t="shared" si="25"/>
        <v>255506.24717389999</v>
      </c>
      <c r="G413" s="336">
        <f t="shared" si="24"/>
        <v>5.1676004077381311E-3</v>
      </c>
      <c r="H413" s="109">
        <v>1.5390291466821273E-2</v>
      </c>
      <c r="I413" s="110">
        <f t="shared" si="26"/>
        <v>7.9530876459154296E-5</v>
      </c>
      <c r="J413" s="110">
        <v>0.11560000000000001</v>
      </c>
      <c r="K413" s="110">
        <f t="shared" si="27"/>
        <v>5.97374607134528E-4</v>
      </c>
    </row>
    <row r="414" spans="2:11" ht="15" customHeight="1">
      <c r="B414" s="333" t="s">
        <v>1172</v>
      </c>
      <c r="C414" s="334" t="s">
        <v>1173</v>
      </c>
      <c r="D414" s="335">
        <v>111.55977</v>
      </c>
      <c r="E414" s="335">
        <v>111.26</v>
      </c>
      <c r="F414" s="335">
        <f t="shared" si="25"/>
        <v>12412.140010200001</v>
      </c>
      <c r="G414" s="336">
        <f t="shared" si="24"/>
        <v>2.5103487874391316E-4</v>
      </c>
      <c r="H414" s="109">
        <v>2.516627718856732E-3</v>
      </c>
      <c r="I414" s="110">
        <f t="shared" si="26"/>
        <v>6.3176133424677051E-7</v>
      </c>
      <c r="J414" s="110">
        <v>7.3399999999999993E-2</v>
      </c>
      <c r="K414" s="110">
        <f t="shared" si="27"/>
        <v>1.8425960099803226E-5</v>
      </c>
    </row>
    <row r="415" spans="2:11" ht="15" customHeight="1">
      <c r="B415" s="333" t="s">
        <v>678</v>
      </c>
      <c r="C415" s="334" t="s">
        <v>679</v>
      </c>
      <c r="D415" s="335">
        <v>106.06301999999999</v>
      </c>
      <c r="E415" s="335">
        <v>176.46</v>
      </c>
      <c r="F415" s="335">
        <f t="shared" si="25"/>
        <v>18715.8805092</v>
      </c>
      <c r="G415" s="336" t="str">
        <f t="shared" si="24"/>
        <v/>
      </c>
      <c r="H415" s="109">
        <v>2.8335033435339451E-2</v>
      </c>
      <c r="I415" s="110" t="str">
        <f t="shared" si="26"/>
        <v/>
      </c>
      <c r="J415" s="110">
        <v>-9.8999999999999991E-3</v>
      </c>
      <c r="K415" s="110" t="str">
        <f t="shared" si="27"/>
        <v/>
      </c>
    </row>
    <row r="416" spans="2:11" ht="15" customHeight="1">
      <c r="B416" s="333" t="s">
        <v>680</v>
      </c>
      <c r="C416" s="334" t="s">
        <v>681</v>
      </c>
      <c r="D416" s="335">
        <v>1139.7</v>
      </c>
      <c r="E416" s="335">
        <v>102.19</v>
      </c>
      <c r="F416" s="335">
        <f t="shared" si="25"/>
        <v>116465.943</v>
      </c>
      <c r="G416" s="336">
        <f t="shared" si="24"/>
        <v>2.3555175702799211E-3</v>
      </c>
      <c r="H416" s="109">
        <v>2.4268519424601235E-2</v>
      </c>
      <c r="I416" s="110">
        <f t="shared" si="26"/>
        <v>5.716492390932777E-5</v>
      </c>
      <c r="J416" s="110">
        <v>0.16949999999999998</v>
      </c>
      <c r="K416" s="110">
        <f t="shared" si="27"/>
        <v>3.9926022816244659E-4</v>
      </c>
    </row>
    <row r="417" spans="2:11" ht="15" customHeight="1">
      <c r="B417" s="333" t="s">
        <v>682</v>
      </c>
      <c r="C417" s="334" t="s">
        <v>683</v>
      </c>
      <c r="D417" s="335">
        <v>1739.1355100000001</v>
      </c>
      <c r="E417" s="335">
        <v>92.27</v>
      </c>
      <c r="F417" s="335">
        <f t="shared" si="25"/>
        <v>160470.03350769999</v>
      </c>
      <c r="G417" s="336">
        <f t="shared" si="24"/>
        <v>3.2454979858858399E-3</v>
      </c>
      <c r="H417" s="109">
        <v>1.3872331201907447E-2</v>
      </c>
      <c r="I417" s="110">
        <f t="shared" si="26"/>
        <v>4.5022622975331915E-5</v>
      </c>
      <c r="J417" s="110">
        <v>8.2949999999999996E-2</v>
      </c>
      <c r="K417" s="110">
        <f t="shared" si="27"/>
        <v>2.6921405792923041E-4</v>
      </c>
    </row>
    <row r="418" spans="2:11" ht="15" customHeight="1">
      <c r="B418" s="333" t="s">
        <v>684</v>
      </c>
      <c r="C418" s="334" t="s">
        <v>685</v>
      </c>
      <c r="D418" s="335">
        <v>246.63561999999999</v>
      </c>
      <c r="E418" s="335">
        <v>344.32</v>
      </c>
      <c r="F418" s="335">
        <f t="shared" si="25"/>
        <v>84921.576678400001</v>
      </c>
      <c r="G418" s="336">
        <f t="shared" si="24"/>
        <v>1.7175344208722441E-3</v>
      </c>
      <c r="H418" s="109">
        <v>9.2936802973977699E-3</v>
      </c>
      <c r="I418" s="110">
        <f t="shared" si="26"/>
        <v>1.5962215807362863E-5</v>
      </c>
      <c r="J418" s="110">
        <v>0.11424999999999999</v>
      </c>
      <c r="K418" s="110">
        <f t="shared" si="27"/>
        <v>1.9622830758465388E-4</v>
      </c>
    </row>
    <row r="419" spans="2:11" ht="15" customHeight="1">
      <c r="B419" s="333" t="s">
        <v>686</v>
      </c>
      <c r="C419" s="334" t="s">
        <v>687</v>
      </c>
      <c r="D419" s="335">
        <v>106.88069</v>
      </c>
      <c r="E419" s="335">
        <v>112.5</v>
      </c>
      <c r="F419" s="335">
        <f t="shared" si="25"/>
        <v>12024.077625</v>
      </c>
      <c r="G419" s="336">
        <f t="shared" si="24"/>
        <v>2.4318633741794515E-4</v>
      </c>
      <c r="H419" s="109">
        <v>3.9111111111111117E-2</v>
      </c>
      <c r="I419" s="110">
        <f t="shared" si="26"/>
        <v>9.5112878634574118E-6</v>
      </c>
      <c r="J419" s="110">
        <v>8.7999999999999995E-2</v>
      </c>
      <c r="K419" s="110">
        <f t="shared" si="27"/>
        <v>2.1400397692779172E-5</v>
      </c>
    </row>
    <row r="420" spans="2:11" ht="15" customHeight="1">
      <c r="B420" s="333" t="s">
        <v>1187</v>
      </c>
      <c r="C420" s="334" t="s">
        <v>688</v>
      </c>
      <c r="D420" s="335">
        <v>1495.0576599999999</v>
      </c>
      <c r="E420" s="335">
        <v>46.49</v>
      </c>
      <c r="F420" s="335">
        <f t="shared" si="25"/>
        <v>69505.230613399995</v>
      </c>
      <c r="G420" s="336">
        <f t="shared" si="24"/>
        <v>1.4057396327115262E-3</v>
      </c>
      <c r="H420" s="109">
        <v>2.5381802538180252E-2</v>
      </c>
      <c r="I420" s="110">
        <f t="shared" si="26"/>
        <v>3.5680205777577992E-5</v>
      </c>
      <c r="J420" s="110">
        <v>8.0100000000000005E-2</v>
      </c>
      <c r="K420" s="110">
        <f t="shared" si="27"/>
        <v>1.1259974458019326E-4</v>
      </c>
    </row>
    <row r="421" spans="2:11" ht="15" customHeight="1">
      <c r="B421" s="333" t="s">
        <v>1149</v>
      </c>
      <c r="C421" s="334" t="s">
        <v>1150</v>
      </c>
      <c r="D421" s="335">
        <v>646.83237999999994</v>
      </c>
      <c r="E421" s="335">
        <v>29.33</v>
      </c>
      <c r="F421" s="335">
        <f t="shared" si="25"/>
        <v>18971.593705399999</v>
      </c>
      <c r="G421" s="336">
        <f t="shared" si="24"/>
        <v>3.8369948465777375E-4</v>
      </c>
      <c r="H421" s="109" t="s">
        <v>4</v>
      </c>
      <c r="I421" s="110" t="str">
        <f t="shared" si="26"/>
        <v/>
      </c>
      <c r="J421" s="110">
        <v>0.182</v>
      </c>
      <c r="K421" s="110">
        <f t="shared" si="27"/>
        <v>6.9833306207714817E-5</v>
      </c>
    </row>
    <row r="422" spans="2:11" ht="15" customHeight="1">
      <c r="B422" s="333" t="s">
        <v>689</v>
      </c>
      <c r="C422" s="334" t="s">
        <v>690</v>
      </c>
      <c r="D422" s="335">
        <v>51.801920000000003</v>
      </c>
      <c r="E422" s="335">
        <v>402.4</v>
      </c>
      <c r="F422" s="335">
        <f t="shared" si="25"/>
        <v>20845.092607999999</v>
      </c>
      <c r="G422" s="336">
        <f t="shared" si="24"/>
        <v>4.2159090140416502E-4</v>
      </c>
      <c r="H422" s="109">
        <v>2.4254473161033799E-2</v>
      </c>
      <c r="I422" s="110">
        <f t="shared" si="26"/>
        <v>1.0225465203043367E-5</v>
      </c>
      <c r="J422" s="110">
        <v>0.15215000000000001</v>
      </c>
      <c r="K422" s="110">
        <f t="shared" si="27"/>
        <v>6.414505564864371E-5</v>
      </c>
    </row>
    <row r="423" spans="2:11" ht="15" customHeight="1">
      <c r="B423" s="333" t="s">
        <v>1518</v>
      </c>
      <c r="C423" s="334" t="s">
        <v>1353</v>
      </c>
      <c r="D423" s="335">
        <v>148.08976000000001</v>
      </c>
      <c r="E423" s="335">
        <v>2273.73</v>
      </c>
      <c r="F423" s="335">
        <f t="shared" si="25"/>
        <v>336716.13000480004</v>
      </c>
      <c r="G423" s="336">
        <f t="shared" si="24"/>
        <v>6.8100660158048488E-3</v>
      </c>
      <c r="H423" s="109" t="s">
        <v>4</v>
      </c>
      <c r="I423" s="110" t="str">
        <f t="shared" si="26"/>
        <v/>
      </c>
      <c r="J423" s="110">
        <v>4.4999999999999998E-2</v>
      </c>
      <c r="K423" s="110">
        <f t="shared" si="27"/>
        <v>3.0645297071121819E-4</v>
      </c>
    </row>
    <row r="424" spans="2:11" ht="15" customHeight="1">
      <c r="B424" s="333" t="s">
        <v>691</v>
      </c>
      <c r="C424" s="334" t="s">
        <v>692</v>
      </c>
      <c r="D424" s="335">
        <v>191.47933</v>
      </c>
      <c r="E424" s="335">
        <v>446.07</v>
      </c>
      <c r="F424" s="335">
        <f t="shared" si="25"/>
        <v>85413.184733100003</v>
      </c>
      <c r="G424" s="336">
        <f t="shared" si="24"/>
        <v>1.7274771679166483E-3</v>
      </c>
      <c r="H424" s="109" t="s">
        <v>4</v>
      </c>
      <c r="I424" s="110" t="str">
        <f t="shared" si="26"/>
        <v/>
      </c>
      <c r="J424" s="110">
        <v>0.15359999999999999</v>
      </c>
      <c r="K424" s="110">
        <f t="shared" si="27"/>
        <v>2.6534049299199714E-4</v>
      </c>
    </row>
    <row r="425" spans="2:11" ht="15" customHeight="1">
      <c r="B425" s="333" t="s">
        <v>693</v>
      </c>
      <c r="C425" s="334" t="s">
        <v>31</v>
      </c>
      <c r="D425" s="335">
        <v>1128.3198299999999</v>
      </c>
      <c r="E425" s="335">
        <v>95.71</v>
      </c>
      <c r="F425" s="335">
        <f t="shared" si="25"/>
        <v>107991.49092929998</v>
      </c>
      <c r="G425" s="336">
        <f t="shared" si="24"/>
        <v>2.1841222229634187E-3</v>
      </c>
      <c r="H425" s="109">
        <v>3.1762616236547907E-2</v>
      </c>
      <c r="I425" s="110">
        <f t="shared" si="26"/>
        <v>6.9373435981702985E-5</v>
      </c>
      <c r="J425" s="110">
        <v>9.6750000000000003E-2</v>
      </c>
      <c r="K425" s="110">
        <f t="shared" si="27"/>
        <v>2.1131382507171077E-4</v>
      </c>
    </row>
    <row r="426" spans="2:11" ht="15" customHeight="1">
      <c r="B426" s="333" t="s">
        <v>1141</v>
      </c>
      <c r="C426" s="334" t="s">
        <v>1142</v>
      </c>
      <c r="D426" s="335">
        <v>173.17471</v>
      </c>
      <c r="E426" s="335">
        <v>77.150000000000006</v>
      </c>
      <c r="F426" s="335">
        <f t="shared" si="25"/>
        <v>13360.428876500002</v>
      </c>
      <c r="G426" s="336">
        <f t="shared" si="24"/>
        <v>2.7021397117843265E-4</v>
      </c>
      <c r="H426" s="109" t="s">
        <v>4</v>
      </c>
      <c r="I426" s="110" t="str">
        <f t="shared" si="26"/>
        <v/>
      </c>
      <c r="J426" s="110">
        <v>8.4249999999999992E-2</v>
      </c>
      <c r="K426" s="110">
        <f t="shared" si="27"/>
        <v>2.2765527071782947E-5</v>
      </c>
    </row>
    <row r="427" spans="2:11" ht="15" customHeight="1">
      <c r="B427" s="333" t="s">
        <v>694</v>
      </c>
      <c r="C427" s="334" t="s">
        <v>695</v>
      </c>
      <c r="D427" s="335">
        <v>324.28190999999998</v>
      </c>
      <c r="E427" s="335">
        <v>223.65</v>
      </c>
      <c r="F427" s="335">
        <f t="shared" si="25"/>
        <v>72525.649171500001</v>
      </c>
      <c r="G427" s="336">
        <f t="shared" si="24"/>
        <v>1.4668274391546863E-3</v>
      </c>
      <c r="H427" s="109">
        <v>4.0241448692152917E-2</v>
      </c>
      <c r="I427" s="110">
        <f t="shared" si="26"/>
        <v>5.9027261132985369E-5</v>
      </c>
      <c r="J427" s="110">
        <v>5.8600000000000006E-2</v>
      </c>
      <c r="K427" s="110">
        <f t="shared" si="27"/>
        <v>8.595608793446463E-5</v>
      </c>
    </row>
    <row r="428" spans="2:11" ht="15" customHeight="1">
      <c r="B428" s="333" t="s">
        <v>696</v>
      </c>
      <c r="C428" s="334" t="s">
        <v>697</v>
      </c>
      <c r="D428" s="335">
        <v>303.2</v>
      </c>
      <c r="E428" s="335">
        <v>385.21</v>
      </c>
      <c r="F428" s="335">
        <f t="shared" si="25"/>
        <v>116795.67199999999</v>
      </c>
      <c r="G428" s="336">
        <f t="shared" si="24"/>
        <v>2.3621863219589491E-3</v>
      </c>
      <c r="H428" s="109">
        <v>1.0072428026271384E-2</v>
      </c>
      <c r="I428" s="110">
        <f t="shared" si="26"/>
        <v>2.3792951712574239E-5</v>
      </c>
      <c r="J428" s="110">
        <v>8.1500000000000003E-2</v>
      </c>
      <c r="K428" s="110">
        <f t="shared" si="27"/>
        <v>1.9251818523965437E-4</v>
      </c>
    </row>
    <row r="429" spans="2:11" ht="15" customHeight="1">
      <c r="B429" s="333" t="s">
        <v>1209</v>
      </c>
      <c r="C429" s="334" t="s">
        <v>30</v>
      </c>
      <c r="D429" s="335">
        <v>653.69005000000004</v>
      </c>
      <c r="E429" s="335">
        <v>92.71</v>
      </c>
      <c r="F429" s="335">
        <f t="shared" si="25"/>
        <v>60603.604535500002</v>
      </c>
      <c r="G429" s="336">
        <f t="shared" si="24"/>
        <v>1.2257047135716419E-3</v>
      </c>
      <c r="H429" s="109">
        <v>2.8368029338798405E-2</v>
      </c>
      <c r="I429" s="110">
        <f t="shared" si="26"/>
        <v>3.4770827275303831E-5</v>
      </c>
      <c r="J429" s="110">
        <v>8.3825000000000011E-2</v>
      </c>
      <c r="K429" s="110">
        <f t="shared" si="27"/>
        <v>1.0274469761514289E-4</v>
      </c>
    </row>
    <row r="430" spans="2:11" ht="15" customHeight="1">
      <c r="B430" s="333" t="s">
        <v>698</v>
      </c>
      <c r="C430" s="334" t="s">
        <v>699</v>
      </c>
      <c r="D430" s="335">
        <v>97.457679999999996</v>
      </c>
      <c r="E430" s="335">
        <v>210.57</v>
      </c>
      <c r="F430" s="335">
        <f t="shared" si="25"/>
        <v>20521.663677599998</v>
      </c>
      <c r="G430" s="336">
        <f t="shared" si="24"/>
        <v>4.1504956830137082E-4</v>
      </c>
      <c r="H430" s="109">
        <v>1.1967516740276393E-2</v>
      </c>
      <c r="I430" s="110">
        <f t="shared" si="26"/>
        <v>4.9671126566911454E-6</v>
      </c>
      <c r="J430" s="110">
        <v>7.0000000000000007E-2</v>
      </c>
      <c r="K430" s="110">
        <f t="shared" si="27"/>
        <v>2.905346978109596E-5</v>
      </c>
    </row>
    <row r="431" spans="2:11" ht="15" customHeight="1">
      <c r="B431" s="333" t="s">
        <v>1170</v>
      </c>
      <c r="C431" s="334" t="s">
        <v>1171</v>
      </c>
      <c r="D431" s="335">
        <v>144.21278000000001</v>
      </c>
      <c r="E431" s="335">
        <v>229.46</v>
      </c>
      <c r="F431" s="335">
        <f t="shared" si="25"/>
        <v>33091.064498800006</v>
      </c>
      <c r="G431" s="336">
        <f t="shared" si="24"/>
        <v>6.6926503867477849E-4</v>
      </c>
      <c r="H431" s="109">
        <v>9.2390830645864199E-3</v>
      </c>
      <c r="I431" s="110">
        <f t="shared" si="26"/>
        <v>6.183395284539921E-6</v>
      </c>
      <c r="J431" s="110">
        <v>0.19350000000000001</v>
      </c>
      <c r="K431" s="110">
        <f t="shared" si="27"/>
        <v>1.2950278498356964E-4</v>
      </c>
    </row>
    <row r="432" spans="2:11" ht="15" customHeight="1">
      <c r="B432" s="333" t="s">
        <v>700</v>
      </c>
      <c r="C432" s="334" t="s">
        <v>701</v>
      </c>
      <c r="D432" s="335">
        <v>276.76702999999998</v>
      </c>
      <c r="E432" s="335">
        <v>168.76</v>
      </c>
      <c r="F432" s="335">
        <f t="shared" si="25"/>
        <v>46707.203982799991</v>
      </c>
      <c r="G432" s="336">
        <f t="shared" si="24"/>
        <v>9.4465074343779364E-4</v>
      </c>
      <c r="H432" s="109">
        <v>1.9909931263332542E-2</v>
      </c>
      <c r="I432" s="110">
        <f t="shared" si="26"/>
        <v>1.8807931369702456E-5</v>
      </c>
      <c r="J432" s="110">
        <v>7.6550000000000007E-2</v>
      </c>
      <c r="K432" s="110">
        <f t="shared" si="27"/>
        <v>7.231301441016311E-5</v>
      </c>
    </row>
    <row r="433" spans="2:11" ht="15" customHeight="1">
      <c r="B433" s="333" t="s">
        <v>702</v>
      </c>
      <c r="C433" s="334" t="s">
        <v>703</v>
      </c>
      <c r="D433" s="335">
        <v>224.22899000000001</v>
      </c>
      <c r="E433" s="335">
        <v>965</v>
      </c>
      <c r="F433" s="335">
        <f t="shared" si="25"/>
        <v>216380.97535000002</v>
      </c>
      <c r="G433" s="336" t="str">
        <f t="shared" si="24"/>
        <v/>
      </c>
      <c r="H433" s="109">
        <v>3.0673575129533679E-3</v>
      </c>
      <c r="I433" s="110" t="str">
        <f t="shared" si="26"/>
        <v/>
      </c>
      <c r="J433" s="110">
        <v>0.37905</v>
      </c>
      <c r="K433" s="110" t="str">
        <f t="shared" si="27"/>
        <v/>
      </c>
    </row>
    <row r="434" spans="2:11" ht="15" customHeight="1">
      <c r="B434" s="333" t="s">
        <v>704</v>
      </c>
      <c r="C434" s="334" t="s">
        <v>705</v>
      </c>
      <c r="D434" s="335">
        <v>172.17254</v>
      </c>
      <c r="E434" s="335">
        <v>139.09</v>
      </c>
      <c r="F434" s="335">
        <f t="shared" si="25"/>
        <v>23947.478588599999</v>
      </c>
      <c r="G434" s="336" t="str">
        <f t="shared" si="24"/>
        <v/>
      </c>
      <c r="H434" s="109">
        <v>2.9621108634696958E-2</v>
      </c>
      <c r="I434" s="110" t="str">
        <f t="shared" si="26"/>
        <v/>
      </c>
      <c r="J434" s="110">
        <v>0.20044999999999999</v>
      </c>
      <c r="K434" s="110" t="str">
        <f t="shared" si="27"/>
        <v/>
      </c>
    </row>
    <row r="435" spans="2:11" ht="15" customHeight="1">
      <c r="B435" s="333" t="s">
        <v>1441</v>
      </c>
      <c r="C435" s="334" t="s">
        <v>1212</v>
      </c>
      <c r="D435" s="335">
        <v>524.51499000000001</v>
      </c>
      <c r="E435" s="335">
        <v>46.26</v>
      </c>
      <c r="F435" s="335">
        <f t="shared" si="25"/>
        <v>24264.0634374</v>
      </c>
      <c r="G435" s="336">
        <f t="shared" si="24"/>
        <v>4.9073940656782662E-4</v>
      </c>
      <c r="H435" s="109">
        <v>3.9109381755296151E-2</v>
      </c>
      <c r="I435" s="110">
        <f t="shared" si="26"/>
        <v>1.9192514793828617E-5</v>
      </c>
      <c r="J435" s="110">
        <v>3.5000000000000003E-2</v>
      </c>
      <c r="K435" s="110">
        <f t="shared" si="27"/>
        <v>1.7175879229873932E-5</v>
      </c>
    </row>
    <row r="436" spans="2:11" ht="15" customHeight="1">
      <c r="B436" s="333" t="s">
        <v>706</v>
      </c>
      <c r="C436" s="334" t="s">
        <v>707</v>
      </c>
      <c r="D436" s="335">
        <v>155.45555999999999</v>
      </c>
      <c r="E436" s="335">
        <v>94.12</v>
      </c>
      <c r="F436" s="335">
        <f t="shared" si="25"/>
        <v>14631.477307200001</v>
      </c>
      <c r="G436" s="336" t="str">
        <f t="shared" si="24"/>
        <v/>
      </c>
      <c r="H436" s="109">
        <v>3.527411814704632E-2</v>
      </c>
      <c r="I436" s="110" t="str">
        <f t="shared" si="26"/>
        <v/>
      </c>
      <c r="J436" s="110" t="s">
        <v>4</v>
      </c>
      <c r="K436" s="110" t="str">
        <f t="shared" si="27"/>
        <v/>
      </c>
    </row>
    <row r="437" spans="2:11" ht="15" customHeight="1">
      <c r="B437" s="333" t="s">
        <v>708</v>
      </c>
      <c r="C437" s="334" t="s">
        <v>709</v>
      </c>
      <c r="D437" s="335">
        <v>150.40595999999999</v>
      </c>
      <c r="E437" s="335">
        <v>67.8</v>
      </c>
      <c r="F437" s="335">
        <f t="shared" si="25"/>
        <v>10197.524087999998</v>
      </c>
      <c r="G437" s="336">
        <f t="shared" si="24"/>
        <v>2.0624438822117058E-4</v>
      </c>
      <c r="H437" s="109">
        <v>4.1887905604719763E-2</v>
      </c>
      <c r="I437" s="110">
        <f t="shared" si="26"/>
        <v>8.6391454653115693E-6</v>
      </c>
      <c r="J437" s="110">
        <v>0.2</v>
      </c>
      <c r="K437" s="110">
        <f t="shared" si="27"/>
        <v>4.1248877644234118E-5</v>
      </c>
    </row>
    <row r="438" spans="2:11" ht="15" customHeight="1">
      <c r="B438" s="333" t="s">
        <v>710</v>
      </c>
      <c r="C438" s="334" t="s">
        <v>711</v>
      </c>
      <c r="D438" s="335">
        <v>336.95134000000002</v>
      </c>
      <c r="E438" s="335">
        <v>76.05</v>
      </c>
      <c r="F438" s="335">
        <f t="shared" si="25"/>
        <v>25625.149407000001</v>
      </c>
      <c r="G438" s="336">
        <f t="shared" si="24"/>
        <v>5.1826729870067345E-4</v>
      </c>
      <c r="H438" s="109">
        <v>1.5779092702169626E-2</v>
      </c>
      <c r="I438" s="110">
        <f t="shared" si="26"/>
        <v>8.1777877507009618E-6</v>
      </c>
      <c r="J438" s="110">
        <v>8.8900000000000007E-2</v>
      </c>
      <c r="K438" s="110">
        <f t="shared" si="27"/>
        <v>4.6073962854489875E-5</v>
      </c>
    </row>
    <row r="439" spans="2:11" ht="15" customHeight="1">
      <c r="B439" s="333" t="s">
        <v>712</v>
      </c>
      <c r="C439" s="334" t="s">
        <v>713</v>
      </c>
      <c r="D439" s="335">
        <v>383.36076000000003</v>
      </c>
      <c r="E439" s="335">
        <v>314.83999999999997</v>
      </c>
      <c r="F439" s="335">
        <f t="shared" si="25"/>
        <v>120697.30167839999</v>
      </c>
      <c r="G439" s="336">
        <f t="shared" si="24"/>
        <v>2.4410965769525207E-3</v>
      </c>
      <c r="H439" s="109">
        <v>1.1180282048024395E-2</v>
      </c>
      <c r="I439" s="110">
        <f t="shared" si="26"/>
        <v>2.7292148236796067E-5</v>
      </c>
      <c r="J439" s="110">
        <v>9.2200000000000004E-2</v>
      </c>
      <c r="K439" s="110">
        <f t="shared" si="27"/>
        <v>2.2506910439502241E-4</v>
      </c>
    </row>
    <row r="440" spans="2:11" ht="15" customHeight="1">
      <c r="B440" s="333" t="s">
        <v>714</v>
      </c>
      <c r="C440" s="334" t="s">
        <v>715</v>
      </c>
      <c r="D440" s="335">
        <v>478.18261000000001</v>
      </c>
      <c r="E440" s="335">
        <v>83.58</v>
      </c>
      <c r="F440" s="335">
        <f t="shared" si="25"/>
        <v>39966.502543800001</v>
      </c>
      <c r="G440" s="336">
        <f t="shared" si="24"/>
        <v>8.0832041144043344E-4</v>
      </c>
      <c r="H440" s="109">
        <v>2.6322086623594164E-2</v>
      </c>
      <c r="I440" s="110">
        <f t="shared" si="26"/>
        <v>2.1276679889554365E-5</v>
      </c>
      <c r="J440" s="110">
        <v>0.105</v>
      </c>
      <c r="K440" s="110">
        <f t="shared" si="27"/>
        <v>8.4873643201245505E-5</v>
      </c>
    </row>
    <row r="441" spans="2:11" ht="15" customHeight="1">
      <c r="B441" s="333" t="s">
        <v>716</v>
      </c>
      <c r="C441" s="334" t="s">
        <v>717</v>
      </c>
      <c r="D441" s="335">
        <v>6948.3388400000003</v>
      </c>
      <c r="E441" s="335">
        <v>20.7</v>
      </c>
      <c r="F441" s="335">
        <f t="shared" si="25"/>
        <v>143830.613988</v>
      </c>
      <c r="G441" s="336">
        <f t="shared" si="24"/>
        <v>2.9089666014457376E-3</v>
      </c>
      <c r="H441" s="109">
        <v>5.3623188405797106E-2</v>
      </c>
      <c r="I441" s="110">
        <f t="shared" si="26"/>
        <v>1.5598806413549609E-4</v>
      </c>
      <c r="J441" s="110">
        <v>8.6249999999999993E-2</v>
      </c>
      <c r="K441" s="110">
        <f t="shared" si="27"/>
        <v>2.5089836937469483E-4</v>
      </c>
    </row>
    <row r="442" spans="2:11" ht="15" customHeight="1">
      <c r="B442" s="333" t="s">
        <v>718</v>
      </c>
      <c r="C442" s="334" t="s">
        <v>719</v>
      </c>
      <c r="D442" s="335">
        <v>175.21541999999999</v>
      </c>
      <c r="E442" s="335">
        <v>38.96</v>
      </c>
      <c r="F442" s="335">
        <f t="shared" si="25"/>
        <v>6826.3927631999995</v>
      </c>
      <c r="G442" s="336">
        <f t="shared" si="24"/>
        <v>1.3806343452136305E-4</v>
      </c>
      <c r="H442" s="109">
        <v>4.9281314168377818E-2</v>
      </c>
      <c r="I442" s="110">
        <f t="shared" si="26"/>
        <v>6.8039474918125517E-6</v>
      </c>
      <c r="J442" s="110">
        <v>6.9999999999999923E-4</v>
      </c>
      <c r="K442" s="110">
        <f t="shared" si="27"/>
        <v>9.6644404164954027E-8</v>
      </c>
    </row>
    <row r="443" spans="2:11" ht="15" customHeight="1">
      <c r="B443" s="333" t="s">
        <v>720</v>
      </c>
      <c r="C443" s="334" t="s">
        <v>721</v>
      </c>
      <c r="D443" s="335">
        <v>55.933579999999999</v>
      </c>
      <c r="E443" s="335">
        <v>1332.04</v>
      </c>
      <c r="F443" s="335">
        <f t="shared" si="25"/>
        <v>74505.765903199994</v>
      </c>
      <c r="G443" s="336">
        <f t="shared" si="24"/>
        <v>1.5068751958858071E-3</v>
      </c>
      <c r="H443" s="109" t="s">
        <v>4</v>
      </c>
      <c r="I443" s="110" t="str">
        <f t="shared" si="26"/>
        <v/>
      </c>
      <c r="J443" s="110">
        <v>0.10775</v>
      </c>
      <c r="K443" s="110">
        <f t="shared" si="27"/>
        <v>1.6236580235669571E-4</v>
      </c>
    </row>
    <row r="444" spans="2:11" ht="15" customHeight="1">
      <c r="B444" s="333" t="s">
        <v>722</v>
      </c>
      <c r="C444" s="334" t="s">
        <v>723</v>
      </c>
      <c r="D444" s="335">
        <v>46.329140000000002</v>
      </c>
      <c r="E444" s="335">
        <v>666.9</v>
      </c>
      <c r="F444" s="335">
        <f t="shared" si="25"/>
        <v>30896.903466</v>
      </c>
      <c r="G444" s="336">
        <f t="shared" si="24"/>
        <v>6.2488824721408556E-4</v>
      </c>
      <c r="H444" s="109" t="s">
        <v>4</v>
      </c>
      <c r="I444" s="110" t="str">
        <f t="shared" si="26"/>
        <v/>
      </c>
      <c r="J444" s="110">
        <v>0.1159</v>
      </c>
      <c r="K444" s="110">
        <f t="shared" si="27"/>
        <v>7.2424547852112522E-5</v>
      </c>
    </row>
    <row r="445" spans="2:11" ht="15" customHeight="1">
      <c r="B445" s="333" t="s">
        <v>724</v>
      </c>
      <c r="C445" s="334" t="s">
        <v>725</v>
      </c>
      <c r="D445" s="335">
        <v>156.56874999999999</v>
      </c>
      <c r="E445" s="335">
        <v>70.650000000000006</v>
      </c>
      <c r="F445" s="335">
        <f t="shared" si="25"/>
        <v>11061.5821875</v>
      </c>
      <c r="G445" s="336">
        <f t="shared" si="24"/>
        <v>2.2371991782826724E-4</v>
      </c>
      <c r="H445" s="109">
        <v>4.529370134465676E-3</v>
      </c>
      <c r="I445" s="110">
        <f t="shared" si="26"/>
        <v>1.0133103142964688E-6</v>
      </c>
      <c r="J445" s="110">
        <v>0.1</v>
      </c>
      <c r="K445" s="110">
        <f t="shared" si="27"/>
        <v>2.2371991782826726E-5</v>
      </c>
    </row>
    <row r="446" spans="2:11" ht="15" customHeight="1">
      <c r="B446" s="333" t="s">
        <v>1219</v>
      </c>
      <c r="C446" s="334" t="s">
        <v>726</v>
      </c>
      <c r="D446" s="335">
        <v>291.89580000000001</v>
      </c>
      <c r="E446" s="335">
        <v>201.61</v>
      </c>
      <c r="F446" s="335">
        <f t="shared" si="25"/>
        <v>58849.112238000009</v>
      </c>
      <c r="G446" s="336">
        <f t="shared" si="24"/>
        <v>1.1902201991528473E-3</v>
      </c>
      <c r="H446" s="109">
        <v>1.5475422846088983E-2</v>
      </c>
      <c r="I446" s="110">
        <f t="shared" si="26"/>
        <v>1.8419160861846553E-5</v>
      </c>
      <c r="J446" s="110">
        <v>0.1527</v>
      </c>
      <c r="K446" s="110">
        <f t="shared" si="27"/>
        <v>1.8174662441063978E-4</v>
      </c>
    </row>
    <row r="447" spans="2:11" ht="15" customHeight="1">
      <c r="B447" s="333" t="s">
        <v>727</v>
      </c>
      <c r="C447" s="334" t="s">
        <v>728</v>
      </c>
      <c r="D447" s="335">
        <v>156.54216</v>
      </c>
      <c r="E447" s="335">
        <v>483.84</v>
      </c>
      <c r="F447" s="335">
        <f t="shared" si="25"/>
        <v>75741.358694399998</v>
      </c>
      <c r="G447" s="336" t="str">
        <f t="shared" si="24"/>
        <v/>
      </c>
      <c r="H447" s="109">
        <v>1.0747354497354499E-3</v>
      </c>
      <c r="I447" s="110" t="str">
        <f t="shared" si="26"/>
        <v/>
      </c>
      <c r="J447" s="110">
        <v>0.28254999999999997</v>
      </c>
      <c r="K447" s="110" t="str">
        <f t="shared" si="27"/>
        <v/>
      </c>
    </row>
    <row r="448" spans="2:11" ht="15" customHeight="1">
      <c r="B448" s="333" t="s">
        <v>729</v>
      </c>
      <c r="C448" s="334" t="s">
        <v>730</v>
      </c>
      <c r="D448" s="335">
        <v>1245.8792800000001</v>
      </c>
      <c r="E448" s="335">
        <v>49.82</v>
      </c>
      <c r="F448" s="335">
        <f t="shared" si="25"/>
        <v>62069.705729600006</v>
      </c>
      <c r="G448" s="336">
        <f t="shared" si="24"/>
        <v>1.2553565330954914E-3</v>
      </c>
      <c r="H448" s="109">
        <v>4.1750301083902049E-2</v>
      </c>
      <c r="I448" s="110">
        <f t="shared" si="26"/>
        <v>5.2411513224380214E-5</v>
      </c>
      <c r="J448" s="110">
        <v>0.18519999999999998</v>
      </c>
      <c r="K448" s="110">
        <f t="shared" si="27"/>
        <v>2.3249202992928496E-4</v>
      </c>
    </row>
    <row r="449" spans="2:11" ht="15" customHeight="1">
      <c r="B449" s="333" t="s">
        <v>731</v>
      </c>
      <c r="C449" s="334" t="s">
        <v>732</v>
      </c>
      <c r="D449" s="335">
        <v>454.19110999999998</v>
      </c>
      <c r="E449" s="335">
        <v>130.61000000000001</v>
      </c>
      <c r="F449" s="335">
        <f t="shared" si="25"/>
        <v>59321.900877100001</v>
      </c>
      <c r="G449" s="336">
        <f t="shared" si="24"/>
        <v>1.1997823245067695E-3</v>
      </c>
      <c r="H449" s="109">
        <v>3.5525610596432118E-2</v>
      </c>
      <c r="I449" s="110">
        <f t="shared" si="26"/>
        <v>4.2622999660909647E-5</v>
      </c>
      <c r="J449" s="110">
        <v>7.3150000000000007E-2</v>
      </c>
      <c r="K449" s="110">
        <f t="shared" si="27"/>
        <v>8.7764077037670197E-5</v>
      </c>
    </row>
    <row r="450" spans="2:11" ht="15" customHeight="1">
      <c r="B450" s="333" t="s">
        <v>733</v>
      </c>
      <c r="C450" s="334" t="s">
        <v>734</v>
      </c>
      <c r="D450" s="335">
        <v>1104.70445</v>
      </c>
      <c r="E450" s="335">
        <v>151.5</v>
      </c>
      <c r="F450" s="335">
        <f t="shared" si="25"/>
        <v>167362.72417499998</v>
      </c>
      <c r="G450" s="336">
        <f t="shared" si="24"/>
        <v>3.3849022920299076E-3</v>
      </c>
      <c r="H450" s="109">
        <v>1.2673267326732672E-2</v>
      </c>
      <c r="I450" s="110">
        <f t="shared" si="26"/>
        <v>4.289777162176516E-5</v>
      </c>
      <c r="J450" s="110">
        <v>7.3949999999999988E-2</v>
      </c>
      <c r="K450" s="110">
        <f t="shared" si="27"/>
        <v>2.503135244956116E-4</v>
      </c>
    </row>
    <row r="451" spans="2:11" ht="15" customHeight="1">
      <c r="B451" s="333" t="s">
        <v>1213</v>
      </c>
      <c r="C451" s="334" t="s">
        <v>1214</v>
      </c>
      <c r="D451" s="335">
        <v>74.967669999999998</v>
      </c>
      <c r="E451" s="335">
        <v>201.31</v>
      </c>
      <c r="F451" s="335">
        <f t="shared" si="25"/>
        <v>15091.741647700001</v>
      </c>
      <c r="G451" s="336">
        <f t="shared" si="24"/>
        <v>3.0522968089720956E-4</v>
      </c>
      <c r="H451" s="109">
        <v>1.5697183448412897E-2</v>
      </c>
      <c r="I451" s="110">
        <f t="shared" si="26"/>
        <v>4.7912462949440279E-6</v>
      </c>
      <c r="J451" s="110">
        <v>0.125</v>
      </c>
      <c r="K451" s="110">
        <f t="shared" si="27"/>
        <v>3.8153710112151195E-5</v>
      </c>
    </row>
    <row r="452" spans="2:11" ht="15" customHeight="1">
      <c r="B452" s="333" t="s">
        <v>735</v>
      </c>
      <c r="C452" s="334" t="s">
        <v>736</v>
      </c>
      <c r="D452" s="335">
        <v>371.62146999999999</v>
      </c>
      <c r="E452" s="335">
        <v>501.36</v>
      </c>
      <c r="F452" s="335">
        <f t="shared" si="25"/>
        <v>186316.14019919999</v>
      </c>
      <c r="G452" s="336">
        <f t="shared" si="24"/>
        <v>3.7682341340416806E-3</v>
      </c>
      <c r="H452" s="109">
        <v>3.7498005425243334E-3</v>
      </c>
      <c r="I452" s="110">
        <f t="shared" si="26"/>
        <v>1.4130126400188205E-5</v>
      </c>
      <c r="J452" s="110">
        <v>0.1009</v>
      </c>
      <c r="K452" s="110">
        <f t="shared" si="27"/>
        <v>3.8021482412480559E-4</v>
      </c>
    </row>
    <row r="453" spans="2:11" ht="15" customHeight="1">
      <c r="B453" s="333" t="s">
        <v>737</v>
      </c>
      <c r="C453" s="334" t="s">
        <v>738</v>
      </c>
      <c r="D453" s="335">
        <v>1082.20472</v>
      </c>
      <c r="E453" s="335">
        <v>167.73</v>
      </c>
      <c r="F453" s="335">
        <f t="shared" si="25"/>
        <v>181518.19768559997</v>
      </c>
      <c r="G453" s="336">
        <f t="shared" si="24"/>
        <v>3.671195999108296E-3</v>
      </c>
      <c r="H453" s="109">
        <v>2.4324807726703632E-2</v>
      </c>
      <c r="I453" s="110">
        <f t="shared" si="26"/>
        <v>8.9301136805352939E-5</v>
      </c>
      <c r="J453" s="110">
        <v>0.09</v>
      </c>
      <c r="K453" s="110">
        <f t="shared" si="27"/>
        <v>3.3040763991974665E-4</v>
      </c>
    </row>
    <row r="454" spans="2:11" ht="15" customHeight="1">
      <c r="B454" s="333" t="s">
        <v>1139</v>
      </c>
      <c r="C454" s="334" t="s">
        <v>1140</v>
      </c>
      <c r="D454" s="335">
        <v>68.974429999999998</v>
      </c>
      <c r="E454" s="335">
        <v>437.64</v>
      </c>
      <c r="F454" s="335">
        <f t="shared" si="25"/>
        <v>30185.969545199998</v>
      </c>
      <c r="G454" s="336">
        <f t="shared" si="24"/>
        <v>6.1050964606583057E-4</v>
      </c>
      <c r="H454" s="109">
        <v>5.4839594187003019E-3</v>
      </c>
      <c r="I454" s="110">
        <f t="shared" si="26"/>
        <v>3.3480101237500993E-6</v>
      </c>
      <c r="J454" s="110">
        <v>0.16500000000000001</v>
      </c>
      <c r="K454" s="110">
        <f t="shared" si="27"/>
        <v>1.0073409160086206E-4</v>
      </c>
    </row>
    <row r="455" spans="2:11" ht="15" customHeight="1">
      <c r="B455" s="333" t="s">
        <v>739</v>
      </c>
      <c r="C455" s="334" t="s">
        <v>740</v>
      </c>
      <c r="D455" s="335">
        <v>202.04471000000001</v>
      </c>
      <c r="E455" s="335">
        <v>146.38</v>
      </c>
      <c r="F455" s="335">
        <f t="shared" si="25"/>
        <v>29575.3046498</v>
      </c>
      <c r="G455" s="336">
        <f t="shared" si="24"/>
        <v>5.981589806814628E-4</v>
      </c>
      <c r="H455" s="109">
        <v>1.0930454980188551E-2</v>
      </c>
      <c r="I455" s="110">
        <f t="shared" si="26"/>
        <v>6.5381498093342026E-6</v>
      </c>
      <c r="J455" s="110">
        <v>0.1318</v>
      </c>
      <c r="K455" s="110">
        <f t="shared" si="27"/>
        <v>7.8837353653816793E-5</v>
      </c>
    </row>
    <row r="456" spans="2:11" ht="15" customHeight="1">
      <c r="B456" s="333" t="s">
        <v>1097</v>
      </c>
      <c r="C456" s="334" t="s">
        <v>1098</v>
      </c>
      <c r="D456" s="335">
        <v>214.6439</v>
      </c>
      <c r="E456" s="335">
        <v>268.14</v>
      </c>
      <c r="F456" s="335">
        <f t="shared" si="25"/>
        <v>57554.615345999999</v>
      </c>
      <c r="G456" s="336">
        <f t="shared" si="24"/>
        <v>1.1640390676114251E-3</v>
      </c>
      <c r="H456" s="109">
        <v>1.8646975460580296E-2</v>
      </c>
      <c r="I456" s="110">
        <f t="shared" si="26"/>
        <v>2.170580792890701E-5</v>
      </c>
      <c r="J456" s="110">
        <v>0.16089999999999999</v>
      </c>
      <c r="K456" s="110">
        <f t="shared" si="27"/>
        <v>1.8729388597867828E-4</v>
      </c>
    </row>
    <row r="457" spans="2:11" ht="15" customHeight="1">
      <c r="B457" s="333" t="s">
        <v>741</v>
      </c>
      <c r="C457" s="334" t="s">
        <v>742</v>
      </c>
      <c r="D457" s="335">
        <v>233.11152000000001</v>
      </c>
      <c r="E457" s="335">
        <v>51.18</v>
      </c>
      <c r="F457" s="335">
        <f t="shared" si="25"/>
        <v>11930.647593600001</v>
      </c>
      <c r="G457" s="336">
        <f t="shared" si="24"/>
        <v>2.4129671994793073E-4</v>
      </c>
      <c r="H457" s="109" t="s">
        <v>4</v>
      </c>
      <c r="I457" s="110" t="str">
        <f t="shared" si="26"/>
        <v/>
      </c>
      <c r="J457" s="110">
        <v>0.185</v>
      </c>
      <c r="K457" s="110">
        <f t="shared" si="27"/>
        <v>4.4639893190367186E-5</v>
      </c>
    </row>
    <row r="458" spans="2:11" ht="15" customHeight="1">
      <c r="B458" s="333" t="s">
        <v>743</v>
      </c>
      <c r="C458" s="334" t="s">
        <v>744</v>
      </c>
      <c r="D458" s="335">
        <v>214.26660999999999</v>
      </c>
      <c r="E458" s="335">
        <v>113.69</v>
      </c>
      <c r="F458" s="335">
        <f t="shared" si="25"/>
        <v>24359.970890899996</v>
      </c>
      <c r="G458" s="336">
        <f t="shared" si="24"/>
        <v>4.9267912976948432E-4</v>
      </c>
      <c r="H458" s="109">
        <v>4.5738411469786265E-2</v>
      </c>
      <c r="I458" s="110">
        <f t="shared" si="26"/>
        <v>2.2534360759972898E-5</v>
      </c>
      <c r="J458" s="110">
        <v>3.6450000000000003E-2</v>
      </c>
      <c r="K458" s="110">
        <f t="shared" si="27"/>
        <v>1.7958154280097707E-5</v>
      </c>
    </row>
    <row r="459" spans="2:11" ht="15" customHeight="1">
      <c r="B459" s="333" t="s">
        <v>745</v>
      </c>
      <c r="C459" s="334" t="s">
        <v>746</v>
      </c>
      <c r="D459" s="335">
        <v>212.64469</v>
      </c>
      <c r="E459" s="335">
        <v>330.12</v>
      </c>
      <c r="F459" s="335">
        <f t="shared" si="25"/>
        <v>70198.265062799997</v>
      </c>
      <c r="G459" s="336">
        <f t="shared" si="24"/>
        <v>1.4197562179923493E-3</v>
      </c>
      <c r="H459" s="109">
        <v>1.5146007512419726E-2</v>
      </c>
      <c r="I459" s="110">
        <f t="shared" si="26"/>
        <v>2.1503638343516742E-5</v>
      </c>
      <c r="J459" s="110">
        <v>3.1150000000000001E-2</v>
      </c>
      <c r="K459" s="110">
        <f t="shared" si="27"/>
        <v>4.4225406190461682E-5</v>
      </c>
    </row>
    <row r="460" spans="2:11" ht="15" customHeight="1">
      <c r="B460" s="333" t="s">
        <v>747</v>
      </c>
      <c r="C460" s="334" t="s">
        <v>748</v>
      </c>
      <c r="D460" s="335">
        <v>524.44961999999998</v>
      </c>
      <c r="E460" s="335">
        <v>31.61</v>
      </c>
      <c r="F460" s="335">
        <f t="shared" si="25"/>
        <v>16577.852488199998</v>
      </c>
      <c r="G460" s="336">
        <f t="shared" si="24"/>
        <v>3.3528619446685632E-4</v>
      </c>
      <c r="H460" s="109">
        <v>3.037013603290098E-2</v>
      </c>
      <c r="I460" s="110">
        <f t="shared" si="26"/>
        <v>1.0182687335912118E-5</v>
      </c>
      <c r="J460" s="110">
        <v>8.1200000000000008E-2</v>
      </c>
      <c r="K460" s="110">
        <f t="shared" si="27"/>
        <v>2.7225238990708734E-5</v>
      </c>
    </row>
    <row r="461" spans="2:11" ht="15" customHeight="1">
      <c r="B461" s="333" t="s">
        <v>749</v>
      </c>
      <c r="C461" s="334" t="s">
        <v>750</v>
      </c>
      <c r="D461" s="335">
        <v>3755.7238699999998</v>
      </c>
      <c r="E461" s="335">
        <v>420.6</v>
      </c>
      <c r="F461" s="335">
        <f t="shared" si="25"/>
        <v>1579657.4597219999</v>
      </c>
      <c r="G461" s="336">
        <f t="shared" si="24"/>
        <v>3.1948489022227876E-2</v>
      </c>
      <c r="H461" s="109" t="s">
        <v>4</v>
      </c>
      <c r="I461" s="110" t="str">
        <f t="shared" si="26"/>
        <v/>
      </c>
      <c r="J461" s="110">
        <v>0.1</v>
      </c>
      <c r="K461" s="110">
        <f t="shared" si="27"/>
        <v>3.1948489022227879E-3</v>
      </c>
    </row>
    <row r="462" spans="2:11" ht="15" customHeight="1">
      <c r="B462" s="333" t="s">
        <v>751</v>
      </c>
      <c r="C462" s="334" t="s">
        <v>752</v>
      </c>
      <c r="D462" s="335">
        <v>282.12040000000002</v>
      </c>
      <c r="E462" s="335">
        <v>57.25</v>
      </c>
      <c r="F462" s="335">
        <f t="shared" si="25"/>
        <v>16151.392900000001</v>
      </c>
      <c r="G462" s="336">
        <f t="shared" si="24"/>
        <v>3.2666107173016554E-4</v>
      </c>
      <c r="H462" s="109">
        <v>3.5633187772925762E-2</v>
      </c>
      <c r="I462" s="110">
        <f t="shared" si="26"/>
        <v>1.1639975307066161E-5</v>
      </c>
      <c r="J462" s="110">
        <v>0.1144</v>
      </c>
      <c r="K462" s="110">
        <f t="shared" si="27"/>
        <v>3.7370026605930942E-5</v>
      </c>
    </row>
    <row r="463" spans="2:11" ht="15" customHeight="1">
      <c r="B463" s="333" t="s">
        <v>753</v>
      </c>
      <c r="C463" s="334" t="s">
        <v>754</v>
      </c>
      <c r="D463" s="335">
        <v>221.05547999999999</v>
      </c>
      <c r="E463" s="335">
        <v>491.16</v>
      </c>
      <c r="F463" s="335">
        <f t="shared" si="25"/>
        <v>108573.6095568</v>
      </c>
      <c r="G463" s="336">
        <f t="shared" ref="G463:G517" si="28">IF(AND(ISNUMBER($J463)), IF(AND($J463&lt;=20%,$J463&gt;0%), $F463/SUMIFS($F$15:$F$517,$J$15:$J$517, "&gt;"&amp;0%,$J$15:$J$517, "&lt;="&amp;20%),""),"")</f>
        <v>2.1958955415812362E-3</v>
      </c>
      <c r="H463" s="109">
        <v>8.5511849499144872E-3</v>
      </c>
      <c r="I463" s="110">
        <f t="shared" si="26"/>
        <v>1.8777508906753791E-5</v>
      </c>
      <c r="J463" s="110">
        <v>0.14615</v>
      </c>
      <c r="K463" s="110">
        <f t="shared" si="27"/>
        <v>3.2093013340209767E-4</v>
      </c>
    </row>
    <row r="464" spans="2:11" ht="15" customHeight="1">
      <c r="B464" s="333" t="s">
        <v>1168</v>
      </c>
      <c r="C464" s="334" t="s">
        <v>1169</v>
      </c>
      <c r="D464" s="335">
        <v>426.99973</v>
      </c>
      <c r="E464" s="335">
        <v>18.079999999999998</v>
      </c>
      <c r="F464" s="335">
        <f t="shared" ref="F464:F517" si="29">IFERROR(D464*E464,"")</f>
        <v>7720.1551183999991</v>
      </c>
      <c r="G464" s="336">
        <f t="shared" si="28"/>
        <v>1.561397311373477E-4</v>
      </c>
      <c r="H464" s="109" t="s">
        <v>4</v>
      </c>
      <c r="I464" s="110" t="str">
        <f t="shared" ref="I464:I517" si="30">IFERROR(G464*H464,"")</f>
        <v/>
      </c>
      <c r="J464" s="110">
        <v>0.11895</v>
      </c>
      <c r="K464" s="110">
        <f t="shared" ref="K464:K517" si="31">IFERROR(G464*J464,"")</f>
        <v>1.8572821018787509E-5</v>
      </c>
    </row>
    <row r="465" spans="2:11" ht="15" customHeight="1">
      <c r="B465" s="333" t="s">
        <v>755</v>
      </c>
      <c r="C465" s="334" t="s">
        <v>756</v>
      </c>
      <c r="D465" s="335">
        <v>185.66666000000001</v>
      </c>
      <c r="E465" s="335">
        <v>249.98</v>
      </c>
      <c r="F465" s="335">
        <f t="shared" si="29"/>
        <v>46412.9516668</v>
      </c>
      <c r="G465" s="336" t="str">
        <f t="shared" si="28"/>
        <v/>
      </c>
      <c r="H465" s="109" t="s">
        <v>4</v>
      </c>
      <c r="I465" s="110" t="str">
        <f t="shared" si="30"/>
        <v/>
      </c>
      <c r="J465" s="110">
        <v>0.21</v>
      </c>
      <c r="K465" s="110" t="str">
        <f t="shared" si="31"/>
        <v/>
      </c>
    </row>
    <row r="466" spans="2:11" ht="15" customHeight="1">
      <c r="B466" s="333" t="s">
        <v>757</v>
      </c>
      <c r="C466" s="334" t="s">
        <v>758</v>
      </c>
      <c r="D466" s="335">
        <v>910.09279000000004</v>
      </c>
      <c r="E466" s="335">
        <v>298.07</v>
      </c>
      <c r="F466" s="335">
        <f t="shared" si="29"/>
        <v>271271.3579153</v>
      </c>
      <c r="G466" s="336" t="str">
        <f t="shared" si="28"/>
        <v/>
      </c>
      <c r="H466" s="109">
        <v>1.9055926460227461E-2</v>
      </c>
      <c r="I466" s="110" t="str">
        <f t="shared" si="30"/>
        <v/>
      </c>
      <c r="J466" s="110">
        <v>0.25409999999999999</v>
      </c>
      <c r="K466" s="110" t="str">
        <f t="shared" si="31"/>
        <v/>
      </c>
    </row>
    <row r="467" spans="2:11" ht="15" customHeight="1">
      <c r="B467" s="333" t="s">
        <v>759</v>
      </c>
      <c r="C467" s="334" t="s">
        <v>760</v>
      </c>
      <c r="D467" s="335">
        <v>173.88898</v>
      </c>
      <c r="E467" s="335">
        <v>91.73</v>
      </c>
      <c r="F467" s="335">
        <f t="shared" si="29"/>
        <v>15950.836135400001</v>
      </c>
      <c r="G467" s="336">
        <f t="shared" si="28"/>
        <v>3.2260482171677068E-4</v>
      </c>
      <c r="H467" s="109">
        <v>8.7212471383407827E-4</v>
      </c>
      <c r="I467" s="110">
        <f t="shared" si="30"/>
        <v>2.8135163782123245E-7</v>
      </c>
      <c r="J467" s="110">
        <v>7.3200000000000001E-2</v>
      </c>
      <c r="K467" s="110">
        <f t="shared" si="31"/>
        <v>2.3614672949667614E-5</v>
      </c>
    </row>
    <row r="468" spans="2:11" ht="15" customHeight="1">
      <c r="B468" s="333" t="s">
        <v>761</v>
      </c>
      <c r="C468" s="334" t="s">
        <v>762</v>
      </c>
      <c r="D468" s="335">
        <v>42.167459999999998</v>
      </c>
      <c r="E468" s="335">
        <v>292.45999999999998</v>
      </c>
      <c r="F468" s="335">
        <f t="shared" si="29"/>
        <v>12332.295351599998</v>
      </c>
      <c r="G468" s="336">
        <f t="shared" si="28"/>
        <v>2.4942002472409634E-4</v>
      </c>
      <c r="H468" s="109" t="s">
        <v>4</v>
      </c>
      <c r="I468" s="110" t="str">
        <f t="shared" si="30"/>
        <v/>
      </c>
      <c r="J468" s="110">
        <v>0.13500000000000001</v>
      </c>
      <c r="K468" s="110">
        <f t="shared" si="31"/>
        <v>3.3671703337753005E-5</v>
      </c>
    </row>
    <row r="469" spans="2:11" ht="15" customHeight="1">
      <c r="B469" s="333" t="s">
        <v>763</v>
      </c>
      <c r="C469" s="334" t="s">
        <v>764</v>
      </c>
      <c r="D469" s="335">
        <v>324.64938000000001</v>
      </c>
      <c r="E469" s="335">
        <v>135.99</v>
      </c>
      <c r="F469" s="335">
        <f t="shared" si="29"/>
        <v>44149.069186200002</v>
      </c>
      <c r="G469" s="336">
        <f t="shared" si="28"/>
        <v>8.929126017517238E-4</v>
      </c>
      <c r="H469" s="109" t="s">
        <v>4</v>
      </c>
      <c r="I469" s="110" t="str">
        <f t="shared" si="30"/>
        <v/>
      </c>
      <c r="J469" s="110">
        <v>0.12869999999999998</v>
      </c>
      <c r="K469" s="110">
        <f t="shared" si="31"/>
        <v>1.1491785184544684E-4</v>
      </c>
    </row>
    <row r="470" spans="2:11" ht="15" customHeight="1">
      <c r="B470" s="333" t="s">
        <v>1188</v>
      </c>
      <c r="C470" s="334" t="s">
        <v>1189</v>
      </c>
      <c r="D470" s="335">
        <v>2035.5990099999999</v>
      </c>
      <c r="E470" s="335">
        <v>72.16</v>
      </c>
      <c r="F470" s="335">
        <f t="shared" si="29"/>
        <v>146888.82456159999</v>
      </c>
      <c r="G470" s="336">
        <f t="shared" si="28"/>
        <v>2.9708187494142699E-3</v>
      </c>
      <c r="H470" s="109" t="s">
        <v>4</v>
      </c>
      <c r="I470" s="110" t="str">
        <f t="shared" si="30"/>
        <v/>
      </c>
      <c r="J470" s="110">
        <v>7.4950000000000003E-2</v>
      </c>
      <c r="K470" s="110">
        <f t="shared" si="31"/>
        <v>2.2266286526859954E-4</v>
      </c>
    </row>
    <row r="471" spans="2:11" ht="15" customHeight="1">
      <c r="B471" s="333" t="s">
        <v>765</v>
      </c>
      <c r="C471" s="334" t="s">
        <v>766</v>
      </c>
      <c r="D471" s="335">
        <v>324.91565000000003</v>
      </c>
      <c r="E471" s="335">
        <v>39.92</v>
      </c>
      <c r="F471" s="335">
        <f t="shared" si="29"/>
        <v>12970.632748000002</v>
      </c>
      <c r="G471" s="336">
        <f t="shared" si="28"/>
        <v>2.6233036498542878E-4</v>
      </c>
      <c r="H471" s="109">
        <v>4.358717434869739E-2</v>
      </c>
      <c r="I471" s="110">
        <f t="shared" si="30"/>
        <v>1.1434239355577306E-5</v>
      </c>
      <c r="J471" s="110">
        <v>1.1699999999999999E-2</v>
      </c>
      <c r="K471" s="110">
        <f t="shared" si="31"/>
        <v>3.0692652703295161E-6</v>
      </c>
    </row>
    <row r="472" spans="2:11" ht="15" customHeight="1">
      <c r="B472" s="333" t="s">
        <v>767</v>
      </c>
      <c r="C472" s="334" t="s">
        <v>768</v>
      </c>
      <c r="D472" s="335">
        <v>53.287610000000001</v>
      </c>
      <c r="E472" s="335">
        <v>148.69</v>
      </c>
      <c r="F472" s="335">
        <f t="shared" si="29"/>
        <v>7923.3347309000001</v>
      </c>
      <c r="G472" s="336">
        <f t="shared" si="28"/>
        <v>1.6024902811154058E-4</v>
      </c>
      <c r="H472" s="109">
        <v>5.3803214742080847E-3</v>
      </c>
      <c r="I472" s="110">
        <f t="shared" si="30"/>
        <v>8.6219128716949683E-7</v>
      </c>
      <c r="J472" s="110">
        <v>5.3900000000000003E-2</v>
      </c>
      <c r="K472" s="110">
        <f t="shared" si="31"/>
        <v>8.637422615212037E-6</v>
      </c>
    </row>
    <row r="473" spans="2:11" ht="15" customHeight="1">
      <c r="B473" s="333" t="s">
        <v>769</v>
      </c>
      <c r="C473" s="334" t="s">
        <v>770</v>
      </c>
      <c r="D473" s="335">
        <v>42.989310000000003</v>
      </c>
      <c r="E473" s="335">
        <v>450.98</v>
      </c>
      <c r="F473" s="335">
        <f t="shared" si="29"/>
        <v>19387.319023800002</v>
      </c>
      <c r="G473" s="336">
        <f t="shared" si="28"/>
        <v>3.9210750735245474E-4</v>
      </c>
      <c r="H473" s="109" t="s">
        <v>4</v>
      </c>
      <c r="I473" s="110" t="str">
        <f t="shared" si="30"/>
        <v/>
      </c>
      <c r="J473" s="110">
        <v>0.11735000000000001</v>
      </c>
      <c r="K473" s="110">
        <f t="shared" si="31"/>
        <v>4.6013815987810566E-5</v>
      </c>
    </row>
    <row r="474" spans="2:11" ht="15" customHeight="1">
      <c r="B474" s="333" t="s">
        <v>771</v>
      </c>
      <c r="C474" s="334" t="s">
        <v>772</v>
      </c>
      <c r="D474" s="335">
        <v>908.14440000000002</v>
      </c>
      <c r="E474" s="335">
        <v>415.63</v>
      </c>
      <c r="F474" s="335">
        <f t="shared" si="29"/>
        <v>377452.05697199999</v>
      </c>
      <c r="G474" s="336">
        <f t="shared" si="28"/>
        <v>7.6339479957316259E-3</v>
      </c>
      <c r="H474" s="109">
        <v>2.2327550946755526E-2</v>
      </c>
      <c r="I474" s="110">
        <f t="shared" si="30"/>
        <v>1.7044736279958012E-4</v>
      </c>
      <c r="J474" s="110">
        <v>0.10869999999999999</v>
      </c>
      <c r="K474" s="110">
        <f t="shared" si="31"/>
        <v>8.298101471360277E-4</v>
      </c>
    </row>
    <row r="475" spans="2:11" ht="15" customHeight="1">
      <c r="B475" s="333" t="s">
        <v>773</v>
      </c>
      <c r="C475" s="334" t="s">
        <v>774</v>
      </c>
      <c r="D475" s="335">
        <v>593.71321</v>
      </c>
      <c r="E475" s="335">
        <v>272</v>
      </c>
      <c r="F475" s="335">
        <f t="shared" si="29"/>
        <v>161489.99312</v>
      </c>
      <c r="G475" s="336">
        <f t="shared" si="28"/>
        <v>3.2661266153878443E-3</v>
      </c>
      <c r="H475" s="109">
        <v>2.0294117647058824E-2</v>
      </c>
      <c r="I475" s="110">
        <f t="shared" si="30"/>
        <v>6.6283157782870959E-5</v>
      </c>
      <c r="J475" s="110">
        <v>4.9099999999999998E-2</v>
      </c>
      <c r="K475" s="110">
        <f t="shared" si="31"/>
        <v>1.6036681681554316E-4</v>
      </c>
    </row>
    <row r="476" spans="2:11" ht="15" customHeight="1">
      <c r="B476" s="333" t="s">
        <v>775</v>
      </c>
      <c r="C476" s="334" t="s">
        <v>776</v>
      </c>
      <c r="D476" s="335">
        <v>746.58181999999999</v>
      </c>
      <c r="E476" s="335">
        <v>107.5</v>
      </c>
      <c r="F476" s="335">
        <f t="shared" si="29"/>
        <v>80257.54565</v>
      </c>
      <c r="G476" s="336">
        <f t="shared" si="28"/>
        <v>1.6232046386823818E-3</v>
      </c>
      <c r="H476" s="109">
        <v>6.1023255813953486E-2</v>
      </c>
      <c r="I476" s="110">
        <f t="shared" si="30"/>
        <v>9.9053231904710918E-5</v>
      </c>
      <c r="J476" s="110">
        <v>8.9050000000000004E-2</v>
      </c>
      <c r="K476" s="110">
        <f t="shared" si="31"/>
        <v>1.4454637307466611E-4</v>
      </c>
    </row>
    <row r="477" spans="2:11" ht="15" customHeight="1">
      <c r="B477" s="333" t="s">
        <v>777</v>
      </c>
      <c r="C477" s="334" t="s">
        <v>778</v>
      </c>
      <c r="D477" s="335">
        <v>62.646560000000001</v>
      </c>
      <c r="E477" s="335">
        <v>1132.8900000000001</v>
      </c>
      <c r="F477" s="335">
        <f t="shared" si="29"/>
        <v>70971.661358400001</v>
      </c>
      <c r="G477" s="336">
        <f t="shared" si="28"/>
        <v>1.4353981173849915E-3</v>
      </c>
      <c r="H477" s="109">
        <v>6.955662067808877E-3</v>
      </c>
      <c r="I477" s="110">
        <f t="shared" si="30"/>
        <v>9.9841442372990586E-6</v>
      </c>
      <c r="J477" s="110">
        <v>9.3800000000000008E-2</v>
      </c>
      <c r="K477" s="110">
        <f t="shared" si="31"/>
        <v>1.3464034341071222E-4</v>
      </c>
    </row>
    <row r="478" spans="2:11" ht="15" customHeight="1">
      <c r="B478" s="333" t="s">
        <v>779</v>
      </c>
      <c r="C478" s="334" t="s">
        <v>780</v>
      </c>
      <c r="D478" s="335">
        <v>1557.73173</v>
      </c>
      <c r="E478" s="335">
        <v>60.4</v>
      </c>
      <c r="F478" s="335">
        <f t="shared" si="29"/>
        <v>94086.996491999991</v>
      </c>
      <c r="G478" s="336">
        <f t="shared" si="28"/>
        <v>1.9029045544393291E-3</v>
      </c>
      <c r="H478" s="109">
        <v>3.4437086092715237E-2</v>
      </c>
      <c r="I478" s="110">
        <f t="shared" si="30"/>
        <v>6.5530487967447107E-5</v>
      </c>
      <c r="J478" s="110">
        <v>0.10639999999999999</v>
      </c>
      <c r="K478" s="110">
        <f t="shared" si="31"/>
        <v>2.0246904459234459E-4</v>
      </c>
    </row>
    <row r="479" spans="2:11" ht="15" customHeight="1">
      <c r="B479" s="333" t="s">
        <v>781</v>
      </c>
      <c r="C479" s="334" t="s">
        <v>782</v>
      </c>
      <c r="D479" s="335">
        <v>1659.70993</v>
      </c>
      <c r="E479" s="335">
        <v>343.09</v>
      </c>
      <c r="F479" s="335">
        <f t="shared" si="29"/>
        <v>569429.87988369993</v>
      </c>
      <c r="G479" s="336">
        <f t="shared" si="28"/>
        <v>1.1516689364790875E-2</v>
      </c>
      <c r="H479" s="109">
        <v>7.8113614503483066E-3</v>
      </c>
      <c r="I479" s="110">
        <f t="shared" si="30"/>
        <v>8.9961023339763758E-5</v>
      </c>
      <c r="J479" s="110">
        <v>0.11280000000000001</v>
      </c>
      <c r="K479" s="110">
        <f t="shared" si="31"/>
        <v>1.2990825603484107E-3</v>
      </c>
    </row>
    <row r="480" spans="2:11" ht="15" customHeight="1">
      <c r="B480" s="333" t="s">
        <v>1458</v>
      </c>
      <c r="C480" s="334" t="s">
        <v>1459</v>
      </c>
      <c r="D480" s="335">
        <v>162.44328999999999</v>
      </c>
      <c r="E480" s="335">
        <v>177.47</v>
      </c>
      <c r="F480" s="335">
        <f t="shared" si="29"/>
        <v>28828.8106763</v>
      </c>
      <c r="G480" s="336">
        <f t="shared" si="28"/>
        <v>5.8306117933804925E-4</v>
      </c>
      <c r="H480" s="109" t="s">
        <v>4</v>
      </c>
      <c r="I480" s="110" t="str">
        <f t="shared" si="30"/>
        <v/>
      </c>
      <c r="J480" s="110">
        <v>0.105</v>
      </c>
      <c r="K480" s="110">
        <f t="shared" si="31"/>
        <v>6.122142383049517E-5</v>
      </c>
    </row>
    <row r="481" spans="2:11" ht="15" customHeight="1">
      <c r="B481" s="333" t="s">
        <v>1071</v>
      </c>
      <c r="C481" s="334" t="s">
        <v>1072</v>
      </c>
      <c r="D481" s="335">
        <v>1092.8419200000001</v>
      </c>
      <c r="E481" s="335">
        <v>26.55</v>
      </c>
      <c r="F481" s="335">
        <f t="shared" si="29"/>
        <v>29014.952976000004</v>
      </c>
      <c r="G481" s="336">
        <f t="shared" si="28"/>
        <v>5.8682589755713996E-4</v>
      </c>
      <c r="H481" s="109">
        <v>6.7796610169491525E-2</v>
      </c>
      <c r="I481" s="110">
        <f t="shared" si="30"/>
        <v>3.9784806614043384E-5</v>
      </c>
      <c r="J481" s="110">
        <v>6.5299999999999997E-2</v>
      </c>
      <c r="K481" s="110">
        <f t="shared" si="31"/>
        <v>3.8319731110481235E-5</v>
      </c>
    </row>
    <row r="482" spans="2:11" ht="15" customHeight="1">
      <c r="B482" s="333" t="s">
        <v>783</v>
      </c>
      <c r="C482" s="334" t="s">
        <v>784</v>
      </c>
      <c r="D482" s="335">
        <v>296.93277999999998</v>
      </c>
      <c r="E482" s="335">
        <v>260.44</v>
      </c>
      <c r="F482" s="335">
        <f t="shared" si="29"/>
        <v>77333.173223199992</v>
      </c>
      <c r="G482" s="336">
        <f t="shared" si="28"/>
        <v>1.5640593601920891E-3</v>
      </c>
      <c r="H482" s="109">
        <v>1.8430348640761787E-2</v>
      </c>
      <c r="I482" s="110">
        <f t="shared" si="30"/>
        <v>2.8826159303187017E-5</v>
      </c>
      <c r="J482" s="110">
        <v>0.16789999999999999</v>
      </c>
      <c r="K482" s="110">
        <f t="shared" si="31"/>
        <v>2.6260556657625175E-4</v>
      </c>
    </row>
    <row r="483" spans="2:11" ht="15" customHeight="1">
      <c r="B483" s="333" t="s">
        <v>1185</v>
      </c>
      <c r="C483" s="334" t="s">
        <v>1186</v>
      </c>
      <c r="D483" s="335">
        <v>245.59926999999999</v>
      </c>
      <c r="E483" s="335">
        <v>88.68</v>
      </c>
      <c r="F483" s="335">
        <f t="shared" si="29"/>
        <v>21779.743263600001</v>
      </c>
      <c r="G483" s="336">
        <f t="shared" si="28"/>
        <v>4.4049416174473901E-4</v>
      </c>
      <c r="H483" s="109">
        <v>5.8637798827244018E-3</v>
      </c>
      <c r="I483" s="110">
        <f t="shared" si="30"/>
        <v>2.5829608040963494E-6</v>
      </c>
      <c r="J483" s="110">
        <v>0.04</v>
      </c>
      <c r="K483" s="110">
        <f t="shared" si="31"/>
        <v>1.7619766469789562E-5</v>
      </c>
    </row>
    <row r="484" spans="2:11" ht="15" customHeight="1">
      <c r="B484" s="333" t="s">
        <v>785</v>
      </c>
      <c r="C484" s="334" t="s">
        <v>786</v>
      </c>
      <c r="D484" s="335">
        <v>129.75488999999999</v>
      </c>
      <c r="E484" s="335">
        <v>295.01</v>
      </c>
      <c r="F484" s="335">
        <f t="shared" si="29"/>
        <v>38278.990098899994</v>
      </c>
      <c r="G484" s="336">
        <f t="shared" si="28"/>
        <v>7.7419056101688097E-4</v>
      </c>
      <c r="H484" s="109">
        <v>7.0506084539507137E-3</v>
      </c>
      <c r="I484" s="110">
        <f t="shared" si="30"/>
        <v>5.4585145144744666E-6</v>
      </c>
      <c r="J484" s="110">
        <v>0.123025</v>
      </c>
      <c r="K484" s="110">
        <f t="shared" si="31"/>
        <v>9.5244793769101783E-5</v>
      </c>
    </row>
    <row r="485" spans="2:11" ht="15" customHeight="1">
      <c r="B485" s="333" t="s">
        <v>787</v>
      </c>
      <c r="C485" s="334" t="s">
        <v>788</v>
      </c>
      <c r="D485" s="335">
        <v>131.02184</v>
      </c>
      <c r="E485" s="335">
        <v>179.53</v>
      </c>
      <c r="F485" s="335">
        <f t="shared" si="29"/>
        <v>23522.3509352</v>
      </c>
      <c r="G485" s="336">
        <f t="shared" si="28"/>
        <v>4.7573831022991789E-4</v>
      </c>
      <c r="H485" s="109">
        <v>1.114019940956943E-2</v>
      </c>
      <c r="I485" s="110">
        <f t="shared" si="30"/>
        <v>5.2998196427328897E-6</v>
      </c>
      <c r="J485" s="110">
        <v>8.7349999999999997E-2</v>
      </c>
      <c r="K485" s="110">
        <f t="shared" si="31"/>
        <v>4.1555741398583325E-5</v>
      </c>
    </row>
    <row r="486" spans="2:11" ht="15" customHeight="1">
      <c r="B486" s="333" t="s">
        <v>789</v>
      </c>
      <c r="C486" s="334" t="s">
        <v>790</v>
      </c>
      <c r="D486" s="335">
        <v>91</v>
      </c>
      <c r="E486" s="335">
        <v>251.56</v>
      </c>
      <c r="F486" s="335">
        <f t="shared" si="29"/>
        <v>22891.96</v>
      </c>
      <c r="G486" s="336">
        <f t="shared" si="28"/>
        <v>4.6298868672831804E-4</v>
      </c>
      <c r="H486" s="109">
        <v>1.2879631101923994E-2</v>
      </c>
      <c r="I486" s="110">
        <f t="shared" si="30"/>
        <v>5.96312348942499E-6</v>
      </c>
      <c r="J486" s="110">
        <v>6.5000000000000002E-2</v>
      </c>
      <c r="K486" s="110">
        <f t="shared" si="31"/>
        <v>3.0094264637340674E-5</v>
      </c>
    </row>
    <row r="487" spans="2:11" ht="15" customHeight="1">
      <c r="B487" s="333" t="s">
        <v>1460</v>
      </c>
      <c r="C487" s="334" t="s">
        <v>1461</v>
      </c>
      <c r="D487" s="335">
        <v>384.10881999999998</v>
      </c>
      <c r="E487" s="335">
        <v>334.82</v>
      </c>
      <c r="F487" s="335">
        <f t="shared" si="29"/>
        <v>128607.31511239999</v>
      </c>
      <c r="G487" s="336" t="str">
        <f t="shared" si="28"/>
        <v/>
      </c>
      <c r="H487" s="109">
        <v>7.4666985245803715E-4</v>
      </c>
      <c r="I487" s="110" t="str">
        <f t="shared" si="30"/>
        <v/>
      </c>
      <c r="J487" s="110">
        <v>0.2079</v>
      </c>
      <c r="K487" s="110" t="str">
        <f t="shared" si="31"/>
        <v/>
      </c>
    </row>
    <row r="488" spans="2:11" ht="15" customHeight="1">
      <c r="B488" s="333" t="s">
        <v>791</v>
      </c>
      <c r="C488" s="334" t="s">
        <v>792</v>
      </c>
      <c r="D488" s="335">
        <v>253.80542</v>
      </c>
      <c r="E488" s="335">
        <v>496.73</v>
      </c>
      <c r="F488" s="335">
        <f t="shared" si="29"/>
        <v>126072.7662766</v>
      </c>
      <c r="G488" s="336" t="str">
        <f t="shared" si="28"/>
        <v/>
      </c>
      <c r="H488" s="109" t="s">
        <v>4</v>
      </c>
      <c r="I488" s="110" t="str">
        <f t="shared" si="30"/>
        <v/>
      </c>
      <c r="J488" s="110">
        <v>0.21739999999999998</v>
      </c>
      <c r="K488" s="110" t="str">
        <f t="shared" si="31"/>
        <v/>
      </c>
    </row>
    <row r="489" spans="2:11" ht="15" customHeight="1">
      <c r="B489" s="333" t="s">
        <v>1195</v>
      </c>
      <c r="C489" s="334" t="s">
        <v>1196</v>
      </c>
      <c r="D489" s="335">
        <v>337.18247000000002</v>
      </c>
      <c r="E489" s="335">
        <v>158.63</v>
      </c>
      <c r="F489" s="335">
        <f t="shared" si="29"/>
        <v>53487.255216100006</v>
      </c>
      <c r="G489" s="336" t="str">
        <f t="shared" si="28"/>
        <v/>
      </c>
      <c r="H489" s="109">
        <v>5.7744436739582683E-3</v>
      </c>
      <c r="I489" s="110" t="str">
        <f t="shared" si="30"/>
        <v/>
      </c>
      <c r="J489" s="110">
        <v>0.53849999999999998</v>
      </c>
      <c r="K489" s="110" t="str">
        <f t="shared" si="31"/>
        <v/>
      </c>
    </row>
    <row r="490" spans="2:11" ht="15" customHeight="1">
      <c r="B490" s="333" t="s">
        <v>793</v>
      </c>
      <c r="C490" s="334" t="s">
        <v>794</v>
      </c>
      <c r="D490" s="335">
        <v>486.16971999999998</v>
      </c>
      <c r="E490" s="335">
        <v>88.8</v>
      </c>
      <c r="F490" s="335">
        <f t="shared" si="29"/>
        <v>43171.871135999994</v>
      </c>
      <c r="G490" s="336" t="str">
        <f t="shared" si="28"/>
        <v/>
      </c>
      <c r="H490" s="109">
        <v>2.3423423423423424E-2</v>
      </c>
      <c r="I490" s="110" t="str">
        <f t="shared" si="30"/>
        <v/>
      </c>
      <c r="J490" s="110">
        <v>0.21995000000000001</v>
      </c>
      <c r="K490" s="110" t="str">
        <f t="shared" si="31"/>
        <v/>
      </c>
    </row>
    <row r="491" spans="2:11" ht="15" customHeight="1">
      <c r="B491" s="333" t="s">
        <v>795</v>
      </c>
      <c r="C491" s="334" t="s">
        <v>796</v>
      </c>
      <c r="D491" s="335">
        <v>1164.5526500000001</v>
      </c>
      <c r="E491" s="335">
        <v>15.88</v>
      </c>
      <c r="F491" s="335">
        <f t="shared" si="29"/>
        <v>18493.096082000004</v>
      </c>
      <c r="G491" s="336">
        <f t="shared" si="28"/>
        <v>3.7402189539671504E-4</v>
      </c>
      <c r="H491" s="109">
        <v>3.0226700251889164E-2</v>
      </c>
      <c r="I491" s="110">
        <f t="shared" si="30"/>
        <v>1.1305447719799949E-5</v>
      </c>
      <c r="J491" s="110">
        <v>0.13589999999999999</v>
      </c>
      <c r="K491" s="110">
        <f t="shared" si="31"/>
        <v>5.082957558441357E-5</v>
      </c>
    </row>
    <row r="492" spans="2:11" ht="15" customHeight="1">
      <c r="B492" s="333" t="s">
        <v>797</v>
      </c>
      <c r="C492" s="334" t="s">
        <v>798</v>
      </c>
      <c r="D492" s="335">
        <v>4175.5589099999997</v>
      </c>
      <c r="E492" s="335">
        <v>42.34</v>
      </c>
      <c r="F492" s="335">
        <f t="shared" si="29"/>
        <v>176793.1642494</v>
      </c>
      <c r="G492" s="336">
        <f t="shared" si="28"/>
        <v>3.5756324464298176E-3</v>
      </c>
      <c r="H492" s="109">
        <v>6.6839867737364195E-2</v>
      </c>
      <c r="I492" s="110">
        <f t="shared" si="30"/>
        <v>2.3899479979679698E-4</v>
      </c>
      <c r="J492" s="110">
        <v>5.0950000000000002E-2</v>
      </c>
      <c r="K492" s="110">
        <f t="shared" si="31"/>
        <v>1.8217847314559921E-4</v>
      </c>
    </row>
    <row r="493" spans="2:11" ht="15" customHeight="1">
      <c r="B493" s="333" t="s">
        <v>799</v>
      </c>
      <c r="C493" s="334" t="s">
        <v>800</v>
      </c>
      <c r="D493" s="335">
        <v>169.67734999999999</v>
      </c>
      <c r="E493" s="335">
        <v>269.60000000000002</v>
      </c>
      <c r="F493" s="335">
        <f t="shared" si="29"/>
        <v>45745.013559999999</v>
      </c>
      <c r="G493" s="336">
        <f t="shared" si="28"/>
        <v>9.2519049275437755E-4</v>
      </c>
      <c r="H493" s="109">
        <v>4.5994065281899105E-3</v>
      </c>
      <c r="I493" s="110">
        <f t="shared" si="30"/>
        <v>4.2553271921937242E-6</v>
      </c>
      <c r="J493" s="110">
        <v>7.8350000000000003E-2</v>
      </c>
      <c r="K493" s="110">
        <f t="shared" si="31"/>
        <v>7.2488675107305482E-5</v>
      </c>
    </row>
    <row r="494" spans="2:11" ht="15" customHeight="1">
      <c r="B494" s="333" t="s">
        <v>801</v>
      </c>
      <c r="C494" s="334" t="s">
        <v>802</v>
      </c>
      <c r="D494" s="335">
        <v>98.185860000000005</v>
      </c>
      <c r="E494" s="335">
        <v>375.04</v>
      </c>
      <c r="F494" s="335">
        <f t="shared" si="29"/>
        <v>36823.624934400003</v>
      </c>
      <c r="G494" s="336">
        <f t="shared" si="28"/>
        <v>7.4475587712690414E-4</v>
      </c>
      <c r="H494" s="109" t="s">
        <v>4</v>
      </c>
      <c r="I494" s="110" t="str">
        <f t="shared" si="30"/>
        <v/>
      </c>
      <c r="J494" s="110">
        <v>0.13055</v>
      </c>
      <c r="K494" s="110">
        <f t="shared" si="31"/>
        <v>9.7227879758917337E-5</v>
      </c>
    </row>
    <row r="495" spans="2:11" ht="15" customHeight="1">
      <c r="B495" s="333" t="s">
        <v>1073</v>
      </c>
      <c r="C495" s="334" t="s">
        <v>1074</v>
      </c>
      <c r="D495" s="335">
        <v>2507.1367</v>
      </c>
      <c r="E495" s="335">
        <v>26.66</v>
      </c>
      <c r="F495" s="335">
        <f t="shared" si="29"/>
        <v>66840.264422000007</v>
      </c>
      <c r="G495" s="336">
        <f t="shared" si="28"/>
        <v>1.3518408316856793E-3</v>
      </c>
      <c r="H495" s="109" t="s">
        <v>4</v>
      </c>
      <c r="I495" s="110" t="str">
        <f t="shared" si="30"/>
        <v/>
      </c>
      <c r="J495" s="110">
        <v>9.5000000000000001E-2</v>
      </c>
      <c r="K495" s="110">
        <f t="shared" si="31"/>
        <v>1.2842487901013953E-4</v>
      </c>
    </row>
    <row r="496" spans="2:11" ht="15" customHeight="1">
      <c r="B496" s="333" t="s">
        <v>1243</v>
      </c>
      <c r="C496" s="334" t="s">
        <v>1244</v>
      </c>
      <c r="D496" s="335">
        <v>201</v>
      </c>
      <c r="E496" s="335">
        <v>122.42</v>
      </c>
      <c r="F496" s="335">
        <f t="shared" si="29"/>
        <v>24606.420000000002</v>
      </c>
      <c r="G496" s="336" t="str">
        <f t="shared" si="28"/>
        <v/>
      </c>
      <c r="H496" s="109" t="s">
        <v>4</v>
      </c>
      <c r="I496" s="110" t="str">
        <f t="shared" si="30"/>
        <v/>
      </c>
      <c r="J496" s="110" t="s">
        <v>4</v>
      </c>
      <c r="K496" s="110" t="str">
        <f t="shared" si="31"/>
        <v/>
      </c>
    </row>
    <row r="497" spans="2:11" ht="15" customHeight="1">
      <c r="B497" s="333" t="s">
        <v>803</v>
      </c>
      <c r="C497" s="334" t="s">
        <v>804</v>
      </c>
      <c r="D497" s="335">
        <v>365.97206999999997</v>
      </c>
      <c r="E497" s="335">
        <v>638.72</v>
      </c>
      <c r="F497" s="335">
        <f t="shared" si="29"/>
        <v>233753.68055039999</v>
      </c>
      <c r="G497" s="336" t="str">
        <f t="shared" si="28"/>
        <v/>
      </c>
      <c r="H497" s="109">
        <v>9.3937875751503002E-4</v>
      </c>
      <c r="I497" s="110" t="str">
        <f t="shared" si="30"/>
        <v/>
      </c>
      <c r="J497" s="110">
        <v>0.63780000000000003</v>
      </c>
      <c r="K497" s="110" t="str">
        <f t="shared" si="31"/>
        <v/>
      </c>
    </row>
    <row r="498" spans="2:11" ht="15" customHeight="1">
      <c r="B498" s="333" t="s">
        <v>805</v>
      </c>
      <c r="C498" s="334" t="s">
        <v>32</v>
      </c>
      <c r="D498" s="335">
        <v>325.72568000000001</v>
      </c>
      <c r="E498" s="335">
        <v>116.77</v>
      </c>
      <c r="F498" s="335">
        <f t="shared" si="29"/>
        <v>38034.987653600001</v>
      </c>
      <c r="G498" s="336">
        <f t="shared" si="28"/>
        <v>7.6925562439686488E-4</v>
      </c>
      <c r="H498" s="109">
        <v>3.26282435557078E-2</v>
      </c>
      <c r="I498" s="110">
        <f t="shared" si="30"/>
        <v>2.5099459869418988E-5</v>
      </c>
      <c r="J498" s="110">
        <v>6.8499999999999991E-2</v>
      </c>
      <c r="K498" s="110">
        <f t="shared" si="31"/>
        <v>5.2694010271185236E-5</v>
      </c>
    </row>
    <row r="499" spans="2:11" ht="15" customHeight="1">
      <c r="B499" s="333" t="s">
        <v>806</v>
      </c>
      <c r="C499" s="334" t="s">
        <v>807</v>
      </c>
      <c r="D499" s="335">
        <v>705.91444999999999</v>
      </c>
      <c r="E499" s="335">
        <v>226.97</v>
      </c>
      <c r="F499" s="335">
        <f t="shared" si="29"/>
        <v>160221.40271649999</v>
      </c>
      <c r="G499" s="336">
        <f t="shared" si="28"/>
        <v>3.2404694412134782E-3</v>
      </c>
      <c r="H499" s="109">
        <v>1.304137110631361E-2</v>
      </c>
      <c r="I499" s="110">
        <f t="shared" si="30"/>
        <v>4.2260164541533663E-5</v>
      </c>
      <c r="J499" s="110">
        <v>0.12855</v>
      </c>
      <c r="K499" s="110">
        <f t="shared" si="31"/>
        <v>4.1656234666799264E-4</v>
      </c>
    </row>
    <row r="500" spans="2:11" ht="15" customHeight="1">
      <c r="B500" s="333" t="s">
        <v>808</v>
      </c>
      <c r="C500" s="334" t="s">
        <v>809</v>
      </c>
      <c r="D500" s="335">
        <v>3060.1894900000002</v>
      </c>
      <c r="E500" s="335">
        <v>82.64</v>
      </c>
      <c r="F500" s="335">
        <f t="shared" si="29"/>
        <v>252894.05945360003</v>
      </c>
      <c r="G500" s="336">
        <f t="shared" si="28"/>
        <v>5.114769048513778E-3</v>
      </c>
      <c r="H500" s="109">
        <v>2.1781219748305904E-2</v>
      </c>
      <c r="I500" s="110">
        <f t="shared" si="30"/>
        <v>1.114059086075121E-4</v>
      </c>
      <c r="J500" s="110">
        <v>0.19455</v>
      </c>
      <c r="K500" s="110">
        <f t="shared" si="31"/>
        <v>9.9507831838835555E-4</v>
      </c>
    </row>
    <row r="501" spans="2:11" ht="15" customHeight="1">
      <c r="B501" s="333" t="s">
        <v>810</v>
      </c>
      <c r="C501" s="334" t="s">
        <v>811</v>
      </c>
      <c r="D501" s="335">
        <v>401.57575000000003</v>
      </c>
      <c r="E501" s="335">
        <v>222.88</v>
      </c>
      <c r="F501" s="335">
        <f t="shared" si="29"/>
        <v>89503.203160000005</v>
      </c>
      <c r="G501" s="336">
        <f t="shared" si="28"/>
        <v>1.8101975754381122E-3</v>
      </c>
      <c r="H501" s="109">
        <v>1.6959798994974875E-2</v>
      </c>
      <c r="I501" s="110">
        <f t="shared" si="30"/>
        <v>3.0700587020621254E-5</v>
      </c>
      <c r="J501" s="110">
        <v>0.10005</v>
      </c>
      <c r="K501" s="110">
        <f t="shared" si="31"/>
        <v>1.8111026742258313E-4</v>
      </c>
    </row>
    <row r="502" spans="2:11" ht="15" customHeight="1">
      <c r="B502" s="333" t="s">
        <v>812</v>
      </c>
      <c r="C502" s="334" t="s">
        <v>813</v>
      </c>
      <c r="D502" s="335">
        <v>1222.8569500000001</v>
      </c>
      <c r="E502" s="335">
        <v>74.34</v>
      </c>
      <c r="F502" s="335">
        <f t="shared" si="29"/>
        <v>90907.185663000011</v>
      </c>
      <c r="G502" s="336">
        <f t="shared" si="28"/>
        <v>1.8385930477023268E-3</v>
      </c>
      <c r="H502" s="109">
        <v>2.8248587570621469E-2</v>
      </c>
      <c r="I502" s="110">
        <f t="shared" si="30"/>
        <v>5.1937656714754992E-5</v>
      </c>
      <c r="J502" s="110">
        <v>0.15775</v>
      </c>
      <c r="K502" s="110">
        <f t="shared" si="31"/>
        <v>2.9003805327504204E-4</v>
      </c>
    </row>
    <row r="503" spans="2:11" ht="15" customHeight="1">
      <c r="B503" s="333" t="s">
        <v>814</v>
      </c>
      <c r="C503" s="334" t="s">
        <v>815</v>
      </c>
      <c r="D503" s="335">
        <v>7958.0791600000002</v>
      </c>
      <c r="E503" s="335">
        <v>113.26</v>
      </c>
      <c r="F503" s="335">
        <f t="shared" si="29"/>
        <v>901332.04566160007</v>
      </c>
      <c r="G503" s="336">
        <f t="shared" si="28"/>
        <v>1.82293932073537E-2</v>
      </c>
      <c r="H503" s="109">
        <v>8.7409500264877277E-3</v>
      </c>
      <c r="I503" s="110">
        <f t="shared" si="30"/>
        <v>1.5934221503867353E-4</v>
      </c>
      <c r="J503" s="110">
        <v>9.5849999999999991E-2</v>
      </c>
      <c r="K503" s="110">
        <f t="shared" si="31"/>
        <v>1.7472873389248521E-3</v>
      </c>
    </row>
    <row r="504" spans="2:11" ht="15" customHeight="1">
      <c r="B504" s="333" t="s">
        <v>816</v>
      </c>
      <c r="C504" s="334" t="s">
        <v>817</v>
      </c>
      <c r="D504" s="335">
        <v>372.27672999999999</v>
      </c>
      <c r="E504" s="335">
        <v>70.53</v>
      </c>
      <c r="F504" s="335">
        <f t="shared" si="29"/>
        <v>26256.6777669</v>
      </c>
      <c r="G504" s="336">
        <f t="shared" si="28"/>
        <v>5.3103992655699462E-4</v>
      </c>
      <c r="H504" s="109">
        <v>5.671345526726216E-3</v>
      </c>
      <c r="I504" s="110">
        <f t="shared" si="30"/>
        <v>3.0117109119920295E-6</v>
      </c>
      <c r="J504" s="110">
        <v>7.0150000000000004E-2</v>
      </c>
      <c r="K504" s="110">
        <f t="shared" si="31"/>
        <v>3.7252450847973174E-5</v>
      </c>
    </row>
    <row r="505" spans="2:11" ht="15" customHeight="1">
      <c r="B505" s="333" t="s">
        <v>1166</v>
      </c>
      <c r="C505" s="334" t="s">
        <v>1167</v>
      </c>
      <c r="D505" s="335">
        <v>117.74661</v>
      </c>
      <c r="E505" s="335">
        <v>233.1</v>
      </c>
      <c r="F505" s="335">
        <f t="shared" si="29"/>
        <v>27446.734790999999</v>
      </c>
      <c r="G505" s="336">
        <f t="shared" si="28"/>
        <v>5.5510876726438127E-4</v>
      </c>
      <c r="H505" s="109">
        <v>1.3041613041613042E-2</v>
      </c>
      <c r="I505" s="110">
        <f t="shared" si="30"/>
        <v>7.2395137386688938E-6</v>
      </c>
      <c r="J505" s="110">
        <v>0.1033</v>
      </c>
      <c r="K505" s="110">
        <f t="shared" si="31"/>
        <v>5.7342735658410587E-5</v>
      </c>
    </row>
    <row r="506" spans="2:11" ht="15" customHeight="1">
      <c r="B506" s="333" t="s">
        <v>818</v>
      </c>
      <c r="C506" s="334" t="s">
        <v>819</v>
      </c>
      <c r="D506" s="335">
        <v>70.647599999999997</v>
      </c>
      <c r="E506" s="335">
        <v>359</v>
      </c>
      <c r="F506" s="335">
        <f t="shared" si="29"/>
        <v>25362.488399999998</v>
      </c>
      <c r="G506" s="336">
        <f t="shared" si="28"/>
        <v>5.1295499365184107E-4</v>
      </c>
      <c r="H506" s="109">
        <v>2.4512534818941505E-3</v>
      </c>
      <c r="I506" s="110">
        <f t="shared" si="30"/>
        <v>1.2573827142440672E-6</v>
      </c>
      <c r="J506" s="110">
        <v>9.4099999999999989E-2</v>
      </c>
      <c r="K506" s="110">
        <f t="shared" si="31"/>
        <v>4.8269064902638238E-5</v>
      </c>
    </row>
    <row r="507" spans="2:11" ht="15" customHeight="1">
      <c r="B507" s="333" t="s">
        <v>820</v>
      </c>
      <c r="C507" s="334" t="s">
        <v>821</v>
      </c>
      <c r="D507" s="335">
        <v>94.447980000000001</v>
      </c>
      <c r="E507" s="335">
        <v>261.37</v>
      </c>
      <c r="F507" s="335">
        <f t="shared" si="29"/>
        <v>24685.868532600001</v>
      </c>
      <c r="G507" s="336">
        <f t="shared" si="28"/>
        <v>4.992703924284502E-4</v>
      </c>
      <c r="H507" s="109">
        <v>1.4691816199257756E-2</v>
      </c>
      <c r="I507" s="110">
        <f t="shared" si="30"/>
        <v>7.3351888392900812E-6</v>
      </c>
      <c r="J507" s="110">
        <v>0.10475000000000001</v>
      </c>
      <c r="K507" s="110">
        <f t="shared" si="31"/>
        <v>5.2298573606880161E-5</v>
      </c>
    </row>
    <row r="508" spans="2:11" ht="15" customHeight="1">
      <c r="B508" s="333" t="s">
        <v>822</v>
      </c>
      <c r="C508" s="334" t="s">
        <v>823</v>
      </c>
      <c r="D508" s="335">
        <v>721.04300000000001</v>
      </c>
      <c r="E508" s="335">
        <v>23.94</v>
      </c>
      <c r="F508" s="335">
        <f t="shared" si="29"/>
        <v>17261.769420000001</v>
      </c>
      <c r="G508" s="336" t="str">
        <f t="shared" si="28"/>
        <v/>
      </c>
      <c r="H508" s="109">
        <v>3.5087719298245612E-2</v>
      </c>
      <c r="I508" s="110" t="str">
        <f t="shared" si="30"/>
        <v/>
      </c>
      <c r="J508" s="110">
        <v>0.33679999999999999</v>
      </c>
      <c r="K508" s="110" t="str">
        <f t="shared" si="31"/>
        <v/>
      </c>
    </row>
    <row r="509" spans="2:11" ht="15" customHeight="1">
      <c r="B509" s="333" t="s">
        <v>824</v>
      </c>
      <c r="C509" s="334" t="s">
        <v>825</v>
      </c>
      <c r="D509" s="335">
        <v>103.78673000000001</v>
      </c>
      <c r="E509" s="335">
        <v>97.09</v>
      </c>
      <c r="F509" s="335">
        <f t="shared" si="29"/>
        <v>10076.653615700001</v>
      </c>
      <c r="G509" s="336">
        <f t="shared" si="28"/>
        <v>2.037997892775062E-4</v>
      </c>
      <c r="H509" s="109">
        <v>1.0299721907508497E-2</v>
      </c>
      <c r="I509" s="110">
        <f t="shared" si="30"/>
        <v>2.099081154367146E-6</v>
      </c>
      <c r="J509" s="110">
        <v>0.10894999999999999</v>
      </c>
      <c r="K509" s="110">
        <f t="shared" si="31"/>
        <v>2.2203987041784299E-5</v>
      </c>
    </row>
    <row r="510" spans="2:11" ht="15" customHeight="1">
      <c r="B510" s="333" t="s">
        <v>826</v>
      </c>
      <c r="C510" s="334" t="s">
        <v>33</v>
      </c>
      <c r="D510" s="335">
        <v>624.26955999999996</v>
      </c>
      <c r="E510" s="335">
        <v>80.3</v>
      </c>
      <c r="F510" s="335">
        <f t="shared" si="29"/>
        <v>50128.845667999994</v>
      </c>
      <c r="G510" s="336" t="str">
        <f t="shared" si="28"/>
        <v/>
      </c>
      <c r="H510" s="109">
        <v>2.9514321295143215E-2</v>
      </c>
      <c r="I510" s="110" t="str">
        <f t="shared" si="30"/>
        <v/>
      </c>
      <c r="J510" s="110">
        <v>0.27</v>
      </c>
      <c r="K510" s="110" t="str">
        <f t="shared" si="31"/>
        <v/>
      </c>
    </row>
    <row r="511" spans="2:11" ht="15" customHeight="1">
      <c r="B511" s="333" t="s">
        <v>827</v>
      </c>
      <c r="C511" s="334" t="s">
        <v>828</v>
      </c>
      <c r="D511" s="335">
        <v>4144.4555600000003</v>
      </c>
      <c r="E511" s="335">
        <v>136.72</v>
      </c>
      <c r="F511" s="335">
        <f t="shared" si="29"/>
        <v>566629.9641632</v>
      </c>
      <c r="G511" s="336">
        <f t="shared" si="28"/>
        <v>1.1460061216638237E-2</v>
      </c>
      <c r="H511" s="109">
        <v>3.0134581626682273E-2</v>
      </c>
      <c r="I511" s="110">
        <f t="shared" si="30"/>
        <v>3.4534415017956071E-4</v>
      </c>
      <c r="J511" s="110">
        <v>0.14654999999999999</v>
      </c>
      <c r="K511" s="110">
        <f t="shared" si="31"/>
        <v>1.6794719712983335E-3</v>
      </c>
    </row>
    <row r="512" spans="2:11" ht="15" customHeight="1">
      <c r="B512" s="333" t="s">
        <v>829</v>
      </c>
      <c r="C512" s="334" t="s">
        <v>830</v>
      </c>
      <c r="D512" s="335">
        <v>237.69349</v>
      </c>
      <c r="E512" s="335">
        <v>118.21</v>
      </c>
      <c r="F512" s="335">
        <f t="shared" si="29"/>
        <v>28097.747452899999</v>
      </c>
      <c r="G512" s="336">
        <f t="shared" si="28"/>
        <v>5.682754641036466E-4</v>
      </c>
      <c r="H512" s="109">
        <v>1.4550376448693005E-2</v>
      </c>
      <c r="I512" s="110">
        <f t="shared" si="30"/>
        <v>8.2686219292637865E-6</v>
      </c>
      <c r="J512" s="110">
        <v>2.5000000000000001E-2</v>
      </c>
      <c r="K512" s="110">
        <f t="shared" si="31"/>
        <v>1.4206886602591166E-5</v>
      </c>
    </row>
    <row r="513" spans="2:11" ht="15" customHeight="1">
      <c r="B513" s="333" t="s">
        <v>1226</v>
      </c>
      <c r="C513" s="334" t="s">
        <v>1227</v>
      </c>
      <c r="D513" s="335">
        <v>535.19500000000005</v>
      </c>
      <c r="E513" s="335">
        <v>76</v>
      </c>
      <c r="F513" s="335">
        <f t="shared" si="29"/>
        <v>40674.820000000007</v>
      </c>
      <c r="G513" s="336">
        <f t="shared" si="28"/>
        <v>8.2264609472979715E-4</v>
      </c>
      <c r="H513" s="109" t="s">
        <v>4</v>
      </c>
      <c r="I513" s="110" t="str">
        <f t="shared" si="30"/>
        <v/>
      </c>
      <c r="J513" s="110">
        <v>8.5000000000000006E-2</v>
      </c>
      <c r="K513" s="110">
        <f t="shared" si="31"/>
        <v>6.9924918052032768E-5</v>
      </c>
    </row>
    <row r="514" spans="2:11" ht="15" customHeight="1">
      <c r="B514" s="333" t="s">
        <v>831</v>
      </c>
      <c r="C514" s="334" t="s">
        <v>832</v>
      </c>
      <c r="D514" s="335">
        <v>275.62119999999999</v>
      </c>
      <c r="E514" s="335">
        <v>159.86000000000001</v>
      </c>
      <c r="F514" s="335">
        <f t="shared" si="29"/>
        <v>44060.805032000004</v>
      </c>
      <c r="G514" s="336">
        <f t="shared" si="28"/>
        <v>8.9112746387631943E-4</v>
      </c>
      <c r="H514" s="109">
        <v>1.8766420618040784E-2</v>
      </c>
      <c r="I514" s="110">
        <f t="shared" si="30"/>
        <v>1.6723272811390956E-5</v>
      </c>
      <c r="J514" s="110">
        <v>0.10949999999999999</v>
      </c>
      <c r="K514" s="110">
        <f t="shared" si="31"/>
        <v>9.757845729445696E-5</v>
      </c>
    </row>
    <row r="515" spans="2:11" ht="15" customHeight="1">
      <c r="B515" s="333" t="s">
        <v>833</v>
      </c>
      <c r="C515" s="334" t="s">
        <v>834</v>
      </c>
      <c r="D515" s="335">
        <v>193.46248</v>
      </c>
      <c r="E515" s="335">
        <v>86.09</v>
      </c>
      <c r="F515" s="335">
        <f t="shared" si="29"/>
        <v>16655.184903199999</v>
      </c>
      <c r="G515" s="336">
        <f t="shared" si="28"/>
        <v>3.3685023849202412E-4</v>
      </c>
      <c r="H515" s="109">
        <v>1.1151120919967474E-2</v>
      </c>
      <c r="I515" s="110">
        <f t="shared" si="30"/>
        <v>3.7562577413444433E-6</v>
      </c>
      <c r="J515" s="110">
        <v>5.5400000000000005E-2</v>
      </c>
      <c r="K515" s="110">
        <f t="shared" si="31"/>
        <v>1.8661503212458139E-5</v>
      </c>
    </row>
    <row r="516" spans="2:11" ht="15" customHeight="1">
      <c r="B516" s="333" t="s">
        <v>835</v>
      </c>
      <c r="C516" s="334" t="s">
        <v>836</v>
      </c>
      <c r="D516" s="335">
        <v>47.633389999999999</v>
      </c>
      <c r="E516" s="335">
        <v>263.26</v>
      </c>
      <c r="F516" s="335">
        <f t="shared" si="29"/>
        <v>12539.966251399999</v>
      </c>
      <c r="G516" s="336">
        <f t="shared" si="28"/>
        <v>2.5362015774765964E-4</v>
      </c>
      <c r="H516" s="109" t="s">
        <v>4</v>
      </c>
      <c r="I516" s="110" t="str">
        <f t="shared" si="30"/>
        <v/>
      </c>
      <c r="J516" s="110">
        <v>6.5000000000000002E-2</v>
      </c>
      <c r="K516" s="110">
        <f t="shared" si="31"/>
        <v>1.6485310253597877E-5</v>
      </c>
    </row>
    <row r="517" spans="2:11" ht="15" customHeight="1">
      <c r="B517" s="333" t="s">
        <v>837</v>
      </c>
      <c r="C517" s="334" t="s">
        <v>838</v>
      </c>
      <c r="D517" s="335">
        <v>419.22811999999999</v>
      </c>
      <c r="E517" s="335">
        <v>71.86</v>
      </c>
      <c r="F517" s="335">
        <f t="shared" si="29"/>
        <v>30125.732703199999</v>
      </c>
      <c r="G517" s="336">
        <f t="shared" si="28"/>
        <v>6.092913591052453E-4</v>
      </c>
      <c r="H517" s="109">
        <v>2.9501809073197886E-2</v>
      </c>
      <c r="I517" s="110">
        <f t="shared" si="30"/>
        <v>1.7975197346272197E-5</v>
      </c>
      <c r="J517" s="110">
        <v>8.8300000000000003E-2</v>
      </c>
      <c r="K517" s="110">
        <f t="shared" si="31"/>
        <v>5.380042700899316E-5</v>
      </c>
    </row>
    <row r="518" spans="2:11" ht="15" customHeight="1">
      <c r="B518" s="333"/>
      <c r="C518" s="334"/>
      <c r="D518" s="335"/>
      <c r="E518" s="335"/>
      <c r="F518" s="335"/>
      <c r="G518" s="336"/>
      <c r="H518" s="109"/>
      <c r="I518" s="110"/>
      <c r="J518" s="110"/>
      <c r="K518" s="110"/>
    </row>
    <row r="519" spans="2:11" ht="15" customHeight="1">
      <c r="B519" s="337" t="s">
        <v>839</v>
      </c>
      <c r="C519" s="324"/>
      <c r="D519" s="338"/>
      <c r="E519" s="338"/>
      <c r="F519" s="338"/>
    </row>
    <row r="520" spans="2:11" ht="15" customHeight="1">
      <c r="B520" s="108" t="s">
        <v>840</v>
      </c>
      <c r="C520" s="108"/>
      <c r="D520" s="108"/>
      <c r="E520" s="108"/>
      <c r="F520" s="108"/>
    </row>
    <row r="521" spans="2:11" ht="15" customHeight="1">
      <c r="B521" s="108" t="s">
        <v>841</v>
      </c>
      <c r="C521" s="108"/>
      <c r="D521" s="108"/>
      <c r="E521" s="108"/>
      <c r="F521" s="108"/>
    </row>
    <row r="522" spans="2:11" ht="15" customHeight="1">
      <c r="B522" s="329" t="s">
        <v>842</v>
      </c>
      <c r="C522" s="108"/>
      <c r="D522" s="108"/>
      <c r="E522" s="108"/>
      <c r="F522" s="108"/>
    </row>
    <row r="523" spans="2:11" ht="15" customHeight="1">
      <c r="B523" s="329" t="s">
        <v>1519</v>
      </c>
      <c r="C523" s="108"/>
      <c r="D523" s="108"/>
      <c r="E523" s="108"/>
      <c r="F523" s="108"/>
    </row>
    <row r="524" spans="2:11" ht="15" customHeight="1">
      <c r="B524" s="329" t="s">
        <v>1520</v>
      </c>
      <c r="C524" s="108"/>
      <c r="D524" s="108"/>
      <c r="E524" s="108"/>
      <c r="F524" s="108"/>
    </row>
    <row r="525" spans="2:11" ht="15" customHeight="1">
      <c r="B525" s="329" t="s">
        <v>843</v>
      </c>
      <c r="C525" s="108"/>
      <c r="D525" s="108"/>
      <c r="E525" s="108"/>
      <c r="F525" s="108"/>
    </row>
    <row r="526" spans="2:11" ht="15" customHeight="1">
      <c r="B526" s="108" t="s">
        <v>844</v>
      </c>
      <c r="C526" s="108"/>
      <c r="D526" s="108"/>
      <c r="E526" s="108"/>
      <c r="F526" s="108"/>
    </row>
    <row r="527" spans="2:11" ht="15" customHeight="1">
      <c r="B527" s="329" t="s">
        <v>1522</v>
      </c>
      <c r="C527" s="108"/>
      <c r="D527" s="108"/>
      <c r="E527" s="108"/>
      <c r="F527" s="108"/>
    </row>
    <row r="528" spans="2:11" ht="15" customHeight="1">
      <c r="B528" s="108" t="s">
        <v>845</v>
      </c>
      <c r="C528" s="108"/>
      <c r="D528" s="108"/>
      <c r="E528" s="108"/>
      <c r="F528" s="108"/>
    </row>
    <row r="529" spans="2:6" ht="15" customHeight="1">
      <c r="B529" s="108" t="s">
        <v>1521</v>
      </c>
      <c r="C529" s="108"/>
      <c r="D529" s="108"/>
      <c r="E529" s="108"/>
      <c r="F529" s="108"/>
    </row>
    <row r="530" spans="2:6" ht="15" customHeight="1">
      <c r="B530" s="108" t="s">
        <v>846</v>
      </c>
      <c r="C530" s="108"/>
      <c r="D530" s="108"/>
      <c r="E530" s="108"/>
      <c r="F530" s="108"/>
    </row>
  </sheetData>
  <mergeCells count="1">
    <mergeCell ref="B1:K1"/>
  </mergeCells>
  <printOptions horizontalCentered="1"/>
  <pageMargins left="0.7" right="0.7" top="1.25" bottom="0.75" header="0.3" footer="0.3"/>
  <pageSetup scale="45" orientation="portrait" useFirstPageNumber="1" horizontalDpi="1200" verticalDpi="1200" r:id="rId1"/>
  <headerFooter scaleWithDoc="0">
    <oddHeader>&amp;C&amp;"Times New Roman,Regular"&amp;9MIDAMERICAN ENERGY COMPANY
2026 SOUTH DAKOTA GAS RATE CASE
Docket No. NG26-____
FOR THE YEAR ENDING DECEMBER 31, 2025
Individual Responsible: Ann Bulkley&amp;R&amp;"Times New Roman,Regular"&amp;9Exhibit AEB 1.1
&amp;A
Page &amp;P of &amp;N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autoPageBreaks="0"/>
  </sheetPr>
  <dimension ref="B3:AG237"/>
  <sheetViews>
    <sheetView showGridLines="0" view="pageLayout" zoomScale="70" zoomScaleNormal="100" zoomScaleSheetLayoutView="75" zoomScalePageLayoutView="70" workbookViewId="0">
      <selection activeCell="G15" sqref="G15"/>
    </sheetView>
  </sheetViews>
  <sheetFormatPr defaultColWidth="8.5703125" defaultRowHeight="15" customHeight="1"/>
  <cols>
    <col min="1" max="1" width="3.42578125" style="111" customWidth="1"/>
    <col min="2" max="2" width="10.42578125" style="111" customWidth="1"/>
    <col min="3" max="3" width="13.5703125" style="111" customWidth="1"/>
    <col min="4" max="4" width="12.5703125" style="111" customWidth="1"/>
    <col min="5" max="5" width="10.5703125" style="111" customWidth="1"/>
    <col min="6" max="6" width="8.5703125" style="111"/>
    <col min="7" max="7" width="30" style="111" customWidth="1"/>
    <col min="8" max="8" width="12.5703125" style="111" bestFit="1" customWidth="1"/>
    <col min="9" max="9" width="13.5703125" style="111" bestFit="1" customWidth="1"/>
    <col min="10" max="10" width="12.5703125" style="111" bestFit="1" customWidth="1"/>
    <col min="11" max="11" width="14" style="111" customWidth="1"/>
    <col min="12" max="12" width="13.28515625" style="111" bestFit="1" customWidth="1"/>
    <col min="13" max="15" width="12.5703125" style="111" bestFit="1" customWidth="1"/>
    <col min="16" max="18" width="8.5703125" style="111"/>
    <col min="19" max="19" width="18.5703125" style="111" bestFit="1" customWidth="1"/>
    <col min="20" max="20" width="12.42578125" style="111" bestFit="1" customWidth="1"/>
    <col min="21" max="21" width="15" style="111" bestFit="1" customWidth="1"/>
    <col min="22" max="22" width="10.5703125" style="111" bestFit="1" customWidth="1"/>
    <col min="23" max="23" width="12.7109375" style="111" bestFit="1" customWidth="1"/>
    <col min="24" max="24" width="14.7109375" style="111" bestFit="1" customWidth="1"/>
    <col min="25" max="25" width="11.5703125" style="111" bestFit="1" customWidth="1"/>
    <col min="26" max="27" width="13.28515625" style="111" bestFit="1" customWidth="1"/>
    <col min="28" max="16384" width="8.5703125" style="111"/>
  </cols>
  <sheetData>
    <row r="3" spans="2:33" ht="15" customHeight="1">
      <c r="G3" s="363" t="s">
        <v>1016</v>
      </c>
      <c r="H3" s="363"/>
      <c r="I3" s="363"/>
      <c r="J3" s="363"/>
      <c r="K3" s="363"/>
      <c r="L3" s="363"/>
      <c r="M3" s="363"/>
      <c r="N3" s="363"/>
      <c r="O3" s="363"/>
      <c r="Q3" s="112"/>
      <c r="R3" s="112"/>
      <c r="S3" s="112"/>
      <c r="T3" s="112"/>
      <c r="U3" s="112"/>
      <c r="V3" s="112"/>
      <c r="W3" s="112"/>
      <c r="X3" s="112"/>
      <c r="Y3" s="112"/>
      <c r="Z3" s="112"/>
      <c r="AA3" s="112"/>
      <c r="AB3" s="112"/>
      <c r="AC3" s="112"/>
      <c r="AD3" s="112"/>
      <c r="AE3" s="112"/>
      <c r="AF3" s="112"/>
      <c r="AG3" s="112"/>
    </row>
    <row r="4" spans="2:33" ht="15" customHeight="1">
      <c r="B4" s="363" t="s">
        <v>1016</v>
      </c>
      <c r="C4" s="363"/>
      <c r="D4" s="363"/>
      <c r="E4" s="363"/>
    </row>
    <row r="6" spans="2:33" ht="15" customHeight="1" thickBot="1">
      <c r="B6" s="113"/>
      <c r="C6" s="114" t="s">
        <v>859</v>
      </c>
      <c r="D6" s="114" t="s">
        <v>860</v>
      </c>
      <c r="E6" s="114" t="s">
        <v>861</v>
      </c>
    </row>
    <row r="7" spans="2:33" ht="37.5" customHeight="1">
      <c r="B7" s="115" t="s">
        <v>1017</v>
      </c>
      <c r="C7" s="116" t="s">
        <v>1365</v>
      </c>
      <c r="D7" s="116" t="s">
        <v>1018</v>
      </c>
      <c r="E7" s="116" t="s">
        <v>872</v>
      </c>
    </row>
    <row r="8" spans="2:33" ht="15" customHeight="1">
      <c r="B8" s="117">
        <v>1980.1</v>
      </c>
      <c r="C8" s="118">
        <v>0.13446153846153847</v>
      </c>
      <c r="D8" s="119">
        <v>0.11657096774193544</v>
      </c>
      <c r="E8" s="118">
        <f>C8-D8</f>
        <v>1.7890570719603024E-2</v>
      </c>
    </row>
    <row r="9" spans="2:33" ht="15" customHeight="1">
      <c r="B9" s="117">
        <v>1980.2</v>
      </c>
      <c r="C9" s="120">
        <v>0.14377777777777778</v>
      </c>
      <c r="D9" s="119">
        <v>0.10524920634920633</v>
      </c>
      <c r="E9" s="120">
        <f t="shared" ref="E9:E72" si="0">C9-D9</f>
        <v>3.8528571428571454E-2</v>
      </c>
    </row>
    <row r="10" spans="2:33" ht="15" customHeight="1">
      <c r="B10" s="117">
        <v>1980.3</v>
      </c>
      <c r="C10" s="120">
        <v>0.13874166666666668</v>
      </c>
      <c r="D10" s="119">
        <v>0.1085</v>
      </c>
      <c r="E10" s="120">
        <f t="shared" si="0"/>
        <v>3.0241666666666681E-2</v>
      </c>
    </row>
    <row r="11" spans="2:33" ht="15" customHeight="1">
      <c r="B11" s="117">
        <v>1980.4</v>
      </c>
      <c r="C11" s="120">
        <v>0.14350434782608698</v>
      </c>
      <c r="D11" s="119">
        <v>0.12096229508196724</v>
      </c>
      <c r="E11" s="120">
        <f t="shared" si="0"/>
        <v>2.2542052744119745E-2</v>
      </c>
    </row>
    <row r="12" spans="2:33" ht="15" customHeight="1">
      <c r="B12" s="117">
        <v>1981.1</v>
      </c>
      <c r="C12" s="120">
        <v>0.14712500000000001</v>
      </c>
      <c r="D12" s="119">
        <v>0.12533278688524591</v>
      </c>
      <c r="E12" s="120">
        <f t="shared" si="0"/>
        <v>2.17922131147541E-2</v>
      </c>
    </row>
    <row r="13" spans="2:33" ht="15" customHeight="1">
      <c r="B13" s="117">
        <v>1981.2</v>
      </c>
      <c r="C13" s="120">
        <v>0.14607000000000001</v>
      </c>
      <c r="D13" s="119">
        <v>0.13242857142857142</v>
      </c>
      <c r="E13" s="120">
        <f t="shared" si="0"/>
        <v>1.3641428571428582E-2</v>
      </c>
    </row>
    <row r="14" spans="2:33" ht="15" customHeight="1">
      <c r="B14" s="117">
        <v>1981.3</v>
      </c>
      <c r="C14" s="120">
        <v>0.14856111111111112</v>
      </c>
      <c r="D14" s="119">
        <v>0.14132343749999998</v>
      </c>
      <c r="E14" s="120">
        <f t="shared" si="0"/>
        <v>7.2376736111111339E-3</v>
      </c>
    </row>
    <row r="15" spans="2:33" ht="15" customHeight="1">
      <c r="B15" s="117">
        <v>1981.4</v>
      </c>
      <c r="C15" s="120">
        <v>0.15704782608695653</v>
      </c>
      <c r="D15" s="119">
        <v>0.13847868852459014</v>
      </c>
      <c r="E15" s="120">
        <f t="shared" si="0"/>
        <v>1.8569137562366389E-2</v>
      </c>
    </row>
    <row r="16" spans="2:33" ht="15" customHeight="1">
      <c r="B16" s="117">
        <v>1982.1</v>
      </c>
      <c r="C16" s="120">
        <v>0.15552666666666667</v>
      </c>
      <c r="D16" s="119">
        <v>0.13962131147540985</v>
      </c>
      <c r="E16" s="120">
        <f t="shared" si="0"/>
        <v>1.5905355191256826E-2</v>
      </c>
    </row>
    <row r="17" spans="2:15" ht="15" customHeight="1">
      <c r="B17" s="117">
        <v>1982.2</v>
      </c>
      <c r="C17" s="120">
        <v>0.15621249999999998</v>
      </c>
      <c r="D17" s="119">
        <v>0.13521904761904768</v>
      </c>
      <c r="E17" s="120">
        <f t="shared" si="0"/>
        <v>2.0993452380952293E-2</v>
      </c>
    </row>
    <row r="18" spans="2:15" ht="15" customHeight="1">
      <c r="B18" s="117">
        <v>1982.3</v>
      </c>
      <c r="C18" s="120">
        <v>0.15765714285714288</v>
      </c>
      <c r="D18" s="119">
        <v>0.12794375000000005</v>
      </c>
      <c r="E18" s="120">
        <f t="shared" si="0"/>
        <v>2.9713392857142834E-2</v>
      </c>
    </row>
    <row r="19" spans="2:15" ht="15" customHeight="1">
      <c r="B19" s="117">
        <v>1982.4</v>
      </c>
      <c r="C19" s="120">
        <v>0.15631999999999996</v>
      </c>
      <c r="D19" s="119">
        <v>0.10746229508196721</v>
      </c>
      <c r="E19" s="120">
        <f t="shared" si="0"/>
        <v>4.8857704918032749E-2</v>
      </c>
    </row>
    <row r="20" spans="2:15" ht="15" customHeight="1">
      <c r="B20" s="117">
        <v>1983.1</v>
      </c>
      <c r="C20" s="120">
        <v>0.15413999999999997</v>
      </c>
      <c r="D20" s="119">
        <v>0.10706825396825397</v>
      </c>
      <c r="E20" s="120">
        <f t="shared" si="0"/>
        <v>4.7071746031746006E-2</v>
      </c>
    </row>
    <row r="21" spans="2:15" ht="15" customHeight="1">
      <c r="B21" s="117">
        <v>1983.2</v>
      </c>
      <c r="C21" s="120">
        <v>0.14839285714285716</v>
      </c>
      <c r="D21" s="119">
        <v>0.10653174603174603</v>
      </c>
      <c r="E21" s="120">
        <f t="shared" si="0"/>
        <v>4.1861111111111127E-2</v>
      </c>
      <c r="G21" s="121"/>
      <c r="H21" s="121"/>
      <c r="I21" s="121"/>
      <c r="J21" s="121"/>
      <c r="K21" s="121"/>
      <c r="L21" s="121"/>
      <c r="M21" s="121"/>
      <c r="N21" s="121"/>
      <c r="O21" s="121"/>
    </row>
    <row r="22" spans="2:15" ht="15" customHeight="1">
      <c r="B22" s="117">
        <v>1983.3</v>
      </c>
      <c r="C22" s="120">
        <v>0.1524375</v>
      </c>
      <c r="D22" s="119">
        <v>0.11624531249999998</v>
      </c>
      <c r="E22" s="120">
        <f t="shared" si="0"/>
        <v>3.6192187500000028E-2</v>
      </c>
      <c r="G22" s="339" t="s">
        <v>982</v>
      </c>
      <c r="H22" s="339"/>
      <c r="I22" s="339"/>
      <c r="J22" s="339"/>
      <c r="K22" s="339"/>
      <c r="L22" s="339"/>
      <c r="M22" s="339"/>
      <c r="N22" s="339"/>
      <c r="O22" s="339"/>
    </row>
    <row r="23" spans="2:15" ht="15" customHeight="1" thickBot="1">
      <c r="B23" s="117">
        <v>1983.4</v>
      </c>
      <c r="C23" s="120">
        <v>0.15401052631578946</v>
      </c>
      <c r="D23" s="119">
        <v>0.11737</v>
      </c>
      <c r="E23" s="120">
        <f t="shared" si="0"/>
        <v>3.6640526315789457E-2</v>
      </c>
      <c r="G23" s="339"/>
      <c r="H23" s="339"/>
      <c r="I23" s="339"/>
      <c r="J23" s="339"/>
      <c r="K23" s="339"/>
      <c r="L23" s="339"/>
      <c r="M23" s="339"/>
      <c r="N23" s="339"/>
      <c r="O23" s="339"/>
    </row>
    <row r="24" spans="2:15" ht="15" customHeight="1">
      <c r="B24" s="117">
        <v>1984.1</v>
      </c>
      <c r="C24" s="120">
        <v>0.15385000000000001</v>
      </c>
      <c r="D24" s="119">
        <v>0.12036290322580651</v>
      </c>
      <c r="E24" s="120">
        <f t="shared" si="0"/>
        <v>3.3487096774193509E-2</v>
      </c>
      <c r="G24" s="340" t="s">
        <v>983</v>
      </c>
      <c r="H24" s="340"/>
      <c r="I24" s="339"/>
      <c r="J24" s="339"/>
      <c r="K24" s="339"/>
      <c r="L24" s="339"/>
      <c r="M24" s="339"/>
      <c r="N24" s="339"/>
      <c r="O24" s="339"/>
    </row>
    <row r="25" spans="2:15" ht="15" customHeight="1">
      <c r="B25" s="117">
        <v>1984.2</v>
      </c>
      <c r="C25" s="120">
        <v>0.15071428571428575</v>
      </c>
      <c r="D25" s="119">
        <v>0.13183968253968248</v>
      </c>
      <c r="E25" s="120">
        <f t="shared" si="0"/>
        <v>1.8874603174603266E-2</v>
      </c>
      <c r="G25" s="339" t="s">
        <v>984</v>
      </c>
      <c r="H25" s="339">
        <v>0.91638283040950974</v>
      </c>
      <c r="I25" s="339"/>
      <c r="J25" s="339"/>
      <c r="K25" s="339"/>
      <c r="L25" s="339"/>
      <c r="M25" s="339"/>
      <c r="N25" s="339"/>
      <c r="O25" s="339"/>
    </row>
    <row r="26" spans="2:15" ht="15" customHeight="1">
      <c r="B26" s="117">
        <v>1984.3</v>
      </c>
      <c r="C26" s="120">
        <v>0.15463636363636363</v>
      </c>
      <c r="D26" s="119">
        <v>0.12689047619047616</v>
      </c>
      <c r="E26" s="120">
        <f t="shared" si="0"/>
        <v>2.7745887445887463E-2</v>
      </c>
      <c r="G26" s="339" t="s">
        <v>985</v>
      </c>
      <c r="H26" s="339">
        <v>0.83975749186934434</v>
      </c>
      <c r="I26" s="339"/>
      <c r="J26" s="339"/>
      <c r="K26" s="339"/>
      <c r="L26" s="339"/>
      <c r="M26" s="339"/>
      <c r="N26" s="339"/>
      <c r="O26" s="339"/>
    </row>
    <row r="27" spans="2:15" ht="15" customHeight="1">
      <c r="B27" s="117">
        <v>1984.4</v>
      </c>
      <c r="C27" s="120">
        <v>0.15330833333333332</v>
      </c>
      <c r="D27" s="119">
        <v>0.11698852459016393</v>
      </c>
      <c r="E27" s="120">
        <f t="shared" si="0"/>
        <v>3.6319808743169396E-2</v>
      </c>
      <c r="G27" s="339" t="s">
        <v>986</v>
      </c>
      <c r="H27" s="339">
        <v>0.83886725571306298</v>
      </c>
      <c r="I27" s="339"/>
      <c r="J27" s="339"/>
      <c r="K27" s="339"/>
      <c r="L27" s="339"/>
      <c r="M27" s="339"/>
      <c r="N27" s="339"/>
      <c r="O27" s="339"/>
    </row>
    <row r="28" spans="2:15" ht="15" customHeight="1">
      <c r="B28" s="117">
        <v>1985.1</v>
      </c>
      <c r="C28" s="120">
        <v>0.15032499999999999</v>
      </c>
      <c r="D28" s="119">
        <v>0.11584000000000001</v>
      </c>
      <c r="E28" s="120">
        <f t="shared" si="0"/>
        <v>3.4484999999999974E-2</v>
      </c>
      <c r="G28" s="339" t="s">
        <v>987</v>
      </c>
      <c r="H28" s="339">
        <v>5.6583285751547457E-3</v>
      </c>
      <c r="I28" s="339"/>
      <c r="J28" s="339"/>
      <c r="K28" s="339"/>
      <c r="L28" s="339"/>
      <c r="M28" s="339"/>
      <c r="N28" s="339"/>
      <c r="O28" s="339"/>
    </row>
    <row r="29" spans="2:15" ht="15" customHeight="1" thickBot="1">
      <c r="B29" s="117">
        <v>1985.2</v>
      </c>
      <c r="C29" s="120">
        <v>0.15442500000000001</v>
      </c>
      <c r="D29" s="119">
        <v>0.10995873015873014</v>
      </c>
      <c r="E29" s="120">
        <f t="shared" si="0"/>
        <v>4.4466269841269862E-2</v>
      </c>
      <c r="G29" s="341" t="s">
        <v>988</v>
      </c>
      <c r="H29" s="341">
        <v>182</v>
      </c>
      <c r="I29" s="339"/>
      <c r="J29" s="339"/>
      <c r="K29" s="339"/>
      <c r="L29" s="339"/>
      <c r="M29" s="339"/>
      <c r="N29" s="339"/>
      <c r="O29" s="339"/>
    </row>
    <row r="30" spans="2:15" ht="15" customHeight="1">
      <c r="B30" s="117">
        <v>1985.3</v>
      </c>
      <c r="C30" s="120">
        <v>0.14636666666666664</v>
      </c>
      <c r="D30" s="119">
        <v>0.10553015873015874</v>
      </c>
      <c r="E30" s="120">
        <f t="shared" si="0"/>
        <v>4.0836507936507907E-2</v>
      </c>
      <c r="G30" s="339"/>
      <c r="H30" s="339"/>
      <c r="I30" s="339"/>
      <c r="J30" s="339"/>
      <c r="K30" s="339"/>
      <c r="L30" s="339"/>
      <c r="M30" s="339"/>
      <c r="N30" s="339"/>
      <c r="O30" s="339"/>
    </row>
    <row r="31" spans="2:15" ht="15" customHeight="1" thickBot="1">
      <c r="B31" s="117" t="s">
        <v>1250</v>
      </c>
      <c r="C31" s="120">
        <v>0.14368333333333333</v>
      </c>
      <c r="D31" s="119">
        <v>0.10039838709677419</v>
      </c>
      <c r="E31" s="120">
        <f t="shared" si="0"/>
        <v>4.3284946236559138E-2</v>
      </c>
      <c r="G31" s="339" t="s">
        <v>989</v>
      </c>
      <c r="H31" s="339"/>
      <c r="I31" s="339"/>
      <c r="J31" s="339"/>
      <c r="K31" s="339"/>
      <c r="L31" s="339"/>
      <c r="M31" s="339"/>
      <c r="N31" s="339"/>
      <c r="O31" s="339"/>
    </row>
    <row r="32" spans="2:15" ht="15" customHeight="1">
      <c r="B32" s="117">
        <v>1986.1</v>
      </c>
      <c r="C32" s="120">
        <v>0.14050000000000001</v>
      </c>
      <c r="D32" s="119">
        <v>8.7693333333333318E-2</v>
      </c>
      <c r="E32" s="120">
        <f t="shared" si="0"/>
        <v>5.2806666666666696E-2</v>
      </c>
      <c r="G32" s="342"/>
      <c r="H32" s="342" t="s">
        <v>990</v>
      </c>
      <c r="I32" s="342" t="s">
        <v>991</v>
      </c>
      <c r="J32" s="342" t="s">
        <v>540</v>
      </c>
      <c r="K32" s="342" t="s">
        <v>314</v>
      </c>
      <c r="L32" s="342" t="s">
        <v>992</v>
      </c>
      <c r="M32" s="339"/>
      <c r="N32" s="339"/>
      <c r="O32" s="339"/>
    </row>
    <row r="33" spans="2:20" ht="15" customHeight="1">
      <c r="B33" s="117">
        <v>1986.2</v>
      </c>
      <c r="C33" s="120">
        <v>0.13276666666666667</v>
      </c>
      <c r="D33" s="119">
        <v>7.4906250000000008E-2</v>
      </c>
      <c r="E33" s="120">
        <f t="shared" si="0"/>
        <v>5.7860416666666664E-2</v>
      </c>
      <c r="G33" s="339" t="s">
        <v>993</v>
      </c>
      <c r="H33" s="339">
        <v>1</v>
      </c>
      <c r="I33" s="339">
        <v>3.0201254584678677E-2</v>
      </c>
      <c r="J33" s="339">
        <v>3.0201254584678677E-2</v>
      </c>
      <c r="K33" s="339">
        <v>943.29744522742317</v>
      </c>
      <c r="L33" s="339">
        <v>1.7424710400036623E-73</v>
      </c>
      <c r="M33" s="339"/>
      <c r="N33" s="339"/>
      <c r="O33" s="339"/>
    </row>
    <row r="34" spans="2:20" ht="15" customHeight="1">
      <c r="B34" s="117">
        <v>1986.3</v>
      </c>
      <c r="C34" s="120">
        <v>0.13090000000000002</v>
      </c>
      <c r="D34" s="119">
        <v>7.4042187499999995E-2</v>
      </c>
      <c r="E34" s="120">
        <f t="shared" si="0"/>
        <v>5.6857812500000021E-2</v>
      </c>
      <c r="G34" s="339" t="s">
        <v>994</v>
      </c>
      <c r="H34" s="339">
        <v>180</v>
      </c>
      <c r="I34" s="339">
        <v>5.7630028075942915E-3</v>
      </c>
      <c r="J34" s="339">
        <v>3.2016682264412731E-5</v>
      </c>
      <c r="K34" s="339"/>
      <c r="L34" s="339"/>
      <c r="M34" s="339"/>
      <c r="N34" s="339"/>
      <c r="O34" s="339"/>
    </row>
    <row r="35" spans="2:20" ht="15" customHeight="1" thickBot="1">
      <c r="B35" s="117">
        <v>1986.4</v>
      </c>
      <c r="C35" s="120">
        <v>0.13621428571428573</v>
      </c>
      <c r="D35" s="119">
        <v>7.5280645161290308E-2</v>
      </c>
      <c r="E35" s="120">
        <f t="shared" si="0"/>
        <v>6.0933640552995424E-2</v>
      </c>
      <c r="G35" s="341" t="s">
        <v>995</v>
      </c>
      <c r="H35" s="341">
        <v>181</v>
      </c>
      <c r="I35" s="341">
        <v>3.5964257392272971E-2</v>
      </c>
      <c r="J35" s="341"/>
      <c r="K35" s="341"/>
      <c r="L35" s="341"/>
      <c r="M35" s="339"/>
      <c r="N35" s="339"/>
      <c r="O35" s="339"/>
    </row>
    <row r="36" spans="2:20" ht="15" customHeight="1" thickBot="1">
      <c r="B36" s="117">
        <v>1987.1</v>
      </c>
      <c r="C36" s="120">
        <v>0.12608571428571427</v>
      </c>
      <c r="D36" s="119">
        <v>7.4936065573770486E-2</v>
      </c>
      <c r="E36" s="120">
        <f t="shared" si="0"/>
        <v>5.1149648711943788E-2</v>
      </c>
      <c r="G36" s="339"/>
      <c r="H36" s="339"/>
      <c r="I36" s="339"/>
      <c r="J36" s="339"/>
      <c r="K36" s="339"/>
      <c r="L36" s="339"/>
      <c r="M36" s="339"/>
      <c r="N36" s="339"/>
      <c r="O36" s="339"/>
    </row>
    <row r="37" spans="2:20" ht="15" customHeight="1">
      <c r="B37" s="117">
        <v>1987.2</v>
      </c>
      <c r="C37" s="120">
        <v>0.13037500000000002</v>
      </c>
      <c r="D37" s="119">
        <v>8.5306349206349191E-2</v>
      </c>
      <c r="E37" s="120">
        <f t="shared" si="0"/>
        <v>4.5068650793650827E-2</v>
      </c>
      <c r="G37" s="342"/>
      <c r="H37" s="342" t="s">
        <v>996</v>
      </c>
      <c r="I37" s="342" t="s">
        <v>987</v>
      </c>
      <c r="J37" s="342" t="s">
        <v>997</v>
      </c>
      <c r="K37" s="342" t="s">
        <v>998</v>
      </c>
      <c r="L37" s="342" t="s">
        <v>999</v>
      </c>
      <c r="M37" s="342" t="s">
        <v>1000</v>
      </c>
      <c r="N37" s="342" t="s">
        <v>1001</v>
      </c>
      <c r="O37" s="342" t="s">
        <v>1002</v>
      </c>
    </row>
    <row r="38" spans="2:20" ht="15" customHeight="1">
      <c r="B38" s="117">
        <v>1987.3</v>
      </c>
      <c r="C38" s="120">
        <v>0.127</v>
      </c>
      <c r="D38" s="119">
        <v>9.0592187499999977E-2</v>
      </c>
      <c r="E38" s="120">
        <f t="shared" si="0"/>
        <v>3.6407812500000025E-2</v>
      </c>
      <c r="G38" s="339" t="s">
        <v>1003</v>
      </c>
      <c r="H38" s="339">
        <v>7.8353728445111126E-2</v>
      </c>
      <c r="I38" s="339">
        <v>9.3135062978804404E-4</v>
      </c>
      <c r="J38" s="339">
        <v>84.129140990587828</v>
      </c>
      <c r="K38" s="339">
        <v>1.9126747755989389E-146</v>
      </c>
      <c r="L38" s="339">
        <v>7.6515958675326262E-2</v>
      </c>
      <c r="M38" s="339">
        <v>8.019149821489599E-2</v>
      </c>
      <c r="N38" s="339">
        <v>7.6515958675326262E-2</v>
      </c>
      <c r="O38" s="339">
        <v>8.019149821489599E-2</v>
      </c>
    </row>
    <row r="39" spans="2:20" ht="15" customHeight="1" thickBot="1">
      <c r="B39" s="117">
        <v>1987.4</v>
      </c>
      <c r="C39" s="120">
        <v>0.12686666666666666</v>
      </c>
      <c r="D39" s="119">
        <v>9.2301538461538449E-2</v>
      </c>
      <c r="E39" s="120">
        <f t="shared" si="0"/>
        <v>3.4565128205128207E-2</v>
      </c>
      <c r="G39" s="341" t="s">
        <v>1018</v>
      </c>
      <c r="H39" s="341">
        <v>-0.42557897120419047</v>
      </c>
      <c r="I39" s="341">
        <v>1.3856572909828849E-2</v>
      </c>
      <c r="J39" s="341">
        <v>-30.713147758369285</v>
      </c>
      <c r="K39" s="341">
        <v>1.742471040003464E-73</v>
      </c>
      <c r="L39" s="341">
        <v>-0.45292118797200293</v>
      </c>
      <c r="M39" s="341">
        <v>-0.39823675443637802</v>
      </c>
      <c r="N39" s="341">
        <v>-0.45292118797200293</v>
      </c>
      <c r="O39" s="341">
        <v>-0.39823675443637802</v>
      </c>
    </row>
    <row r="40" spans="2:20" ht="15" customHeight="1">
      <c r="B40" s="117">
        <v>1988.1</v>
      </c>
      <c r="C40" s="120">
        <v>0.12940000000000002</v>
      </c>
      <c r="D40" s="119">
        <v>8.6266129032258082E-2</v>
      </c>
      <c r="E40" s="120">
        <f t="shared" si="0"/>
        <v>4.3133870967741933E-2</v>
      </c>
      <c r="G40" s="339"/>
      <c r="H40" s="339"/>
      <c r="I40" s="339"/>
      <c r="J40" s="339"/>
      <c r="K40" s="339"/>
      <c r="L40" s="339"/>
      <c r="M40" s="339"/>
      <c r="N40" s="339"/>
      <c r="O40" s="339"/>
      <c r="R40" s="122"/>
      <c r="S40" s="122"/>
      <c r="T40" s="122"/>
    </row>
    <row r="41" spans="2:20" ht="15" customHeight="1">
      <c r="B41" s="117">
        <v>1988.2</v>
      </c>
      <c r="C41" s="120">
        <v>0.12475</v>
      </c>
      <c r="D41" s="119">
        <v>9.0614285714285744E-2</v>
      </c>
      <c r="E41" s="120">
        <f t="shared" si="0"/>
        <v>3.4135714285714255E-2</v>
      </c>
      <c r="G41" s="339"/>
      <c r="H41" s="339"/>
      <c r="I41" s="339"/>
      <c r="J41" s="339"/>
      <c r="K41" s="339"/>
      <c r="L41" s="339"/>
      <c r="M41" s="339"/>
      <c r="N41" s="339"/>
      <c r="O41" s="339"/>
      <c r="R41" s="122"/>
      <c r="S41" s="122"/>
      <c r="T41" s="122"/>
    </row>
    <row r="42" spans="2:20" ht="15" customHeight="1">
      <c r="B42" s="117">
        <v>1988.3</v>
      </c>
      <c r="C42" s="120">
        <v>0.12787777777777778</v>
      </c>
      <c r="D42" s="119">
        <v>9.1754687500000043E-2</v>
      </c>
      <c r="E42" s="120">
        <f t="shared" si="0"/>
        <v>3.6123090277777742E-2</v>
      </c>
      <c r="G42" s="339"/>
      <c r="H42" s="339"/>
      <c r="I42" s="339"/>
      <c r="J42" s="339"/>
      <c r="K42" s="339"/>
      <c r="L42" s="339"/>
      <c r="M42" s="339"/>
      <c r="N42" s="339"/>
      <c r="O42" s="339"/>
      <c r="R42" s="122"/>
      <c r="S42" s="122"/>
      <c r="T42" s="122"/>
    </row>
    <row r="43" spans="2:20" ht="15" customHeight="1" thickBot="1">
      <c r="B43" s="117">
        <v>1988.4</v>
      </c>
      <c r="C43" s="120">
        <v>0.12977272727272726</v>
      </c>
      <c r="D43" s="119">
        <v>8.9730158730158771E-2</v>
      </c>
      <c r="E43" s="120">
        <f t="shared" si="0"/>
        <v>4.0042568542568491E-2</v>
      </c>
      <c r="G43" s="121"/>
      <c r="H43" s="121"/>
      <c r="I43" s="121"/>
      <c r="J43" s="343" t="s">
        <v>847</v>
      </c>
      <c r="K43" s="343" t="s">
        <v>848</v>
      </c>
      <c r="L43" s="343" t="s">
        <v>849</v>
      </c>
      <c r="M43" s="121"/>
      <c r="N43" s="121"/>
      <c r="O43" s="121"/>
      <c r="R43" s="113"/>
      <c r="S43" s="122"/>
      <c r="T43" s="122"/>
    </row>
    <row r="44" spans="2:20" ht="15" customHeight="1">
      <c r="B44" s="117">
        <v>1989.1</v>
      </c>
      <c r="C44" s="120">
        <v>0.12992500000000001</v>
      </c>
      <c r="D44" s="119">
        <v>9.036129032258064E-2</v>
      </c>
      <c r="E44" s="120">
        <f t="shared" si="0"/>
        <v>3.9563709677419373E-2</v>
      </c>
      <c r="G44" s="344"/>
      <c r="H44" s="344"/>
      <c r="I44" s="344"/>
      <c r="J44" s="345" t="s">
        <v>1104</v>
      </c>
      <c r="K44" s="345"/>
      <c r="L44" s="345"/>
      <c r="R44" s="122"/>
      <c r="S44" s="122"/>
      <c r="T44" s="122"/>
    </row>
    <row r="45" spans="2:20" ht="15" customHeight="1">
      <c r="B45" s="117">
        <v>1989.2</v>
      </c>
      <c r="C45" s="120">
        <v>0.13250000000000001</v>
      </c>
      <c r="D45" s="119">
        <v>8.69796875E-2</v>
      </c>
      <c r="E45" s="120">
        <f t="shared" si="0"/>
        <v>4.5520312500000007E-2</v>
      </c>
      <c r="G45" s="113"/>
      <c r="H45" s="113"/>
      <c r="I45" s="113"/>
      <c r="J45" s="114" t="s">
        <v>1005</v>
      </c>
      <c r="K45" s="114" t="s">
        <v>1004</v>
      </c>
      <c r="L45" s="114"/>
      <c r="R45" s="122"/>
      <c r="S45" s="122"/>
      <c r="T45" s="122"/>
    </row>
    <row r="46" spans="2:20" ht="15" customHeight="1">
      <c r="B46" s="117">
        <v>1989.3</v>
      </c>
      <c r="C46" s="120">
        <v>0.12557142857142858</v>
      </c>
      <c r="D46" s="119">
        <v>8.1187301587301586E-2</v>
      </c>
      <c r="E46" s="120">
        <f t="shared" si="0"/>
        <v>4.4384126984126998E-2</v>
      </c>
      <c r="G46" s="113"/>
      <c r="H46" s="113"/>
      <c r="I46" s="113"/>
      <c r="J46" s="114" t="s">
        <v>1105</v>
      </c>
      <c r="K46" s="114" t="s">
        <v>1006</v>
      </c>
      <c r="L46" s="114" t="s">
        <v>1251</v>
      </c>
      <c r="R46" s="122"/>
      <c r="S46" s="122"/>
      <c r="T46" s="122"/>
    </row>
    <row r="47" spans="2:20" ht="15" customHeight="1">
      <c r="B47" s="117">
        <v>1989.4</v>
      </c>
      <c r="C47" s="120">
        <v>0.12936874999999998</v>
      </c>
      <c r="D47" s="119">
        <v>7.9334374999999999E-2</v>
      </c>
      <c r="E47" s="120">
        <f t="shared" si="0"/>
        <v>5.0034374999999978E-2</v>
      </c>
      <c r="G47" s="346"/>
      <c r="H47" s="346"/>
      <c r="I47" s="346"/>
      <c r="J47" s="347" t="s">
        <v>847</v>
      </c>
      <c r="K47" s="347" t="s">
        <v>848</v>
      </c>
      <c r="L47" s="347" t="s">
        <v>849</v>
      </c>
      <c r="R47" s="122"/>
      <c r="S47" s="122"/>
      <c r="T47" s="122"/>
    </row>
    <row r="48" spans="2:20" ht="15" customHeight="1">
      <c r="B48" s="117">
        <v>1990.1</v>
      </c>
      <c r="C48" s="120">
        <v>0.1268</v>
      </c>
      <c r="D48" s="119">
        <v>8.4376190476190494E-2</v>
      </c>
      <c r="E48" s="120">
        <f t="shared" si="0"/>
        <v>4.2423809523809503E-2</v>
      </c>
      <c r="G48" s="113"/>
      <c r="H48" s="113"/>
      <c r="I48" s="113"/>
      <c r="J48" s="113"/>
      <c r="K48" s="113"/>
      <c r="L48" s="113"/>
      <c r="R48" s="122"/>
      <c r="S48" s="122"/>
      <c r="T48" s="122"/>
    </row>
    <row r="49" spans="2:13" ht="15" customHeight="1">
      <c r="B49" s="117">
        <v>1990.2</v>
      </c>
      <c r="C49" s="120">
        <v>0.12807142857142859</v>
      </c>
      <c r="D49" s="119">
        <v>8.6479365079365086E-2</v>
      </c>
      <c r="E49" s="120">
        <f t="shared" si="0"/>
        <v>4.15920634920635E-2</v>
      </c>
      <c r="G49" s="113" t="s">
        <v>1007</v>
      </c>
      <c r="H49" s="113"/>
      <c r="I49" s="113"/>
      <c r="J49" s="123">
        <f>'AEB-5 CAPM'!D9</f>
        <v>4.9836666666666661E-2</v>
      </c>
      <c r="K49" s="123">
        <f>$H$38+($H$39*J49)</f>
        <v>5.7144291116864955E-2</v>
      </c>
      <c r="L49" s="348">
        <f>J49+K49</f>
        <v>0.10698095778353162</v>
      </c>
      <c r="M49" s="349"/>
    </row>
    <row r="50" spans="2:13" ht="15" customHeight="1">
      <c r="B50" s="117">
        <v>1990.3</v>
      </c>
      <c r="C50" s="120">
        <v>0.12364285714285714</v>
      </c>
      <c r="D50" s="119">
        <v>8.7915873015873003E-2</v>
      </c>
      <c r="E50" s="120">
        <f t="shared" si="0"/>
        <v>3.5726984126984135E-2</v>
      </c>
      <c r="G50" s="113" t="s">
        <v>1466</v>
      </c>
      <c r="H50" s="113"/>
      <c r="I50" s="113"/>
      <c r="J50" s="123">
        <f>'AEB-5 CAPM'!D33</f>
        <v>4.8599999999999997E-2</v>
      </c>
      <c r="K50" s="123">
        <f>$H$38+($H$39*J50)</f>
        <v>5.7670590444587472E-2</v>
      </c>
      <c r="L50" s="348">
        <f>J50+K50</f>
        <v>0.10627059044458748</v>
      </c>
      <c r="M50" s="349"/>
    </row>
    <row r="51" spans="2:13" ht="15" customHeight="1">
      <c r="B51" s="117">
        <v>1990.4</v>
      </c>
      <c r="C51" s="120">
        <v>0.12778571428571431</v>
      </c>
      <c r="D51" s="119">
        <v>8.557846153846152E-2</v>
      </c>
      <c r="E51" s="120">
        <f t="shared" si="0"/>
        <v>4.2207252747252788E-2</v>
      </c>
      <c r="G51" s="346" t="s">
        <v>1467</v>
      </c>
      <c r="H51" s="346"/>
      <c r="I51" s="346"/>
      <c r="J51" s="124">
        <f>'AEB-5 CAPM'!D57</f>
        <v>4.7E-2</v>
      </c>
      <c r="K51" s="124">
        <f>$H$38+($H$39*J51)</f>
        <v>5.8351516798514177E-2</v>
      </c>
      <c r="L51" s="124">
        <f>J51+K51</f>
        <v>0.10535151679851418</v>
      </c>
      <c r="M51" s="350"/>
    </row>
    <row r="52" spans="2:13" ht="15" customHeight="1" thickBot="1">
      <c r="B52" s="117">
        <v>1991.1</v>
      </c>
      <c r="C52" s="120">
        <v>0.12694</v>
      </c>
      <c r="D52" s="119">
        <v>8.2024193548387081E-2</v>
      </c>
      <c r="E52" s="120">
        <f t="shared" si="0"/>
        <v>4.4915806451612916E-2</v>
      </c>
      <c r="G52" s="351" t="s">
        <v>1008</v>
      </c>
      <c r="H52" s="352"/>
      <c r="I52" s="352"/>
      <c r="J52" s="353"/>
      <c r="K52" s="353"/>
      <c r="L52" s="353">
        <f>AVERAGE(L49:L51)</f>
        <v>0.10620102167554442</v>
      </c>
    </row>
    <row r="53" spans="2:13" ht="15" customHeight="1">
      <c r="B53" s="117">
        <v>1991.2</v>
      </c>
      <c r="C53" s="120">
        <v>0.12530000000000002</v>
      </c>
      <c r="D53" s="119">
        <v>8.3114062500000016E-2</v>
      </c>
      <c r="E53" s="120">
        <f t="shared" si="0"/>
        <v>4.2185937500000006E-2</v>
      </c>
    </row>
    <row r="54" spans="2:13" ht="15" customHeight="1">
      <c r="B54" s="117">
        <v>1991.3</v>
      </c>
      <c r="C54" s="120">
        <v>0.12431249999999999</v>
      </c>
      <c r="D54" s="119">
        <v>8.1885937500000019E-2</v>
      </c>
      <c r="E54" s="120">
        <f t="shared" si="0"/>
        <v>4.2426562499999973E-2</v>
      </c>
      <c r="G54" s="354" t="s">
        <v>839</v>
      </c>
    </row>
    <row r="55" spans="2:13" ht="15" customHeight="1">
      <c r="B55" s="117">
        <v>1991.4</v>
      </c>
      <c r="C55" s="120">
        <v>0.12330769230769233</v>
      </c>
      <c r="D55" s="119">
        <v>7.8533846153846162E-2</v>
      </c>
      <c r="E55" s="120">
        <f t="shared" si="0"/>
        <v>4.4773846153846164E-2</v>
      </c>
      <c r="G55" s="354" t="s">
        <v>1525</v>
      </c>
    </row>
    <row r="56" spans="2:13" ht="15" customHeight="1">
      <c r="B56" s="117">
        <v>1992.1</v>
      </c>
      <c r="C56" s="120">
        <v>0.12418</v>
      </c>
      <c r="D56" s="119">
        <v>7.8050793650793662E-2</v>
      </c>
      <c r="E56" s="120">
        <f t="shared" si="0"/>
        <v>4.6129206349206336E-2</v>
      </c>
      <c r="G56" s="354" t="s">
        <v>1335</v>
      </c>
    </row>
    <row r="57" spans="2:13" ht="15" customHeight="1">
      <c r="B57" s="117" t="s">
        <v>873</v>
      </c>
      <c r="C57" s="120">
        <v>0.11983333333333333</v>
      </c>
      <c r="D57" s="119">
        <v>7.8976190476190478E-2</v>
      </c>
      <c r="E57" s="120">
        <f t="shared" si="0"/>
        <v>4.0857142857142856E-2</v>
      </c>
      <c r="G57" s="354" t="s">
        <v>1020</v>
      </c>
    </row>
    <row r="58" spans="2:13" ht="15" customHeight="1">
      <c r="B58" s="117" t="s">
        <v>874</v>
      </c>
      <c r="C58" s="120">
        <v>0.11865999999999999</v>
      </c>
      <c r="D58" s="119">
        <v>7.4456250000000002E-2</v>
      </c>
      <c r="E58" s="120">
        <f t="shared" si="0"/>
        <v>4.4203749999999986E-2</v>
      </c>
      <c r="G58" s="354" t="str">
        <f>"[4] "&amp; "Bloomberg Professional 30-day average as of "&amp;TEXT('AEB-4 CGDCF'!B1,"mmmm d yyyy")</f>
        <v>[4] Bloomberg Professional 30-day average as of June 30 2026</v>
      </c>
    </row>
    <row r="59" spans="2:13" ht="15" customHeight="1">
      <c r="B59" s="117" t="s">
        <v>875</v>
      </c>
      <c r="C59" s="120">
        <v>0.11940000000000001</v>
      </c>
      <c r="D59" s="119">
        <v>7.5235937499999989E-2</v>
      </c>
      <c r="E59" s="120">
        <f t="shared" si="0"/>
        <v>4.4164062500000018E-2</v>
      </c>
      <c r="G59" s="354" t="s">
        <v>1526</v>
      </c>
    </row>
    <row r="60" spans="2:13" ht="15" customHeight="1">
      <c r="B60" s="117" t="s">
        <v>876</v>
      </c>
      <c r="C60" s="120">
        <v>0.11749999999999999</v>
      </c>
      <c r="D60" s="119">
        <v>7.0716129032258074E-2</v>
      </c>
      <c r="E60" s="120">
        <f t="shared" si="0"/>
        <v>4.678387096774192E-2</v>
      </c>
      <c r="G60" s="354" t="s">
        <v>1465</v>
      </c>
    </row>
    <row r="61" spans="2:13" ht="15" customHeight="1">
      <c r="B61" s="114" t="s">
        <v>877</v>
      </c>
      <c r="C61" s="120">
        <v>0.11708333333333333</v>
      </c>
      <c r="D61" s="119">
        <v>6.8584126984127011E-2</v>
      </c>
      <c r="E61" s="120">
        <f t="shared" si="0"/>
        <v>4.849920634920632E-2</v>
      </c>
      <c r="G61" s="354" t="s">
        <v>1009</v>
      </c>
    </row>
    <row r="62" spans="2:13" ht="15" customHeight="1">
      <c r="B62" s="114" t="s">
        <v>878</v>
      </c>
      <c r="C62" s="120">
        <v>0.11387499999999999</v>
      </c>
      <c r="D62" s="119">
        <v>6.3154687500000015E-2</v>
      </c>
      <c r="E62" s="120">
        <f t="shared" si="0"/>
        <v>5.0720312499999975E-2</v>
      </c>
      <c r="G62" s="354" t="str">
        <f>"[8] Equals "&amp;TEXT(H38,"0.000000")&amp;" + ("&amp;TEXT(H39,"0.000000")&amp;" x Column [7])"</f>
        <v>[8] Equals 0.078354 + (-0.425579 x Column [7])</v>
      </c>
    </row>
    <row r="63" spans="2:13" ht="15" customHeight="1">
      <c r="B63" s="114" t="s">
        <v>879</v>
      </c>
      <c r="C63" s="120">
        <v>0.11155555555555557</v>
      </c>
      <c r="D63" s="119">
        <v>6.1351562500000012E-2</v>
      </c>
      <c r="E63" s="120">
        <f t="shared" si="0"/>
        <v>5.0203993055555562E-2</v>
      </c>
      <c r="G63" s="354" t="s">
        <v>1010</v>
      </c>
    </row>
    <row r="64" spans="2:13" ht="15" customHeight="1">
      <c r="B64" s="114" t="s">
        <v>880</v>
      </c>
      <c r="C64" s="120">
        <v>0.11120000000000001</v>
      </c>
      <c r="D64" s="119">
        <v>6.5758730158730155E-2</v>
      </c>
      <c r="E64" s="120">
        <f t="shared" si="0"/>
        <v>4.5441269841269852E-2</v>
      </c>
    </row>
    <row r="65" spans="2:5" ht="15" customHeight="1">
      <c r="B65" s="114" t="s">
        <v>881</v>
      </c>
      <c r="C65" s="120">
        <v>0.10834999999999999</v>
      </c>
      <c r="D65" s="119">
        <v>7.3622580645161306E-2</v>
      </c>
      <c r="E65" s="120">
        <f t="shared" si="0"/>
        <v>3.4727419354838682E-2</v>
      </c>
    </row>
    <row r="66" spans="2:5" ht="15" customHeight="1">
      <c r="B66" s="114" t="s">
        <v>882</v>
      </c>
      <c r="C66" s="120">
        <v>0.10866666666666668</v>
      </c>
      <c r="D66" s="119">
        <v>7.5893750000000024E-2</v>
      </c>
      <c r="E66" s="120">
        <f t="shared" si="0"/>
        <v>3.2772916666666652E-2</v>
      </c>
    </row>
    <row r="67" spans="2:5" ht="15" customHeight="1">
      <c r="B67" s="114" t="s">
        <v>883</v>
      </c>
      <c r="C67" s="120">
        <v>0.11525833333333334</v>
      </c>
      <c r="D67" s="119">
        <v>7.9633333333333334E-2</v>
      </c>
      <c r="E67" s="120">
        <f t="shared" si="0"/>
        <v>3.5625000000000004E-2</v>
      </c>
    </row>
    <row r="68" spans="2:5" ht="15" customHeight="1">
      <c r="B68" s="114" t="s">
        <v>884</v>
      </c>
      <c r="C68" s="120">
        <v>0.11</v>
      </c>
      <c r="D68" s="119">
        <v>6.9422222222222191E-2</v>
      </c>
      <c r="E68" s="120">
        <f t="shared" si="0"/>
        <v>4.057777777777781E-2</v>
      </c>
    </row>
    <row r="69" spans="2:5" ht="15" customHeight="1">
      <c r="B69" s="114" t="s">
        <v>885</v>
      </c>
      <c r="C69" s="120">
        <v>0.11066666666666668</v>
      </c>
      <c r="D69" s="119">
        <v>6.7173015873015857E-2</v>
      </c>
      <c r="E69" s="120">
        <f t="shared" si="0"/>
        <v>4.349365079365082E-2</v>
      </c>
    </row>
    <row r="70" spans="2:5" ht="15" customHeight="1">
      <c r="B70" s="114" t="s">
        <v>886</v>
      </c>
      <c r="C70" s="120">
        <v>0.11606666666666667</v>
      </c>
      <c r="D70" s="119">
        <v>6.2390476190476205E-2</v>
      </c>
      <c r="E70" s="120">
        <f t="shared" si="0"/>
        <v>5.3676190476190461E-2</v>
      </c>
    </row>
    <row r="71" spans="2:5" ht="15" customHeight="1">
      <c r="B71" s="114" t="s">
        <v>887</v>
      </c>
      <c r="C71" s="120">
        <v>0.11449999999999999</v>
      </c>
      <c r="D71" s="119">
        <v>6.2916923076923065E-2</v>
      </c>
      <c r="E71" s="120">
        <f t="shared" si="0"/>
        <v>5.1583076923076926E-2</v>
      </c>
    </row>
    <row r="72" spans="2:5" ht="15" customHeight="1">
      <c r="B72" s="114" t="s">
        <v>888</v>
      </c>
      <c r="C72" s="120">
        <v>0.10875</v>
      </c>
      <c r="D72" s="119">
        <v>6.9215384615384609E-2</v>
      </c>
      <c r="E72" s="120">
        <f t="shared" si="0"/>
        <v>3.953461538461539E-2</v>
      </c>
    </row>
    <row r="73" spans="2:5" ht="15" customHeight="1">
      <c r="B73" s="114" t="s">
        <v>889</v>
      </c>
      <c r="C73" s="120">
        <v>0.1125</v>
      </c>
      <c r="D73" s="119">
        <v>6.9672727272727275E-2</v>
      </c>
      <c r="E73" s="120">
        <f t="shared" ref="E73:E136" si="1">C73-D73</f>
        <v>4.2827272727272728E-2</v>
      </c>
    </row>
    <row r="74" spans="2:5" ht="15" customHeight="1">
      <c r="B74" s="114" t="s">
        <v>890</v>
      </c>
      <c r="C74" s="120">
        <v>0.11194285714285715</v>
      </c>
      <c r="D74" s="119">
        <v>6.6199999999999995E-2</v>
      </c>
      <c r="E74" s="120">
        <f t="shared" si="1"/>
        <v>4.5742857142857155E-2</v>
      </c>
    </row>
    <row r="75" spans="2:5" ht="15" customHeight="1">
      <c r="B75" s="114" t="s">
        <v>891</v>
      </c>
      <c r="C75" s="120">
        <v>0.11307142857142857</v>
      </c>
      <c r="D75" s="119">
        <v>6.8153124999999995E-2</v>
      </c>
      <c r="E75" s="120">
        <f t="shared" si="1"/>
        <v>4.4918303571428578E-2</v>
      </c>
    </row>
    <row r="76" spans="2:5" ht="15" customHeight="1">
      <c r="B76" s="114" t="s">
        <v>892</v>
      </c>
      <c r="C76" s="120">
        <v>0.11699999999999999</v>
      </c>
      <c r="D76" s="119">
        <v>6.9369230769230752E-2</v>
      </c>
      <c r="E76" s="120">
        <f t="shared" si="1"/>
        <v>4.763076923076924E-2</v>
      </c>
    </row>
    <row r="77" spans="2:5" ht="15" customHeight="1">
      <c r="B77" s="114" t="s">
        <v>893</v>
      </c>
      <c r="C77" s="120">
        <v>0.12</v>
      </c>
      <c r="D77" s="119">
        <v>6.5304545454545448E-2</v>
      </c>
      <c r="E77" s="120">
        <f t="shared" si="1"/>
        <v>5.4695454545454547E-2</v>
      </c>
    </row>
    <row r="78" spans="2:5" ht="15" customHeight="1">
      <c r="B78" s="117" t="s">
        <v>894</v>
      </c>
      <c r="C78" s="120">
        <v>0.10916666666666668</v>
      </c>
      <c r="D78" s="119">
        <v>6.1478125000000015E-2</v>
      </c>
      <c r="E78" s="120">
        <f t="shared" si="1"/>
        <v>4.768854166666666E-2</v>
      </c>
    </row>
    <row r="79" spans="2:5" ht="15" customHeight="1">
      <c r="B79" s="114" t="s">
        <v>895</v>
      </c>
      <c r="C79" s="120">
        <v>0.11366666666666665</v>
      </c>
      <c r="D79" s="119">
        <v>5.8490769230769207E-2</v>
      </c>
      <c r="E79" s="120">
        <f t="shared" si="1"/>
        <v>5.5175897435897445E-2</v>
      </c>
    </row>
    <row r="80" spans="2:5" ht="15" customHeight="1">
      <c r="B80" s="114" t="s">
        <v>896</v>
      </c>
      <c r="C80" s="120">
        <v>0.11409999999999999</v>
      </c>
      <c r="D80" s="119">
        <v>5.4762121212121241E-2</v>
      </c>
      <c r="E80" s="120">
        <f t="shared" si="1"/>
        <v>5.9337878787878752E-2</v>
      </c>
    </row>
    <row r="81" spans="2:31" ht="15" customHeight="1">
      <c r="B81" s="114" t="s">
        <v>897</v>
      </c>
      <c r="C81" s="120">
        <v>0.1169</v>
      </c>
      <c r="D81" s="119">
        <v>5.1071212121212115E-2</v>
      </c>
      <c r="E81" s="120">
        <f t="shared" si="1"/>
        <v>6.5828787878787889E-2</v>
      </c>
    </row>
    <row r="82" spans="2:31" ht="15" customHeight="1">
      <c r="B82" s="117" t="s">
        <v>898</v>
      </c>
      <c r="C82" s="120">
        <v>0.10816666666666667</v>
      </c>
      <c r="D82" s="119">
        <v>5.3734374999999994E-2</v>
      </c>
      <c r="E82" s="120">
        <f t="shared" si="1"/>
        <v>5.4432291666666681E-2</v>
      </c>
    </row>
    <row r="83" spans="2:31" ht="15" customHeight="1">
      <c r="B83" s="117" t="s">
        <v>899</v>
      </c>
      <c r="C83" s="120">
        <v>0.1125</v>
      </c>
      <c r="D83" s="119">
        <v>5.7987692307692289E-2</v>
      </c>
      <c r="E83" s="120">
        <f t="shared" si="1"/>
        <v>5.4512307692307714E-2</v>
      </c>
    </row>
    <row r="84" spans="2:31" ht="15" customHeight="1">
      <c r="B84" s="117" t="s">
        <v>900</v>
      </c>
      <c r="C84" s="120">
        <v>0.10375</v>
      </c>
      <c r="D84" s="119">
        <v>6.2559090909090911E-2</v>
      </c>
      <c r="E84" s="120">
        <f t="shared" si="1"/>
        <v>4.1190909090909084E-2</v>
      </c>
    </row>
    <row r="85" spans="2:31" ht="15" customHeight="1">
      <c r="B85" s="114" t="s">
        <v>901</v>
      </c>
      <c r="C85" s="120">
        <v>0.10655000000000001</v>
      </c>
      <c r="D85" s="119">
        <v>6.2958461538461505E-2</v>
      </c>
      <c r="E85" s="120">
        <f t="shared" si="1"/>
        <v>4.3591538461538501E-2</v>
      </c>
      <c r="U85" s="121"/>
      <c r="V85" s="121"/>
      <c r="W85" s="121"/>
      <c r="X85" s="121"/>
      <c r="Y85" s="121"/>
      <c r="Z85" s="121"/>
      <c r="AA85" s="121"/>
      <c r="AB85" s="121"/>
      <c r="AC85" s="121"/>
      <c r="AD85" s="121"/>
      <c r="AE85" s="121"/>
    </row>
    <row r="86" spans="2:31" ht="15" customHeight="1">
      <c r="B86" s="117" t="s">
        <v>902</v>
      </c>
      <c r="C86" s="120">
        <v>0.11033333333333334</v>
      </c>
      <c r="D86" s="119">
        <v>5.9787692307692299E-2</v>
      </c>
      <c r="E86" s="120">
        <f t="shared" si="1"/>
        <v>5.054564102564104E-2</v>
      </c>
      <c r="U86" s="121"/>
      <c r="V86" s="121"/>
      <c r="W86" s="121"/>
      <c r="X86" s="121"/>
      <c r="Y86" s="121"/>
      <c r="Z86" s="121"/>
      <c r="AA86" s="121"/>
      <c r="AB86" s="121"/>
      <c r="AC86" s="121"/>
      <c r="AD86" s="121"/>
      <c r="AE86" s="121"/>
    </row>
    <row r="87" spans="2:31" ht="15" customHeight="1">
      <c r="B87" s="114" t="s">
        <v>903</v>
      </c>
      <c r="C87" s="120">
        <v>0.11334</v>
      </c>
      <c r="D87" s="119">
        <v>5.7932307692307693E-2</v>
      </c>
      <c r="E87" s="120">
        <f t="shared" si="1"/>
        <v>5.5407692307692304E-2</v>
      </c>
      <c r="U87" s="121"/>
      <c r="V87" s="121"/>
      <c r="W87" s="121"/>
      <c r="X87" s="121"/>
      <c r="Y87" s="121"/>
      <c r="Z87" s="121"/>
      <c r="AA87" s="121"/>
      <c r="AB87" s="121"/>
      <c r="AC87" s="121"/>
      <c r="AD87" s="121"/>
      <c r="AE87" s="121"/>
    </row>
    <row r="88" spans="2:31" ht="15" customHeight="1">
      <c r="B88" s="114" t="s">
        <v>904</v>
      </c>
      <c r="C88" s="120">
        <v>0.121</v>
      </c>
      <c r="D88" s="119">
        <v>5.6907692307692305E-2</v>
      </c>
      <c r="E88" s="120">
        <f t="shared" si="1"/>
        <v>6.4092307692307698E-2</v>
      </c>
      <c r="U88" s="121"/>
      <c r="V88" s="121"/>
      <c r="W88" s="121"/>
      <c r="X88" s="121"/>
      <c r="Y88" s="121"/>
      <c r="Z88" s="121"/>
      <c r="AA88" s="121"/>
      <c r="AB88" s="121"/>
      <c r="AC88" s="121"/>
      <c r="AD88" s="121"/>
      <c r="AE88" s="121"/>
    </row>
    <row r="89" spans="2:31" ht="15" customHeight="1">
      <c r="B89" s="117" t="s">
        <v>905</v>
      </c>
      <c r="C89" s="120">
        <v>0.11375</v>
      </c>
      <c r="D89" s="119">
        <v>5.4464615384615396E-2</v>
      </c>
      <c r="E89" s="120">
        <f t="shared" si="1"/>
        <v>5.9285384615384608E-2</v>
      </c>
      <c r="U89" s="121"/>
      <c r="V89" s="121"/>
      <c r="W89" s="121"/>
      <c r="X89" s="121"/>
      <c r="Y89" s="121"/>
      <c r="Z89" s="121"/>
      <c r="AA89" s="121"/>
      <c r="AB89" s="121"/>
      <c r="AC89" s="121"/>
      <c r="AD89" s="121"/>
      <c r="AE89" s="121"/>
    </row>
    <row r="90" spans="2:31" ht="15" customHeight="1">
      <c r="B90" s="114" t="s">
        <v>906</v>
      </c>
      <c r="C90" s="120">
        <v>0.1075</v>
      </c>
      <c r="D90" s="119">
        <v>5.7016923076923069E-2</v>
      </c>
      <c r="E90" s="120">
        <f t="shared" si="1"/>
        <v>5.0483076923076929E-2</v>
      </c>
      <c r="U90" s="121"/>
      <c r="V90" s="121"/>
      <c r="W90" s="121"/>
      <c r="X90" s="121"/>
      <c r="Y90" s="121"/>
      <c r="Z90" s="121"/>
      <c r="AA90" s="121"/>
      <c r="AB90" s="121"/>
      <c r="AC90" s="121"/>
      <c r="AD90" s="121"/>
      <c r="AE90" s="121"/>
    </row>
    <row r="91" spans="2:31" ht="15" customHeight="1">
      <c r="B91" s="114" t="s">
        <v>907</v>
      </c>
      <c r="C91" s="120">
        <v>0.10650000000000001</v>
      </c>
      <c r="D91" s="119">
        <v>5.3019696969696967E-2</v>
      </c>
      <c r="E91" s="120">
        <f t="shared" si="1"/>
        <v>5.3480303030303045E-2</v>
      </c>
      <c r="U91" s="121"/>
      <c r="V91" s="121"/>
      <c r="W91" s="121"/>
      <c r="X91" s="121"/>
      <c r="Y91" s="121"/>
      <c r="Z91" s="121"/>
      <c r="AA91" s="121"/>
      <c r="AB91" s="121"/>
      <c r="AC91" s="121"/>
      <c r="AD91" s="121"/>
      <c r="AE91" s="121"/>
    </row>
    <row r="92" spans="2:31" ht="15" customHeight="1">
      <c r="B92" s="117" t="s">
        <v>908</v>
      </c>
      <c r="C92" s="120">
        <v>0.10666666666666667</v>
      </c>
      <c r="D92" s="119">
        <v>5.51578125E-2</v>
      </c>
      <c r="E92" s="120">
        <f t="shared" si="1"/>
        <v>5.1508854166666673E-2</v>
      </c>
      <c r="U92" s="121"/>
      <c r="V92" s="121"/>
      <c r="W92" s="121"/>
      <c r="X92" s="121"/>
      <c r="Y92" s="121"/>
      <c r="Z92" s="121"/>
      <c r="AA92" s="121"/>
      <c r="AB92" s="121"/>
      <c r="AC92" s="121"/>
      <c r="AD92" s="121"/>
      <c r="AE92" s="121"/>
    </row>
    <row r="93" spans="2:31" ht="15" customHeight="1">
      <c r="B93" s="114" t="s">
        <v>909</v>
      </c>
      <c r="C93" s="120">
        <v>0.116425</v>
      </c>
      <c r="D93" s="119">
        <v>5.6164615384615389E-2</v>
      </c>
      <c r="E93" s="120">
        <f t="shared" si="1"/>
        <v>6.0260384615384611E-2</v>
      </c>
      <c r="U93" s="121"/>
      <c r="V93" s="121"/>
      <c r="W93" s="121"/>
      <c r="X93" s="121"/>
      <c r="Y93" s="121"/>
      <c r="Z93" s="121"/>
      <c r="AA93" s="121"/>
      <c r="AB93" s="121"/>
      <c r="AC93" s="121"/>
      <c r="AD93" s="121"/>
      <c r="AE93" s="121"/>
    </row>
    <row r="94" spans="2:31" ht="15" customHeight="1">
      <c r="B94" s="114" t="s">
        <v>910</v>
      </c>
      <c r="C94" s="120">
        <v>0.11499999999999999</v>
      </c>
      <c r="D94" s="119">
        <v>5.0868181818181826E-2</v>
      </c>
      <c r="E94" s="120">
        <f t="shared" si="1"/>
        <v>6.4131818181818165E-2</v>
      </c>
      <c r="U94" s="121"/>
      <c r="V94" s="121"/>
      <c r="W94" s="121"/>
      <c r="X94" s="121"/>
      <c r="Y94" s="121"/>
      <c r="Z94" s="121"/>
      <c r="AA94" s="121"/>
      <c r="AB94" s="121"/>
      <c r="AC94" s="121"/>
      <c r="AD94" s="121"/>
      <c r="AE94" s="121"/>
    </row>
    <row r="95" spans="2:31" ht="15" customHeight="1">
      <c r="B95" s="117" t="s">
        <v>911</v>
      </c>
      <c r="C95" s="120">
        <v>0.1101111111111111</v>
      </c>
      <c r="D95" s="119">
        <v>4.9322727272727268E-2</v>
      </c>
      <c r="E95" s="120">
        <f t="shared" si="1"/>
        <v>6.0788383838383836E-2</v>
      </c>
      <c r="U95" s="121"/>
      <c r="V95" s="121"/>
      <c r="W95" s="121"/>
      <c r="X95" s="121"/>
      <c r="Y95" s="121"/>
      <c r="Z95" s="121"/>
      <c r="AA95" s="121"/>
      <c r="AB95" s="121"/>
      <c r="AC95" s="121"/>
      <c r="AD95" s="121"/>
      <c r="AE95" s="121"/>
    </row>
    <row r="96" spans="2:31" ht="15" customHeight="1">
      <c r="B96" s="114" t="s">
        <v>912</v>
      </c>
      <c r="C96" s="120">
        <v>0.11381999999999999</v>
      </c>
      <c r="D96" s="119">
        <v>4.8518749999999999E-2</v>
      </c>
      <c r="E96" s="120">
        <f t="shared" si="1"/>
        <v>6.5301249999999991E-2</v>
      </c>
      <c r="U96" s="121"/>
      <c r="V96" s="121"/>
      <c r="W96" s="121"/>
      <c r="X96" s="121"/>
      <c r="Y96" s="121"/>
      <c r="Z96" s="121"/>
      <c r="AA96" s="121"/>
      <c r="AB96" s="121"/>
      <c r="AC96" s="121"/>
      <c r="AD96" s="121"/>
      <c r="AE96" s="121"/>
    </row>
    <row r="97" spans="2:31" ht="15" customHeight="1">
      <c r="B97" s="114" t="s">
        <v>913</v>
      </c>
      <c r="C97" s="120">
        <v>0.113625</v>
      </c>
      <c r="D97" s="119">
        <v>4.6032307692307678E-2</v>
      </c>
      <c r="E97" s="120">
        <f t="shared" si="1"/>
        <v>6.7592692307692326E-2</v>
      </c>
      <c r="U97" s="121"/>
      <c r="V97" s="121"/>
      <c r="W97" s="121"/>
      <c r="X97" s="121"/>
      <c r="Y97" s="121"/>
      <c r="Z97" s="121"/>
      <c r="AA97" s="121"/>
      <c r="AB97" s="121"/>
      <c r="AC97" s="121"/>
      <c r="AD97" s="121"/>
      <c r="AE97" s="121"/>
    </row>
    <row r="98" spans="2:31" ht="15" customHeight="1">
      <c r="B98" s="114" t="s">
        <v>914</v>
      </c>
      <c r="C98" s="120">
        <v>0.10612000000000002</v>
      </c>
      <c r="D98" s="119">
        <v>5.113939393939395E-2</v>
      </c>
      <c r="E98" s="120">
        <f t="shared" si="1"/>
        <v>5.498060606060607E-2</v>
      </c>
      <c r="U98" s="121"/>
      <c r="V98" s="121"/>
      <c r="W98" s="121"/>
      <c r="X98" s="121"/>
      <c r="Y98" s="121"/>
      <c r="Z98" s="121"/>
      <c r="AA98" s="121"/>
      <c r="AB98" s="121"/>
      <c r="AC98" s="121"/>
      <c r="AD98" s="121"/>
      <c r="AE98" s="121"/>
    </row>
    <row r="99" spans="2:31" ht="15" customHeight="1">
      <c r="B99" s="114" t="s">
        <v>915</v>
      </c>
      <c r="C99" s="120">
        <v>0.10841818181818183</v>
      </c>
      <c r="D99" s="119">
        <v>5.1146969696969691E-2</v>
      </c>
      <c r="E99" s="120">
        <f t="shared" si="1"/>
        <v>5.7271212121212139E-2</v>
      </c>
      <c r="U99" s="121"/>
      <c r="V99" s="121"/>
      <c r="W99" s="121"/>
      <c r="X99" s="121"/>
      <c r="Y99" s="121"/>
      <c r="Z99" s="121"/>
      <c r="AA99" s="121"/>
      <c r="AB99" s="121"/>
      <c r="AC99" s="121"/>
      <c r="AD99" s="121"/>
      <c r="AE99" s="121"/>
    </row>
    <row r="100" spans="2:31" ht="15" customHeight="1">
      <c r="B100" s="114" t="s">
        <v>916</v>
      </c>
      <c r="C100" s="120">
        <v>0.11059999999999999</v>
      </c>
      <c r="D100" s="119">
        <v>4.8776923076923072E-2</v>
      </c>
      <c r="E100" s="120">
        <f t="shared" si="1"/>
        <v>6.1823076923076918E-2</v>
      </c>
      <c r="U100" s="121"/>
      <c r="V100" s="121"/>
      <c r="W100" s="121"/>
      <c r="X100" s="121"/>
      <c r="Y100" s="121"/>
      <c r="Z100" s="121"/>
      <c r="AA100" s="121"/>
      <c r="AB100" s="121"/>
      <c r="AC100" s="121"/>
      <c r="AD100" s="121"/>
      <c r="AE100" s="121"/>
    </row>
    <row r="101" spans="2:31" ht="15" customHeight="1">
      <c r="B101" s="114" t="s">
        <v>917</v>
      </c>
      <c r="C101" s="120">
        <v>0.10573333333333335</v>
      </c>
      <c r="D101" s="119">
        <v>5.3353846153846154E-2</v>
      </c>
      <c r="E101" s="120">
        <f t="shared" si="1"/>
        <v>5.2379487179487191E-2</v>
      </c>
      <c r="U101" s="121"/>
      <c r="V101" s="121"/>
      <c r="W101" s="121"/>
      <c r="X101" s="121"/>
      <c r="Y101" s="121"/>
      <c r="Z101" s="121"/>
      <c r="AA101" s="121"/>
      <c r="AB101" s="121"/>
      <c r="AC101" s="121"/>
      <c r="AD101" s="121"/>
      <c r="AE101" s="121"/>
    </row>
    <row r="102" spans="2:31" ht="15" customHeight="1">
      <c r="B102" s="114" t="s">
        <v>918</v>
      </c>
      <c r="C102" s="120">
        <v>0.10368749999999999</v>
      </c>
      <c r="D102" s="119">
        <v>5.1074242424242439E-2</v>
      </c>
      <c r="E102" s="120">
        <f t="shared" si="1"/>
        <v>5.2613257575757549E-2</v>
      </c>
      <c r="U102" s="121"/>
      <c r="V102" s="121"/>
      <c r="W102" s="121"/>
      <c r="X102" s="121"/>
      <c r="Y102" s="121"/>
      <c r="Z102" s="121"/>
      <c r="AA102" s="121"/>
      <c r="AB102" s="121"/>
      <c r="AC102" s="121"/>
      <c r="AD102" s="121"/>
      <c r="AE102" s="121"/>
    </row>
    <row r="103" spans="2:31" ht="15" customHeight="1">
      <c r="B103" s="114" t="s">
        <v>919</v>
      </c>
      <c r="C103" s="120">
        <v>0.10658333333333332</v>
      </c>
      <c r="D103" s="119">
        <v>4.9322727272727296E-2</v>
      </c>
      <c r="E103" s="120">
        <f t="shared" si="1"/>
        <v>5.7260606060606026E-2</v>
      </c>
      <c r="U103" s="121"/>
      <c r="V103" s="121"/>
      <c r="W103" s="121"/>
      <c r="X103" s="121"/>
      <c r="Y103" s="121"/>
      <c r="Z103" s="121"/>
      <c r="AA103" s="121"/>
      <c r="AB103" s="121"/>
      <c r="AC103" s="121"/>
      <c r="AD103" s="121"/>
      <c r="AE103" s="121"/>
    </row>
    <row r="104" spans="2:31" ht="15" customHeight="1">
      <c r="B104" s="114" t="s">
        <v>920</v>
      </c>
      <c r="C104" s="120">
        <v>0.10650000000000001</v>
      </c>
      <c r="D104" s="119">
        <v>4.7070312500000003E-2</v>
      </c>
      <c r="E104" s="120">
        <f t="shared" si="1"/>
        <v>5.9429687500000009E-2</v>
      </c>
      <c r="U104" s="121"/>
      <c r="V104" s="121"/>
      <c r="W104" s="121"/>
      <c r="X104" s="121"/>
      <c r="Y104" s="121"/>
      <c r="Z104" s="121"/>
      <c r="AA104" s="121"/>
      <c r="AB104" s="121"/>
      <c r="AC104" s="121"/>
      <c r="AD104" s="121"/>
      <c r="AE104" s="121"/>
    </row>
    <row r="105" spans="2:31" ht="15" customHeight="1">
      <c r="B105" s="117" t="s">
        <v>921</v>
      </c>
      <c r="C105" s="120">
        <v>0.10536000000000001</v>
      </c>
      <c r="D105" s="119">
        <v>4.4709230769230765E-2</v>
      </c>
      <c r="E105" s="120">
        <f t="shared" si="1"/>
        <v>6.0650769230769244E-2</v>
      </c>
      <c r="U105" s="121"/>
      <c r="V105" s="121"/>
      <c r="W105" s="121"/>
      <c r="X105" s="121"/>
      <c r="Y105" s="121"/>
      <c r="Z105" s="121"/>
      <c r="AA105" s="121"/>
      <c r="AB105" s="121"/>
      <c r="AC105" s="121"/>
      <c r="AD105" s="121"/>
      <c r="AE105" s="121"/>
    </row>
    <row r="106" spans="2:31" ht="15" customHeight="1">
      <c r="B106" s="114" t="s">
        <v>922</v>
      </c>
      <c r="C106" s="120">
        <v>0.10471999999999999</v>
      </c>
      <c r="D106" s="119">
        <v>4.4228787878787867E-2</v>
      </c>
      <c r="E106" s="120">
        <f t="shared" si="1"/>
        <v>6.0491212121212126E-2</v>
      </c>
      <c r="U106" s="121"/>
      <c r="V106" s="121"/>
      <c r="W106" s="121"/>
      <c r="X106" s="121"/>
      <c r="Y106" s="121"/>
      <c r="Z106" s="121"/>
      <c r="AA106" s="121"/>
      <c r="AB106" s="121"/>
      <c r="AC106" s="121"/>
      <c r="AD106" s="121"/>
      <c r="AE106" s="121"/>
    </row>
    <row r="107" spans="2:31" ht="15" customHeight="1">
      <c r="B107" s="114" t="s">
        <v>923</v>
      </c>
      <c r="C107" s="120">
        <v>0.10316428571428572</v>
      </c>
      <c r="D107" s="119">
        <v>4.6523076923076924E-2</v>
      </c>
      <c r="E107" s="120">
        <f t="shared" si="1"/>
        <v>5.6641208791208798E-2</v>
      </c>
      <c r="U107" s="121"/>
      <c r="V107" s="121"/>
      <c r="W107" s="121"/>
      <c r="X107" s="121"/>
      <c r="Y107" s="121"/>
      <c r="Z107" s="121"/>
      <c r="AA107" s="121"/>
      <c r="AB107" s="121"/>
      <c r="AC107" s="121"/>
      <c r="AD107" s="121"/>
      <c r="AE107" s="121"/>
    </row>
    <row r="108" spans="2:31" ht="15" customHeight="1">
      <c r="B108" s="114" t="s">
        <v>924</v>
      </c>
      <c r="C108" s="120">
        <v>0.10680000000000001</v>
      </c>
      <c r="D108" s="119">
        <v>4.6270769230769213E-2</v>
      </c>
      <c r="E108" s="120">
        <f t="shared" si="1"/>
        <v>6.0529230769230793E-2</v>
      </c>
      <c r="U108" s="121"/>
      <c r="V108" s="121"/>
      <c r="W108" s="121"/>
      <c r="X108" s="121"/>
      <c r="Y108" s="121"/>
      <c r="Z108" s="121"/>
      <c r="AA108" s="121"/>
      <c r="AB108" s="121"/>
      <c r="AC108" s="121"/>
      <c r="AD108" s="121"/>
      <c r="AE108" s="121"/>
    </row>
    <row r="109" spans="2:31" ht="15" customHeight="1">
      <c r="B109" s="114" t="s">
        <v>925</v>
      </c>
      <c r="C109" s="120">
        <v>0.106</v>
      </c>
      <c r="D109" s="119">
        <v>5.1427692307692299E-2</v>
      </c>
      <c r="E109" s="120">
        <f t="shared" si="1"/>
        <v>5.4572307692307698E-2</v>
      </c>
      <c r="U109" s="121"/>
      <c r="V109" s="121"/>
      <c r="W109" s="121"/>
      <c r="X109" s="121"/>
      <c r="Y109" s="121"/>
      <c r="Z109" s="121"/>
      <c r="AA109" s="121"/>
      <c r="AB109" s="121"/>
      <c r="AC109" s="121"/>
      <c r="AD109" s="121"/>
      <c r="AE109" s="121"/>
    </row>
    <row r="110" spans="2:31" ht="15" customHeight="1">
      <c r="B110" s="114" t="s">
        <v>926</v>
      </c>
      <c r="C110" s="120">
        <v>0.10337499999999999</v>
      </c>
      <c r="D110" s="119">
        <v>4.9955384615384631E-2</v>
      </c>
      <c r="E110" s="120">
        <f t="shared" si="1"/>
        <v>5.3419615384615364E-2</v>
      </c>
      <c r="U110" s="121"/>
      <c r="V110" s="121"/>
      <c r="W110" s="121"/>
      <c r="X110" s="121"/>
      <c r="Y110" s="121"/>
      <c r="Z110" s="121"/>
      <c r="AA110" s="121"/>
      <c r="AB110" s="121"/>
      <c r="AC110" s="121"/>
      <c r="AD110" s="121"/>
      <c r="AE110" s="121"/>
    </row>
    <row r="111" spans="2:31" ht="15" customHeight="1">
      <c r="B111" s="114" t="s">
        <v>927</v>
      </c>
      <c r="C111" s="120">
        <v>0.10142</v>
      </c>
      <c r="D111" s="119">
        <v>4.7423076923076908E-2</v>
      </c>
      <c r="E111" s="120">
        <f t="shared" si="1"/>
        <v>5.3996923076923088E-2</v>
      </c>
      <c r="U111" s="121"/>
      <c r="V111" s="121"/>
      <c r="W111" s="121"/>
      <c r="X111" s="121"/>
      <c r="Y111" s="121"/>
      <c r="Z111" s="121"/>
      <c r="AA111" s="121"/>
      <c r="AB111" s="121"/>
      <c r="AC111" s="121"/>
      <c r="AD111" s="121"/>
      <c r="AE111" s="121"/>
    </row>
    <row r="112" spans="2:31" ht="15" customHeight="1">
      <c r="B112" s="114" t="s">
        <v>928</v>
      </c>
      <c r="C112" s="120">
        <v>0.10518181818181818</v>
      </c>
      <c r="D112" s="119">
        <v>4.7975384615384635E-2</v>
      </c>
      <c r="E112" s="120">
        <f t="shared" si="1"/>
        <v>5.7206433566433547E-2</v>
      </c>
      <c r="U112" s="121"/>
      <c r="V112" s="121"/>
      <c r="W112" s="121"/>
      <c r="X112" s="121"/>
      <c r="Y112" s="121"/>
      <c r="Z112" s="121"/>
      <c r="AA112" s="121"/>
      <c r="AB112" s="121"/>
      <c r="AC112" s="121"/>
      <c r="AD112" s="121"/>
      <c r="AE112" s="121"/>
    </row>
    <row r="113" spans="2:31" ht="15" customHeight="1">
      <c r="B113" s="114" t="s">
        <v>929</v>
      </c>
      <c r="C113" s="120">
        <v>0.10126666666666666</v>
      </c>
      <c r="D113" s="119">
        <v>4.9892307692307715E-2</v>
      </c>
      <c r="E113" s="120">
        <f t="shared" si="1"/>
        <v>5.1374358974358943E-2</v>
      </c>
      <c r="U113" s="121"/>
      <c r="V113" s="121"/>
      <c r="W113" s="121"/>
      <c r="X113" s="121"/>
      <c r="Y113" s="121"/>
      <c r="Z113" s="121"/>
      <c r="AA113" s="121"/>
      <c r="AB113" s="121"/>
      <c r="AC113" s="121"/>
      <c r="AD113" s="121"/>
      <c r="AE113" s="121"/>
    </row>
    <row r="114" spans="2:31" ht="15" customHeight="1">
      <c r="B114" s="114" t="s">
        <v>930</v>
      </c>
      <c r="C114" s="120">
        <v>0.10026249999999999</v>
      </c>
      <c r="D114" s="119">
        <v>4.9499999999999982E-2</v>
      </c>
      <c r="E114" s="120">
        <f t="shared" si="1"/>
        <v>5.0762500000000009E-2</v>
      </c>
      <c r="U114" s="121"/>
      <c r="V114" s="121"/>
      <c r="W114" s="121"/>
      <c r="X114" s="121"/>
      <c r="Y114" s="121"/>
      <c r="Z114" s="121"/>
      <c r="AA114" s="121"/>
      <c r="AB114" s="121"/>
      <c r="AC114" s="121"/>
      <c r="AD114" s="121"/>
      <c r="AE114" s="121"/>
    </row>
    <row r="115" spans="2:31" ht="15" customHeight="1">
      <c r="B115" s="114" t="s">
        <v>931</v>
      </c>
      <c r="C115" s="120">
        <v>0.10117692307692307</v>
      </c>
      <c r="D115" s="119">
        <v>4.6140000000000014E-2</v>
      </c>
      <c r="E115" s="120">
        <f t="shared" si="1"/>
        <v>5.5036923076923053E-2</v>
      </c>
      <c r="U115" s="121"/>
      <c r="V115" s="121"/>
      <c r="W115" s="121"/>
      <c r="X115" s="121"/>
      <c r="Y115" s="121"/>
      <c r="Z115" s="121"/>
      <c r="AA115" s="121"/>
      <c r="AB115" s="121"/>
      <c r="AC115" s="121"/>
      <c r="AD115" s="121"/>
      <c r="AE115" s="121"/>
    </row>
    <row r="116" spans="2:31" ht="15" customHeight="1">
      <c r="B116" s="114" t="s">
        <v>932</v>
      </c>
      <c r="C116" s="120">
        <v>0.10375714285714287</v>
      </c>
      <c r="D116" s="119">
        <v>4.409538461538462E-2</v>
      </c>
      <c r="E116" s="120">
        <f t="shared" si="1"/>
        <v>5.9661758241758248E-2</v>
      </c>
      <c r="U116" s="121"/>
      <c r="V116" s="121"/>
      <c r="W116" s="121"/>
      <c r="X116" s="121"/>
      <c r="Y116" s="121"/>
      <c r="Z116" s="121"/>
      <c r="AA116" s="121"/>
      <c r="AB116" s="121"/>
      <c r="AC116" s="121"/>
      <c r="AD116" s="121"/>
      <c r="AE116" s="121"/>
    </row>
    <row r="117" spans="2:31" ht="15" customHeight="1">
      <c r="B117" s="114" t="s">
        <v>933</v>
      </c>
      <c r="C117" s="120">
        <v>0.10166666666666668</v>
      </c>
      <c r="D117" s="119">
        <v>4.5739999999999996E-2</v>
      </c>
      <c r="E117" s="120">
        <f t="shared" si="1"/>
        <v>5.5926666666666687E-2</v>
      </c>
      <c r="U117" s="121"/>
      <c r="V117" s="121"/>
      <c r="W117" s="121"/>
      <c r="X117" s="121"/>
      <c r="Y117" s="121"/>
      <c r="Z117" s="121"/>
      <c r="AA117" s="121"/>
      <c r="AB117" s="121"/>
      <c r="AC117" s="121"/>
      <c r="AD117" s="121"/>
      <c r="AE117" s="121"/>
    </row>
    <row r="118" spans="2:31" ht="15" customHeight="1">
      <c r="B118" s="114" t="s">
        <v>934</v>
      </c>
      <c r="C118" s="120">
        <v>0.10551111111111111</v>
      </c>
      <c r="D118" s="119">
        <v>4.4501515151515146E-2</v>
      </c>
      <c r="E118" s="120">
        <f t="shared" si="1"/>
        <v>6.1009595959595965E-2</v>
      </c>
      <c r="U118" s="121"/>
      <c r="V118" s="121"/>
      <c r="W118" s="121"/>
      <c r="X118" s="121"/>
      <c r="Y118" s="121"/>
      <c r="Z118" s="121"/>
      <c r="AA118" s="121"/>
      <c r="AB118" s="121"/>
      <c r="AC118" s="121"/>
      <c r="AD118" s="121"/>
      <c r="AE118" s="121"/>
    </row>
    <row r="119" spans="2:31" ht="15" customHeight="1">
      <c r="B119" s="114" t="s">
        <v>935</v>
      </c>
      <c r="C119" s="120">
        <v>0.10338461538461538</v>
      </c>
      <c r="D119" s="119">
        <v>3.6437500000000005E-2</v>
      </c>
      <c r="E119" s="120">
        <f t="shared" si="1"/>
        <v>6.6947115384615369E-2</v>
      </c>
      <c r="U119" s="121"/>
      <c r="V119" s="121"/>
      <c r="W119" s="121"/>
      <c r="X119" s="121"/>
      <c r="Y119" s="121"/>
      <c r="Z119" s="121"/>
      <c r="AA119" s="121"/>
      <c r="AB119" s="121"/>
      <c r="AC119" s="121"/>
      <c r="AD119" s="121"/>
      <c r="AE119" s="121"/>
    </row>
    <row r="120" spans="2:31" ht="15" customHeight="1">
      <c r="B120" s="114" t="s">
        <v>936</v>
      </c>
      <c r="C120" s="120">
        <v>0.10242499999999999</v>
      </c>
      <c r="D120" s="119">
        <v>3.4393749999999994E-2</v>
      </c>
      <c r="E120" s="120">
        <f t="shared" si="1"/>
        <v>6.8031249999999988E-2</v>
      </c>
      <c r="U120" s="121"/>
      <c r="V120" s="121"/>
      <c r="W120" s="121"/>
      <c r="X120" s="121"/>
      <c r="Y120" s="121"/>
      <c r="Z120" s="121"/>
      <c r="AA120" s="121"/>
      <c r="AB120" s="121"/>
      <c r="AC120" s="121"/>
      <c r="AD120" s="121"/>
      <c r="AE120" s="121"/>
    </row>
    <row r="121" spans="2:31" ht="15" customHeight="1">
      <c r="B121" s="114" t="s">
        <v>937</v>
      </c>
      <c r="C121" s="120">
        <v>0.101075</v>
      </c>
      <c r="D121" s="119">
        <v>4.1692307692307695E-2</v>
      </c>
      <c r="E121" s="120">
        <f t="shared" si="1"/>
        <v>5.9382692307692303E-2</v>
      </c>
      <c r="U121" s="121"/>
      <c r="V121" s="121"/>
      <c r="W121" s="121"/>
      <c r="X121" s="121"/>
      <c r="Y121" s="121"/>
      <c r="Z121" s="121"/>
      <c r="AA121" s="121"/>
      <c r="AB121" s="121"/>
      <c r="AC121" s="121"/>
      <c r="AD121" s="121"/>
      <c r="AE121" s="121"/>
    </row>
    <row r="122" spans="2:31" ht="15" customHeight="1">
      <c r="B122" s="114" t="s">
        <v>938</v>
      </c>
      <c r="C122" s="120">
        <v>9.8799999999999999E-2</v>
      </c>
      <c r="D122" s="119">
        <v>4.321666666666666E-2</v>
      </c>
      <c r="E122" s="120">
        <f t="shared" si="1"/>
        <v>5.5583333333333339E-2</v>
      </c>
      <c r="U122" s="121"/>
      <c r="V122" s="121"/>
      <c r="W122" s="121"/>
      <c r="X122" s="121"/>
      <c r="Y122" s="121"/>
      <c r="Z122" s="121"/>
      <c r="AA122" s="121"/>
      <c r="AB122" s="121"/>
      <c r="AC122" s="121"/>
      <c r="AD122" s="121"/>
      <c r="AE122" s="121"/>
    </row>
    <row r="123" spans="2:31" ht="15" customHeight="1">
      <c r="B123" s="114" t="s">
        <v>939</v>
      </c>
      <c r="C123" s="120">
        <v>0.10305000000000003</v>
      </c>
      <c r="D123" s="119">
        <v>4.3392187499999998E-2</v>
      </c>
      <c r="E123" s="120">
        <f t="shared" si="1"/>
        <v>5.9657812500000032E-2</v>
      </c>
      <c r="U123" s="121"/>
      <c r="V123" s="121"/>
      <c r="W123" s="121"/>
      <c r="X123" s="121"/>
      <c r="Y123" s="121"/>
      <c r="Z123" s="121"/>
      <c r="AA123" s="121"/>
      <c r="AB123" s="121"/>
      <c r="AC123" s="121"/>
      <c r="AD123" s="121"/>
      <c r="AE123" s="121"/>
    </row>
    <row r="124" spans="2:31" ht="15" customHeight="1">
      <c r="B124" s="114" t="s">
        <v>940</v>
      </c>
      <c r="C124" s="120">
        <v>0.10236666666666666</v>
      </c>
      <c r="D124" s="119">
        <v>4.6243749999999986E-2</v>
      </c>
      <c r="E124" s="120">
        <f t="shared" si="1"/>
        <v>5.6122916666666675E-2</v>
      </c>
      <c r="U124" s="121"/>
      <c r="V124" s="121"/>
      <c r="W124" s="121"/>
      <c r="X124" s="121"/>
      <c r="Y124" s="121"/>
      <c r="Z124" s="121"/>
      <c r="AA124" s="121"/>
      <c r="AB124" s="121"/>
      <c r="AC124" s="121"/>
      <c r="AD124" s="121"/>
      <c r="AE124" s="121"/>
    </row>
    <row r="125" spans="2:31" ht="15" customHeight="1">
      <c r="B125" s="114" t="s">
        <v>941</v>
      </c>
      <c r="C125" s="120">
        <v>9.985454545454546E-2</v>
      </c>
      <c r="D125" s="119">
        <v>4.3692307692307676E-2</v>
      </c>
      <c r="E125" s="120">
        <f t="shared" si="1"/>
        <v>5.6162237762237784E-2</v>
      </c>
      <c r="U125" s="121"/>
      <c r="V125" s="121"/>
      <c r="W125" s="121"/>
      <c r="X125" s="121"/>
      <c r="Y125" s="121"/>
      <c r="Z125" s="121"/>
      <c r="AA125" s="121"/>
      <c r="AB125" s="121"/>
      <c r="AC125" s="121"/>
      <c r="AD125" s="121"/>
      <c r="AE125" s="121"/>
    </row>
    <row r="126" spans="2:31" ht="15" customHeight="1">
      <c r="B126" s="114" t="s">
        <v>942</v>
      </c>
      <c r="C126" s="120">
        <v>0.10425</v>
      </c>
      <c r="D126" s="119">
        <v>3.8563636363636355E-2</v>
      </c>
      <c r="E126" s="120">
        <f t="shared" si="1"/>
        <v>6.568636363636364E-2</v>
      </c>
      <c r="U126" s="121"/>
      <c r="V126" s="121"/>
      <c r="W126" s="121"/>
      <c r="X126" s="121"/>
      <c r="Y126" s="121"/>
      <c r="Z126" s="121"/>
      <c r="AA126" s="121"/>
      <c r="AB126" s="121"/>
      <c r="AC126" s="121"/>
      <c r="AD126" s="121"/>
      <c r="AE126" s="121"/>
    </row>
    <row r="127" spans="2:31" ht="15" customHeight="1">
      <c r="B127" s="114" t="s">
        <v>943</v>
      </c>
      <c r="C127" s="120">
        <v>0.10092307692307692</v>
      </c>
      <c r="D127" s="119">
        <v>4.1749230769230768E-2</v>
      </c>
      <c r="E127" s="120">
        <f t="shared" si="1"/>
        <v>5.9173846153846153E-2</v>
      </c>
      <c r="U127" s="121"/>
      <c r="V127" s="121"/>
      <c r="W127" s="121"/>
      <c r="X127" s="121"/>
      <c r="Y127" s="121"/>
      <c r="Z127" s="121"/>
      <c r="AA127" s="121"/>
      <c r="AB127" s="121"/>
      <c r="AC127" s="121"/>
      <c r="AD127" s="121"/>
      <c r="AE127" s="121"/>
    </row>
    <row r="128" spans="2:31" ht="15" customHeight="1">
      <c r="B128" s="114" t="s">
        <v>944</v>
      </c>
      <c r="C128" s="120">
        <v>0.10100000000000001</v>
      </c>
      <c r="D128" s="119">
        <v>4.5609374999999994E-2</v>
      </c>
      <c r="E128" s="120">
        <f t="shared" si="1"/>
        <v>5.5390625000000013E-2</v>
      </c>
      <c r="U128" s="121"/>
      <c r="V128" s="121"/>
      <c r="W128" s="121"/>
      <c r="X128" s="121"/>
      <c r="Y128" s="121"/>
      <c r="Z128" s="121"/>
      <c r="AA128" s="121"/>
      <c r="AB128" s="121"/>
      <c r="AC128" s="121"/>
      <c r="AD128" s="121"/>
      <c r="AE128" s="121"/>
    </row>
    <row r="129" spans="2:31" ht="15" customHeight="1">
      <c r="B129" s="117" t="s">
        <v>945</v>
      </c>
      <c r="C129" s="120">
        <v>9.845000000000001E-2</v>
      </c>
      <c r="D129" s="119">
        <v>4.3387692307692308E-2</v>
      </c>
      <c r="E129" s="120">
        <f t="shared" si="1"/>
        <v>5.5062307692307702E-2</v>
      </c>
      <c r="U129" s="121"/>
      <c r="V129" s="121"/>
      <c r="W129" s="121"/>
      <c r="X129" s="121"/>
      <c r="Y129" s="121"/>
      <c r="Z129" s="121"/>
      <c r="AA129" s="121"/>
      <c r="AB129" s="121"/>
      <c r="AC129" s="121"/>
      <c r="AD129" s="121"/>
      <c r="AE129" s="121"/>
    </row>
    <row r="130" spans="2:31" ht="15" customHeight="1">
      <c r="B130" s="117" t="s">
        <v>946</v>
      </c>
      <c r="C130" s="120">
        <v>9.6500000000000002E-2</v>
      </c>
      <c r="D130" s="119">
        <v>3.6960606060606048E-2</v>
      </c>
      <c r="E130" s="120">
        <f t="shared" si="1"/>
        <v>5.9539393939393954E-2</v>
      </c>
      <c r="U130" s="121"/>
      <c r="V130" s="121"/>
      <c r="W130" s="121"/>
      <c r="X130" s="121"/>
      <c r="Y130" s="121"/>
      <c r="Z130" s="121"/>
      <c r="AA130" s="121"/>
      <c r="AB130" s="121"/>
      <c r="AC130" s="121"/>
      <c r="AD130" s="121"/>
      <c r="AE130" s="121"/>
    </row>
    <row r="131" spans="2:31" ht="15" customHeight="1">
      <c r="B131" s="117" t="s">
        <v>947</v>
      </c>
      <c r="C131" s="120">
        <v>9.8750000000000004E-2</v>
      </c>
      <c r="D131" s="119">
        <v>3.0376190476190473E-2</v>
      </c>
      <c r="E131" s="120">
        <f t="shared" si="1"/>
        <v>6.8373809523809531E-2</v>
      </c>
      <c r="U131" s="121"/>
      <c r="V131" s="121"/>
      <c r="W131" s="121"/>
      <c r="X131" s="121"/>
      <c r="Y131" s="121"/>
      <c r="Z131" s="121"/>
      <c r="AA131" s="121"/>
      <c r="AB131" s="121"/>
      <c r="AC131" s="121"/>
      <c r="AD131" s="121"/>
      <c r="AE131" s="121"/>
    </row>
    <row r="132" spans="2:31" ht="15" customHeight="1">
      <c r="B132" s="117" t="s">
        <v>948</v>
      </c>
      <c r="C132" s="120">
        <v>9.6319999999999989E-2</v>
      </c>
      <c r="D132" s="119">
        <v>3.1361538461538462E-2</v>
      </c>
      <c r="E132" s="120">
        <f t="shared" si="1"/>
        <v>6.495846153846152E-2</v>
      </c>
      <c r="U132" s="121"/>
      <c r="V132" s="121"/>
      <c r="W132" s="121"/>
      <c r="X132" s="121"/>
      <c r="Y132" s="121"/>
      <c r="Z132" s="121"/>
      <c r="AA132" s="121"/>
      <c r="AB132" s="121"/>
      <c r="AC132" s="121"/>
      <c r="AD132" s="121"/>
      <c r="AE132" s="121"/>
    </row>
    <row r="133" spans="2:31" ht="15" customHeight="1">
      <c r="B133" s="117" t="s">
        <v>949</v>
      </c>
      <c r="C133" s="120">
        <v>9.8312499999999983E-2</v>
      </c>
      <c r="D133" s="119">
        <v>2.9363076923076922E-2</v>
      </c>
      <c r="E133" s="120">
        <f t="shared" si="1"/>
        <v>6.8949423076923061E-2</v>
      </c>
      <c r="U133" s="121"/>
      <c r="V133" s="121"/>
      <c r="W133" s="121"/>
      <c r="X133" s="121"/>
      <c r="Y133" s="121"/>
      <c r="Z133" s="121"/>
      <c r="AA133" s="121"/>
      <c r="AB133" s="121"/>
      <c r="AC133" s="121"/>
      <c r="AD133" s="121"/>
      <c r="AE133" s="121"/>
    </row>
    <row r="134" spans="2:31" ht="15" customHeight="1">
      <c r="B134" s="117" t="s">
        <v>950</v>
      </c>
      <c r="C134" s="120">
        <v>9.7500000000000003E-2</v>
      </c>
      <c r="D134" s="119">
        <v>2.7429230769230779E-2</v>
      </c>
      <c r="E134" s="120">
        <f t="shared" si="1"/>
        <v>7.0070769230769228E-2</v>
      </c>
      <c r="U134" s="121"/>
      <c r="V134" s="121"/>
      <c r="W134" s="121"/>
      <c r="X134" s="121"/>
      <c r="Y134" s="121"/>
      <c r="Z134" s="121"/>
      <c r="AA134" s="121"/>
      <c r="AB134" s="121"/>
      <c r="AC134" s="121"/>
      <c r="AD134" s="121"/>
      <c r="AE134" s="121"/>
    </row>
    <row r="135" spans="2:31" ht="15" customHeight="1">
      <c r="B135" s="117" t="s">
        <v>951</v>
      </c>
      <c r="C135" s="120">
        <v>0.10055</v>
      </c>
      <c r="D135" s="119">
        <v>2.8639062499999993E-2</v>
      </c>
      <c r="E135" s="120">
        <f t="shared" si="1"/>
        <v>7.1910937500000008E-2</v>
      </c>
      <c r="U135" s="121"/>
      <c r="V135" s="121"/>
      <c r="W135" s="121"/>
      <c r="X135" s="121"/>
      <c r="Y135" s="121"/>
      <c r="Z135" s="121"/>
      <c r="AA135" s="121"/>
      <c r="AB135" s="121"/>
      <c r="AC135" s="121"/>
      <c r="AD135" s="121"/>
      <c r="AE135" s="121"/>
    </row>
    <row r="136" spans="2:31" ht="15" customHeight="1">
      <c r="B136" s="117" t="s">
        <v>952</v>
      </c>
      <c r="C136" s="120">
        <v>9.5666666666666678E-2</v>
      </c>
      <c r="D136" s="119">
        <v>3.1303125000000008E-2</v>
      </c>
      <c r="E136" s="120">
        <f t="shared" si="1"/>
        <v>6.4363541666666663E-2</v>
      </c>
      <c r="U136" s="121"/>
      <c r="V136" s="121"/>
      <c r="W136" s="121"/>
      <c r="X136" s="121"/>
      <c r="Y136" s="121"/>
      <c r="Z136" s="121"/>
      <c r="AA136" s="121"/>
      <c r="AB136" s="121"/>
      <c r="AC136" s="121"/>
      <c r="AD136" s="121"/>
      <c r="AE136" s="121"/>
    </row>
    <row r="137" spans="2:31" ht="15" customHeight="1">
      <c r="B137" s="117" t="s">
        <v>953</v>
      </c>
      <c r="C137" s="120">
        <v>9.4683333333333328E-2</v>
      </c>
      <c r="D137" s="119">
        <v>3.1412307692307684E-2</v>
      </c>
      <c r="E137" s="120">
        <f t="shared" ref="E137:E189" si="2">C137-D137</f>
        <v>6.3271025641025644E-2</v>
      </c>
      <c r="U137" s="121"/>
      <c r="V137" s="121"/>
      <c r="W137" s="121"/>
      <c r="X137" s="121"/>
      <c r="Y137" s="121"/>
      <c r="Z137" s="121"/>
      <c r="AA137" s="121"/>
      <c r="AB137" s="121"/>
      <c r="AC137" s="121"/>
      <c r="AD137" s="121"/>
      <c r="AE137" s="121"/>
    </row>
    <row r="138" spans="2:31" ht="15" customHeight="1">
      <c r="B138" s="117" t="s">
        <v>954</v>
      </c>
      <c r="C138" s="120">
        <v>9.6000000000000002E-2</v>
      </c>
      <c r="D138" s="119">
        <v>3.7107575757575756E-2</v>
      </c>
      <c r="E138" s="120">
        <f t="shared" si="2"/>
        <v>5.8892424242424246E-2</v>
      </c>
      <c r="U138" s="121"/>
      <c r="V138" s="121"/>
      <c r="W138" s="121"/>
      <c r="X138" s="121"/>
      <c r="Y138" s="121"/>
      <c r="Z138" s="121"/>
      <c r="AA138" s="121"/>
      <c r="AB138" s="121"/>
      <c r="AC138" s="121"/>
      <c r="AD138" s="121"/>
      <c r="AE138" s="121"/>
    </row>
    <row r="139" spans="2:31" ht="15" customHeight="1">
      <c r="B139" s="117" t="s">
        <v>955</v>
      </c>
      <c r="C139" s="120">
        <v>9.8290909090909082E-2</v>
      </c>
      <c r="D139" s="119">
        <v>3.7882812500000008E-2</v>
      </c>
      <c r="E139" s="120">
        <f t="shared" si="2"/>
        <v>6.0408096590909073E-2</v>
      </c>
      <c r="U139" s="121"/>
      <c r="V139" s="121"/>
      <c r="W139" s="121"/>
      <c r="X139" s="121"/>
      <c r="Y139" s="121"/>
      <c r="Z139" s="121"/>
      <c r="AA139" s="121"/>
      <c r="AB139" s="121"/>
      <c r="AC139" s="121"/>
      <c r="AD139" s="121"/>
      <c r="AE139" s="121"/>
    </row>
    <row r="140" spans="2:31" ht="15" customHeight="1">
      <c r="B140" s="117" t="s">
        <v>956</v>
      </c>
      <c r="C140" s="120">
        <v>9.5416666666666664E-2</v>
      </c>
      <c r="D140" s="119">
        <v>3.6903125000000009E-2</v>
      </c>
      <c r="E140" s="120">
        <f>C140-D140</f>
        <v>5.8513541666666655E-2</v>
      </c>
      <c r="U140" s="121"/>
      <c r="V140" s="121"/>
      <c r="W140" s="121"/>
      <c r="X140" s="121"/>
      <c r="Y140" s="121"/>
      <c r="Z140" s="121"/>
      <c r="AA140" s="121"/>
      <c r="AB140" s="121"/>
      <c r="AC140" s="121"/>
      <c r="AD140" s="121"/>
      <c r="AE140" s="121"/>
    </row>
    <row r="141" spans="2:31" ht="15" customHeight="1">
      <c r="B141" s="117" t="s">
        <v>957</v>
      </c>
      <c r="C141" s="120">
        <v>9.8362499999999992E-2</v>
      </c>
      <c r="D141" s="119">
        <v>3.4430769230769237E-2</v>
      </c>
      <c r="E141" s="120">
        <f t="shared" si="2"/>
        <v>6.3931730769230755E-2</v>
      </c>
      <c r="U141" s="121"/>
      <c r="V141" s="121"/>
      <c r="W141" s="121"/>
      <c r="X141" s="121"/>
      <c r="Y141" s="121"/>
      <c r="Z141" s="121"/>
      <c r="AA141" s="121"/>
      <c r="AB141" s="121"/>
      <c r="AC141" s="121"/>
      <c r="AD141" s="121"/>
      <c r="AE141" s="121"/>
    </row>
    <row r="142" spans="2:31" ht="15" customHeight="1">
      <c r="B142" s="117" t="s">
        <v>958</v>
      </c>
      <c r="C142" s="120">
        <v>9.4500000000000015E-2</v>
      </c>
      <c r="D142" s="119">
        <v>3.2657575757575753E-2</v>
      </c>
      <c r="E142" s="120">
        <f t="shared" si="2"/>
        <v>6.1842424242424261E-2</v>
      </c>
      <c r="U142" s="121"/>
      <c r="V142" s="121"/>
      <c r="W142" s="121"/>
      <c r="X142" s="121"/>
      <c r="Y142" s="121"/>
      <c r="Z142" s="121"/>
      <c r="AA142" s="121"/>
      <c r="AB142" s="121"/>
      <c r="AC142" s="121"/>
      <c r="AD142" s="121"/>
      <c r="AE142" s="121"/>
    </row>
    <row r="143" spans="2:31" ht="15" customHeight="1">
      <c r="B143" s="117" t="s">
        <v>959</v>
      </c>
      <c r="C143" s="120">
        <v>0.10283333333333333</v>
      </c>
      <c r="D143" s="119">
        <v>2.9637499999999997E-2</v>
      </c>
      <c r="E143" s="120">
        <f t="shared" si="2"/>
        <v>7.3195833333333335E-2</v>
      </c>
      <c r="U143" s="121"/>
      <c r="V143" s="121"/>
      <c r="W143" s="121"/>
      <c r="X143" s="121"/>
      <c r="Y143" s="121"/>
      <c r="Z143" s="121"/>
      <c r="AA143" s="121"/>
      <c r="AB143" s="121"/>
      <c r="AC143" s="121"/>
      <c r="AD143" s="121"/>
      <c r="AE143" s="121"/>
    </row>
    <row r="144" spans="2:31" ht="15" customHeight="1">
      <c r="B144" s="117" t="s">
        <v>960</v>
      </c>
      <c r="C144" s="120">
        <v>9.4666666666666677E-2</v>
      </c>
      <c r="D144" s="119">
        <v>2.5540625000000004E-2</v>
      </c>
      <c r="E144" s="120">
        <f t="shared" si="2"/>
        <v>6.9126041666666665E-2</v>
      </c>
      <c r="U144" s="121"/>
      <c r="V144" s="121"/>
      <c r="W144" s="121"/>
      <c r="X144" s="121"/>
      <c r="Y144" s="121"/>
      <c r="Z144" s="121"/>
      <c r="AA144" s="121"/>
      <c r="AB144" s="121"/>
      <c r="AC144" s="121"/>
      <c r="AD144" s="121"/>
      <c r="AE144" s="121"/>
    </row>
    <row r="145" spans="2:31" ht="15" customHeight="1">
      <c r="B145" s="117" t="s">
        <v>961</v>
      </c>
      <c r="C145" s="120">
        <v>9.4333333333333338E-2</v>
      </c>
      <c r="D145" s="119">
        <v>2.8836923076923083E-2</v>
      </c>
      <c r="E145" s="120">
        <f t="shared" si="2"/>
        <v>6.5496410256410259E-2</v>
      </c>
      <c r="U145" s="121"/>
      <c r="V145" s="121"/>
      <c r="W145" s="121"/>
      <c r="X145" s="121"/>
      <c r="Y145" s="121"/>
      <c r="Z145" s="121"/>
      <c r="AA145" s="121"/>
      <c r="AB145" s="121"/>
      <c r="AC145" s="121"/>
      <c r="AD145" s="121"/>
      <c r="AE145" s="121"/>
    </row>
    <row r="146" spans="2:31" ht="15" customHeight="1">
      <c r="B146" s="117" t="s">
        <v>962</v>
      </c>
      <c r="C146" s="120">
        <v>9.7500000000000003E-2</v>
      </c>
      <c r="D146" s="119">
        <v>2.9624242424242438E-2</v>
      </c>
      <c r="E146" s="120">
        <f t="shared" si="2"/>
        <v>6.7875757575757562E-2</v>
      </c>
      <c r="U146" s="121"/>
      <c r="V146" s="121"/>
      <c r="W146" s="121"/>
      <c r="X146" s="121"/>
      <c r="Y146" s="121"/>
      <c r="Z146" s="121"/>
      <c r="AA146" s="121"/>
      <c r="AB146" s="121"/>
      <c r="AC146" s="121"/>
      <c r="AD146" s="121"/>
      <c r="AE146" s="121"/>
    </row>
    <row r="147" spans="2:31" ht="15" customHeight="1">
      <c r="B147" s="117" t="s">
        <v>963</v>
      </c>
      <c r="C147" s="120">
        <v>9.6777777777777768E-2</v>
      </c>
      <c r="D147" s="119">
        <v>2.9630303030303028E-2</v>
      </c>
      <c r="E147" s="120">
        <f t="shared" si="2"/>
        <v>6.7147474747474734E-2</v>
      </c>
      <c r="U147" s="121"/>
      <c r="V147" s="121"/>
      <c r="W147" s="121"/>
      <c r="X147" s="121"/>
      <c r="Y147" s="121"/>
      <c r="Z147" s="121"/>
      <c r="AA147" s="121"/>
      <c r="AB147" s="121"/>
      <c r="AC147" s="121"/>
      <c r="AD147" s="121"/>
      <c r="AE147" s="121"/>
    </row>
    <row r="148" spans="2:31" ht="15" customHeight="1">
      <c r="B148" s="117" t="s">
        <v>964</v>
      </c>
      <c r="C148" s="120">
        <v>9.4833333333333325E-2</v>
      </c>
      <c r="D148" s="119">
        <v>2.7218461538461539E-2</v>
      </c>
      <c r="E148" s="120">
        <f t="shared" si="2"/>
        <v>6.7614871794871786E-2</v>
      </c>
      <c r="U148" s="121"/>
      <c r="V148" s="121"/>
      <c r="W148" s="121"/>
      <c r="X148" s="121"/>
      <c r="Y148" s="121"/>
      <c r="Z148" s="121"/>
      <c r="AA148" s="121"/>
      <c r="AB148" s="121"/>
      <c r="AC148" s="121"/>
      <c r="AD148" s="121"/>
      <c r="AE148" s="121"/>
    </row>
    <row r="149" spans="2:31" ht="15" customHeight="1">
      <c r="B149" s="117" t="s">
        <v>965</v>
      </c>
      <c r="C149" s="120">
        <v>9.4149999999999998E-2</v>
      </c>
      <c r="D149" s="119">
        <v>2.5672307692307696E-2</v>
      </c>
      <c r="E149" s="120">
        <f t="shared" si="2"/>
        <v>6.8477692307692295E-2</v>
      </c>
      <c r="U149" s="121"/>
      <c r="V149" s="121"/>
      <c r="W149" s="121"/>
      <c r="X149" s="121"/>
      <c r="Y149" s="121"/>
      <c r="Z149" s="121"/>
      <c r="AA149" s="121"/>
      <c r="AB149" s="121"/>
      <c r="AC149" s="121"/>
      <c r="AD149" s="121"/>
      <c r="AE149" s="121"/>
    </row>
    <row r="150" spans="2:31" ht="15" customHeight="1">
      <c r="B150" s="117" t="s">
        <v>966</v>
      </c>
      <c r="C150" s="120">
        <v>9.4649999999999984E-2</v>
      </c>
      <c r="D150" s="119">
        <v>2.2793939393939398E-2</v>
      </c>
      <c r="E150" s="120">
        <f t="shared" si="2"/>
        <v>7.185606060606059E-2</v>
      </c>
      <c r="U150" s="121"/>
      <c r="V150" s="121"/>
      <c r="W150" s="121"/>
      <c r="X150" s="121"/>
      <c r="Y150" s="121"/>
      <c r="Z150" s="121"/>
      <c r="AA150" s="121"/>
      <c r="AB150" s="121"/>
      <c r="AC150" s="121"/>
      <c r="AD150" s="121"/>
      <c r="AE150" s="121"/>
    </row>
    <row r="151" spans="2:31" ht="15" customHeight="1">
      <c r="B151" s="117" t="s">
        <v>967</v>
      </c>
      <c r="C151" s="120">
        <v>9.6722222222222209E-2</v>
      </c>
      <c r="D151" s="119">
        <v>2.8333846153846154E-2</v>
      </c>
      <c r="E151" s="120">
        <f t="shared" si="2"/>
        <v>6.8388376068376056E-2</v>
      </c>
      <c r="U151" s="121"/>
      <c r="V151" s="121"/>
      <c r="W151" s="121"/>
      <c r="X151" s="121"/>
      <c r="Y151" s="121"/>
      <c r="Z151" s="121"/>
      <c r="AA151" s="121"/>
      <c r="AB151" s="121"/>
      <c r="AC151" s="121"/>
      <c r="AD151" s="121"/>
      <c r="AE151" s="121"/>
    </row>
    <row r="152" spans="2:31" ht="15" customHeight="1">
      <c r="B152" s="117" t="s">
        <v>968</v>
      </c>
      <c r="C152" s="120">
        <v>9.6000000000000016E-2</v>
      </c>
      <c r="D152" s="119">
        <v>3.0452307692307709E-2</v>
      </c>
      <c r="E152" s="120">
        <f t="shared" si="2"/>
        <v>6.5547692307692307E-2</v>
      </c>
      <c r="U152" s="121"/>
      <c r="V152" s="121"/>
      <c r="W152" s="121"/>
      <c r="X152" s="121"/>
      <c r="Y152" s="121"/>
      <c r="Z152" s="121"/>
      <c r="AA152" s="121"/>
      <c r="AB152" s="121"/>
      <c r="AC152" s="121"/>
      <c r="AD152" s="121"/>
      <c r="AE152" s="121"/>
    </row>
    <row r="153" spans="2:31" ht="15" customHeight="1">
      <c r="B153" s="117" t="s">
        <v>969</v>
      </c>
      <c r="C153" s="120">
        <v>9.4714285714285709E-2</v>
      </c>
      <c r="D153" s="119">
        <v>2.8972307692307693E-2</v>
      </c>
      <c r="E153" s="120">
        <f t="shared" si="2"/>
        <v>6.5741978021978009E-2</v>
      </c>
      <c r="U153" s="121"/>
      <c r="V153" s="121"/>
      <c r="W153" s="121"/>
      <c r="X153" s="121"/>
      <c r="Y153" s="121"/>
      <c r="Z153" s="121"/>
      <c r="AA153" s="121"/>
      <c r="AB153" s="121"/>
      <c r="AC153" s="121"/>
      <c r="AD153" s="121"/>
      <c r="AE153" s="121"/>
    </row>
    <row r="154" spans="2:31" ht="15" customHeight="1">
      <c r="B154" s="117" t="s">
        <v>970</v>
      </c>
      <c r="C154" s="120">
        <v>0.10138333333333333</v>
      </c>
      <c r="D154" s="119">
        <v>2.8173846153846157E-2</v>
      </c>
      <c r="E154" s="120">
        <f t="shared" si="2"/>
        <v>7.3209487179487165E-2</v>
      </c>
      <c r="U154" s="121"/>
      <c r="V154" s="121"/>
      <c r="W154" s="121"/>
      <c r="X154" s="121"/>
      <c r="Y154" s="121"/>
      <c r="Z154" s="121"/>
      <c r="AA154" s="121"/>
      <c r="AB154" s="121"/>
      <c r="AC154" s="121"/>
      <c r="AD154" s="121"/>
      <c r="AE154" s="121"/>
    </row>
    <row r="155" spans="2:31" ht="15" customHeight="1">
      <c r="B155" s="117" t="s">
        <v>971</v>
      </c>
      <c r="C155" s="120">
        <v>9.6999999999999989E-2</v>
      </c>
      <c r="D155" s="119">
        <v>2.817384615384615E-2</v>
      </c>
      <c r="E155" s="120">
        <f t="shared" si="2"/>
        <v>6.8826153846153842E-2</v>
      </c>
      <c r="U155" s="121"/>
      <c r="V155" s="121"/>
      <c r="W155" s="121"/>
      <c r="X155" s="121"/>
      <c r="Y155" s="121"/>
      <c r="Z155" s="121"/>
      <c r="AA155" s="121"/>
      <c r="AB155" s="121"/>
      <c r="AC155" s="121"/>
      <c r="AD155" s="121"/>
      <c r="AE155" s="121"/>
    </row>
    <row r="156" spans="2:31" ht="15" customHeight="1">
      <c r="B156" s="117" t="s">
        <v>972</v>
      </c>
      <c r="C156" s="120">
        <v>9.6816666666666662E-2</v>
      </c>
      <c r="D156" s="119">
        <v>3.0235384615384615E-2</v>
      </c>
      <c r="E156" s="120">
        <f t="shared" si="2"/>
        <v>6.6581282051282054E-2</v>
      </c>
      <c r="U156" s="121"/>
      <c r="V156" s="121"/>
      <c r="W156" s="121"/>
      <c r="X156" s="121"/>
      <c r="Y156" s="121"/>
      <c r="Z156" s="121"/>
      <c r="AA156" s="121"/>
      <c r="AB156" s="121"/>
      <c r="AC156" s="121"/>
      <c r="AD156" s="121"/>
      <c r="AE156" s="121"/>
    </row>
    <row r="157" spans="2:31" ht="15" customHeight="1">
      <c r="B157" s="117" t="s">
        <v>973</v>
      </c>
      <c r="C157" s="120">
        <v>9.4285714285714292E-2</v>
      </c>
      <c r="D157" s="119">
        <v>3.0853846153846162E-2</v>
      </c>
      <c r="E157" s="120">
        <f t="shared" si="2"/>
        <v>6.343186813186813E-2</v>
      </c>
      <c r="U157" s="121"/>
      <c r="V157" s="121"/>
      <c r="W157" s="121"/>
      <c r="X157" s="121"/>
      <c r="Y157" s="121"/>
      <c r="Z157" s="121"/>
      <c r="AA157" s="121"/>
      <c r="AB157" s="121"/>
      <c r="AC157" s="121"/>
      <c r="AD157" s="121"/>
      <c r="AE157" s="121"/>
    </row>
    <row r="158" spans="2:31" ht="15" customHeight="1">
      <c r="B158" s="117" t="s">
        <v>974</v>
      </c>
      <c r="C158" s="120">
        <v>9.7108333333333338E-2</v>
      </c>
      <c r="D158" s="119">
        <v>3.0607692307692315E-2</v>
      </c>
      <c r="E158" s="120">
        <f t="shared" si="2"/>
        <v>6.6500641025641016E-2</v>
      </c>
      <c r="U158" s="121"/>
      <c r="V158" s="121"/>
      <c r="W158" s="121"/>
      <c r="X158" s="121"/>
      <c r="Y158" s="121"/>
      <c r="Z158" s="121"/>
      <c r="AA158" s="121"/>
      <c r="AB158" s="121"/>
      <c r="AC158" s="121"/>
      <c r="AD158" s="121"/>
      <c r="AE158" s="121"/>
    </row>
    <row r="159" spans="2:31" ht="15" customHeight="1">
      <c r="B159" s="117" t="s">
        <v>975</v>
      </c>
      <c r="C159" s="120">
        <v>9.5307142857142854E-2</v>
      </c>
      <c r="D159" s="119">
        <v>3.26939393939394E-2</v>
      </c>
      <c r="E159" s="120">
        <f t="shared" si="2"/>
        <v>6.2613203463203454E-2</v>
      </c>
      <c r="U159" s="121"/>
      <c r="V159" s="121"/>
      <c r="W159" s="121"/>
      <c r="X159" s="121"/>
      <c r="Y159" s="121"/>
      <c r="Z159" s="121"/>
      <c r="AA159" s="121"/>
      <c r="AB159" s="121"/>
      <c r="AC159" s="121"/>
      <c r="AD159" s="121"/>
      <c r="AE159" s="121"/>
    </row>
    <row r="160" spans="2:31" ht="15" customHeight="1">
      <c r="B160" s="117" t="s">
        <v>976</v>
      </c>
      <c r="C160" s="120">
        <v>9.5500000000000002E-2</v>
      </c>
      <c r="D160" s="119">
        <v>3.0129687499999998E-2</v>
      </c>
      <c r="E160" s="120">
        <f t="shared" si="2"/>
        <v>6.53703125E-2</v>
      </c>
      <c r="U160" s="121"/>
      <c r="V160" s="121"/>
      <c r="W160" s="121"/>
      <c r="X160" s="121"/>
      <c r="Y160" s="121"/>
      <c r="Z160" s="121"/>
      <c r="AA160" s="121"/>
      <c r="AB160" s="121"/>
      <c r="AC160" s="121"/>
      <c r="AD160" s="121"/>
      <c r="AE160" s="121"/>
    </row>
    <row r="161" spans="2:31" ht="15" customHeight="1">
      <c r="B161" s="117" t="s">
        <v>977</v>
      </c>
      <c r="C161" s="120">
        <v>9.7266666666666668E-2</v>
      </c>
      <c r="D161" s="119">
        <v>2.7836923076923075E-2</v>
      </c>
      <c r="E161" s="120">
        <f t="shared" si="2"/>
        <v>6.9429743589743589E-2</v>
      </c>
      <c r="U161" s="121"/>
      <c r="V161" s="121"/>
      <c r="W161" s="121"/>
      <c r="X161" s="121"/>
      <c r="Y161" s="121"/>
      <c r="Z161" s="121"/>
      <c r="AA161" s="121"/>
      <c r="AB161" s="121"/>
      <c r="AC161" s="121"/>
      <c r="AD161" s="121"/>
      <c r="AE161" s="121"/>
    </row>
    <row r="162" spans="2:31" ht="15" customHeight="1">
      <c r="B162" s="117" t="s">
        <v>978</v>
      </c>
      <c r="C162" s="120">
        <v>9.9500000000000005E-2</v>
      </c>
      <c r="D162" s="119">
        <v>2.2849999999999995E-2</v>
      </c>
      <c r="E162" s="120">
        <f t="shared" si="2"/>
        <v>7.665000000000001E-2</v>
      </c>
      <c r="U162" s="121"/>
      <c r="V162" s="121"/>
      <c r="W162" s="121"/>
      <c r="X162" s="121"/>
      <c r="Y162" s="121"/>
      <c r="Z162" s="121"/>
      <c r="AA162" s="121"/>
      <c r="AB162" s="121"/>
      <c r="AC162" s="121"/>
      <c r="AD162" s="121"/>
      <c r="AE162" s="121"/>
    </row>
    <row r="163" spans="2:31" ht="15" customHeight="1">
      <c r="B163" s="117" t="s">
        <v>979</v>
      </c>
      <c r="C163" s="120">
        <v>9.738636363636366E-2</v>
      </c>
      <c r="D163" s="119">
        <v>2.2566666666666676E-2</v>
      </c>
      <c r="E163" s="120">
        <f t="shared" si="2"/>
        <v>7.481969696969698E-2</v>
      </c>
      <c r="U163" s="121"/>
      <c r="V163" s="121"/>
      <c r="W163" s="121"/>
      <c r="X163" s="121"/>
      <c r="Y163" s="121"/>
      <c r="Z163" s="121"/>
      <c r="AA163" s="121"/>
      <c r="AB163" s="121"/>
      <c r="AC163" s="121"/>
      <c r="AD163" s="121"/>
      <c r="AE163" s="121"/>
    </row>
    <row r="164" spans="2:31" ht="15" customHeight="1">
      <c r="B164" s="117" t="s">
        <v>980</v>
      </c>
      <c r="C164" s="120">
        <v>9.4336363636363621E-2</v>
      </c>
      <c r="D164" s="119">
        <v>1.8878461538461538E-2</v>
      </c>
      <c r="E164" s="120">
        <f t="shared" si="2"/>
        <v>7.5457902097902083E-2</v>
      </c>
      <c r="U164" s="121"/>
      <c r="V164" s="121"/>
      <c r="W164" s="121"/>
      <c r="X164" s="121"/>
      <c r="Y164" s="121"/>
      <c r="Z164" s="121"/>
      <c r="AA164" s="121"/>
      <c r="AB164" s="121"/>
      <c r="AC164" s="121"/>
      <c r="AD164" s="121"/>
      <c r="AE164" s="121"/>
    </row>
    <row r="165" spans="2:31" ht="15" customHeight="1">
      <c r="B165" s="117" t="s">
        <v>981</v>
      </c>
      <c r="C165" s="120">
        <v>9.5499999999999988E-2</v>
      </c>
      <c r="D165" s="119">
        <v>1.3801538461538454E-2</v>
      </c>
      <c r="E165" s="120">
        <f t="shared" si="2"/>
        <v>8.1698461538461539E-2</v>
      </c>
      <c r="U165" s="121"/>
      <c r="V165" s="121"/>
      <c r="W165" s="121"/>
      <c r="X165" s="121"/>
      <c r="Y165" s="121"/>
      <c r="Z165" s="121"/>
      <c r="AA165" s="121"/>
      <c r="AB165" s="121"/>
      <c r="AC165" s="121"/>
      <c r="AD165" s="121"/>
      <c r="AE165" s="121"/>
    </row>
    <row r="166" spans="2:31" ht="15" customHeight="1">
      <c r="B166" s="117">
        <v>2020.3</v>
      </c>
      <c r="C166" s="120">
        <v>9.5187500000000008E-2</v>
      </c>
      <c r="D166" s="119">
        <v>1.3654545454545457E-2</v>
      </c>
      <c r="E166" s="120">
        <f t="shared" si="2"/>
        <v>8.1532954545454547E-2</v>
      </c>
      <c r="U166" s="121"/>
      <c r="V166" s="121"/>
      <c r="W166" s="121"/>
      <c r="X166" s="121"/>
      <c r="Y166" s="121"/>
      <c r="Z166" s="121"/>
      <c r="AA166" s="121"/>
      <c r="AB166" s="121"/>
      <c r="AC166" s="121"/>
      <c r="AD166" s="121"/>
      <c r="AE166" s="121"/>
    </row>
    <row r="167" spans="2:31" ht="15" customHeight="1">
      <c r="B167" s="117">
        <v>2020.4</v>
      </c>
      <c r="C167" s="120">
        <v>9.486250000000003E-2</v>
      </c>
      <c r="D167" s="119">
        <v>1.6210606060606054E-2</v>
      </c>
      <c r="E167" s="120">
        <f t="shared" si="2"/>
        <v>7.865189393939398E-2</v>
      </c>
      <c r="U167" s="121"/>
      <c r="V167" s="121"/>
      <c r="W167" s="121"/>
      <c r="X167" s="121"/>
      <c r="Y167" s="121"/>
      <c r="Z167" s="121"/>
      <c r="AA167" s="121"/>
      <c r="AB167" s="121"/>
      <c r="AC167" s="121"/>
      <c r="AD167" s="121"/>
      <c r="AE167" s="121"/>
    </row>
    <row r="168" spans="2:31" ht="15" customHeight="1">
      <c r="B168" s="117">
        <v>2021.1</v>
      </c>
      <c r="C168" s="120">
        <v>9.7483333333333352E-2</v>
      </c>
      <c r="D168" s="119">
        <v>2.0748437499999998E-2</v>
      </c>
      <c r="E168" s="120">
        <f t="shared" si="2"/>
        <v>7.6734895833333358E-2</v>
      </c>
      <c r="U168" s="121"/>
      <c r="V168" s="121"/>
      <c r="W168" s="121"/>
      <c r="X168" s="121"/>
      <c r="Y168" s="121"/>
      <c r="Z168" s="121"/>
      <c r="AA168" s="121"/>
      <c r="AB168" s="121"/>
      <c r="AC168" s="121"/>
      <c r="AD168" s="121"/>
      <c r="AE168" s="121"/>
    </row>
    <row r="169" spans="2:31" ht="15" customHeight="1">
      <c r="B169" s="117">
        <v>2021.2</v>
      </c>
      <c r="C169" s="120">
        <v>9.4783333333333331E-2</v>
      </c>
      <c r="D169" s="119">
        <v>2.2579999999999996E-2</v>
      </c>
      <c r="E169" s="120">
        <f t="shared" si="2"/>
        <v>7.2203333333333342E-2</v>
      </c>
      <c r="U169" s="121"/>
      <c r="V169" s="121"/>
      <c r="W169" s="121"/>
      <c r="X169" s="121"/>
      <c r="Y169" s="121"/>
      <c r="Z169" s="121"/>
      <c r="AA169" s="121"/>
      <c r="AB169" s="121"/>
      <c r="AC169" s="121"/>
      <c r="AD169" s="121"/>
      <c r="AE169" s="121"/>
    </row>
    <row r="170" spans="2:31" ht="15" customHeight="1">
      <c r="B170" s="117">
        <v>2021.3</v>
      </c>
      <c r="C170" s="120">
        <v>9.4758333333333319E-2</v>
      </c>
      <c r="D170" s="119">
        <v>1.9333333333333327E-2</v>
      </c>
      <c r="E170" s="120">
        <f t="shared" si="2"/>
        <v>7.5424999999999992E-2</v>
      </c>
      <c r="U170" s="121"/>
      <c r="V170" s="121"/>
      <c r="W170" s="121"/>
      <c r="X170" s="121"/>
      <c r="Y170" s="121"/>
      <c r="Z170" s="121"/>
      <c r="AA170" s="121"/>
      <c r="AB170" s="121"/>
      <c r="AC170" s="121"/>
      <c r="AD170" s="121"/>
      <c r="AE170" s="121"/>
    </row>
    <row r="171" spans="2:31" ht="15" customHeight="1">
      <c r="B171" s="117">
        <v>2021.4</v>
      </c>
      <c r="C171" s="120">
        <v>9.5937500000000023E-2</v>
      </c>
      <c r="D171" s="120">
        <v>1.9479687499999995E-2</v>
      </c>
      <c r="E171" s="120">
        <f t="shared" si="2"/>
        <v>7.6457812500000027E-2</v>
      </c>
      <c r="U171" s="121"/>
      <c r="V171" s="121"/>
      <c r="W171" s="121"/>
      <c r="X171" s="121"/>
      <c r="Y171" s="121"/>
      <c r="Z171" s="121"/>
      <c r="AA171" s="121"/>
      <c r="AB171" s="121"/>
      <c r="AC171" s="121"/>
      <c r="AD171" s="121"/>
      <c r="AE171" s="121"/>
    </row>
    <row r="172" spans="2:31" ht="15" customHeight="1">
      <c r="B172" s="117">
        <v>2022.1</v>
      </c>
      <c r="C172" s="120">
        <v>9.3749999999999986E-2</v>
      </c>
      <c r="D172" s="120">
        <v>2.2546031746031748E-2</v>
      </c>
      <c r="E172" s="120">
        <f t="shared" si="2"/>
        <v>7.1203968253968242E-2</v>
      </c>
      <c r="U172" s="121"/>
      <c r="V172" s="121"/>
      <c r="W172" s="121"/>
      <c r="X172" s="121"/>
      <c r="Y172" s="121"/>
      <c r="Z172" s="121"/>
      <c r="AA172" s="121"/>
      <c r="AB172" s="121"/>
      <c r="AC172" s="121"/>
      <c r="AD172" s="121"/>
      <c r="AE172" s="121"/>
    </row>
    <row r="173" spans="2:31" ht="15" customHeight="1">
      <c r="B173" s="117">
        <v>2022.2</v>
      </c>
      <c r="C173" s="120">
        <v>9.5159999999999995E-2</v>
      </c>
      <c r="D173" s="120">
        <v>3.0455384615384599E-2</v>
      </c>
      <c r="E173" s="120">
        <f t="shared" si="2"/>
        <v>6.4704615384615388E-2</v>
      </c>
      <c r="U173" s="121"/>
      <c r="V173" s="121"/>
      <c r="W173" s="121"/>
      <c r="X173" s="121"/>
      <c r="Y173" s="121"/>
      <c r="Z173" s="121"/>
      <c r="AA173" s="121"/>
      <c r="AB173" s="121"/>
      <c r="AC173" s="121"/>
      <c r="AD173" s="121"/>
      <c r="AE173" s="121"/>
    </row>
    <row r="174" spans="2:31" ht="15" customHeight="1">
      <c r="B174" s="117">
        <v>2022.3</v>
      </c>
      <c r="C174" s="120">
        <v>9.537777777777777E-2</v>
      </c>
      <c r="D174" s="120">
        <v>3.2607575757575759E-2</v>
      </c>
      <c r="E174" s="120">
        <f t="shared" si="2"/>
        <v>6.2770202020202004E-2</v>
      </c>
      <c r="U174" s="121"/>
      <c r="V174" s="121"/>
      <c r="W174" s="121"/>
      <c r="X174" s="121"/>
      <c r="Y174" s="121"/>
      <c r="Z174" s="121"/>
      <c r="AA174" s="121"/>
      <c r="AB174" s="121"/>
      <c r="AC174" s="121"/>
      <c r="AD174" s="121"/>
      <c r="AE174" s="121"/>
    </row>
    <row r="175" spans="2:31" ht="15" customHeight="1">
      <c r="B175" s="117">
        <v>2022.4</v>
      </c>
      <c r="C175" s="120">
        <v>9.6456250000000021E-2</v>
      </c>
      <c r="D175" s="120">
        <v>3.8912500000000003E-2</v>
      </c>
      <c r="E175" s="120">
        <f t="shared" si="2"/>
        <v>5.7543750000000018E-2</v>
      </c>
      <c r="U175" s="121"/>
      <c r="V175" s="121"/>
      <c r="W175" s="121"/>
      <c r="X175" s="121"/>
      <c r="Y175" s="121"/>
      <c r="Z175" s="121"/>
      <c r="AA175" s="121"/>
      <c r="AB175" s="121"/>
      <c r="AC175" s="121"/>
      <c r="AD175" s="121"/>
      <c r="AE175" s="121"/>
    </row>
    <row r="176" spans="2:31" ht="15" customHeight="1">
      <c r="B176" s="117">
        <v>2023.1</v>
      </c>
      <c r="C176" s="120">
        <v>9.6599999999999991E-2</v>
      </c>
      <c r="D176" s="120">
        <v>3.7495384615384618E-2</v>
      </c>
      <c r="E176" s="120">
        <f t="shared" si="2"/>
        <v>5.9104615384615374E-2</v>
      </c>
      <c r="U176" s="121"/>
      <c r="V176" s="121"/>
      <c r="W176" s="121"/>
      <c r="X176" s="121"/>
      <c r="Y176" s="121"/>
      <c r="Z176" s="121"/>
      <c r="AA176" s="121"/>
      <c r="AB176" s="121"/>
      <c r="AC176" s="121"/>
      <c r="AD176" s="121"/>
      <c r="AE176" s="121"/>
    </row>
    <row r="177" spans="2:31" ht="15" customHeight="1">
      <c r="B177" s="117">
        <v>2023.2</v>
      </c>
      <c r="C177" s="120">
        <v>9.4E-2</v>
      </c>
      <c r="D177" s="120">
        <v>3.808461538461537E-2</v>
      </c>
      <c r="E177" s="120">
        <f t="shared" si="2"/>
        <v>5.5915384615384631E-2</v>
      </c>
      <c r="U177" s="121"/>
      <c r="V177" s="121"/>
      <c r="W177" s="121"/>
      <c r="X177" s="121"/>
      <c r="Y177" s="121"/>
      <c r="Z177" s="121"/>
      <c r="AA177" s="121"/>
      <c r="AB177" s="121"/>
      <c r="AC177" s="121"/>
      <c r="AD177" s="121"/>
      <c r="AE177" s="121"/>
    </row>
    <row r="178" spans="2:31" ht="15" customHeight="1">
      <c r="B178" s="117">
        <v>2023.3</v>
      </c>
      <c r="C178" s="120">
        <v>9.5316666666666661E-2</v>
      </c>
      <c r="D178" s="120">
        <v>4.234461538461539E-2</v>
      </c>
      <c r="E178" s="120">
        <f t="shared" si="2"/>
        <v>5.297205128205127E-2</v>
      </c>
      <c r="U178" s="121"/>
      <c r="V178" s="121"/>
      <c r="W178" s="121"/>
      <c r="X178" s="121"/>
      <c r="Y178" s="121"/>
      <c r="Z178" s="121"/>
      <c r="AA178" s="121"/>
      <c r="AB178" s="121"/>
      <c r="AC178" s="121"/>
      <c r="AD178" s="121"/>
      <c r="AE178" s="121"/>
    </row>
    <row r="179" spans="2:31" ht="15" customHeight="1">
      <c r="B179" s="117">
        <v>2023.4</v>
      </c>
      <c r="C179" s="120">
        <v>9.6087500000000006E-2</v>
      </c>
      <c r="D179" s="120">
        <v>4.5817187500000002E-2</v>
      </c>
      <c r="E179" s="120">
        <f t="shared" si="2"/>
        <v>5.0270312500000004E-2</v>
      </c>
      <c r="U179" s="121"/>
      <c r="V179" s="121"/>
      <c r="W179" s="121"/>
      <c r="X179" s="121"/>
      <c r="Y179" s="121"/>
      <c r="Z179" s="121"/>
      <c r="AA179" s="121"/>
      <c r="AB179" s="121"/>
      <c r="AC179" s="121"/>
      <c r="AD179" s="121"/>
      <c r="AE179" s="121"/>
    </row>
    <row r="180" spans="2:31" ht="15" customHeight="1">
      <c r="B180" s="117">
        <v>2024.1</v>
      </c>
      <c r="C180" s="120">
        <v>9.6166666666666664E-2</v>
      </c>
      <c r="D180" s="120">
        <v>4.3239062499999988E-2</v>
      </c>
      <c r="E180" s="120">
        <f t="shared" si="2"/>
        <v>5.2927604166666677E-2</v>
      </c>
      <c r="S180" s="121"/>
      <c r="T180" s="125"/>
      <c r="U180" s="121"/>
      <c r="V180" s="121"/>
      <c r="W180" s="121"/>
      <c r="X180" s="121"/>
      <c r="Y180" s="121"/>
      <c r="Z180" s="121"/>
      <c r="AA180" s="121"/>
      <c r="AB180" s="121"/>
      <c r="AC180" s="121"/>
      <c r="AD180" s="121"/>
      <c r="AE180" s="121"/>
    </row>
    <row r="181" spans="2:31" ht="15" customHeight="1">
      <c r="B181" s="117">
        <v>2024.2</v>
      </c>
      <c r="C181" s="120">
        <v>9.9471428571428558E-2</v>
      </c>
      <c r="D181" s="120">
        <v>4.5758461538461546E-2</v>
      </c>
      <c r="E181" s="120">
        <f t="shared" si="2"/>
        <v>5.3712967032967011E-2</v>
      </c>
      <c r="S181" s="121"/>
      <c r="T181" s="121"/>
      <c r="U181" s="121"/>
      <c r="V181" s="121"/>
      <c r="W181" s="121"/>
      <c r="X181" s="121"/>
      <c r="Y181" s="121"/>
      <c r="Z181" s="121"/>
      <c r="AA181" s="121"/>
      <c r="AB181" s="121"/>
      <c r="AC181" s="121"/>
      <c r="AD181" s="121"/>
      <c r="AE181" s="121"/>
    </row>
    <row r="182" spans="2:31" ht="15" customHeight="1">
      <c r="B182" s="117">
        <v>2024.3</v>
      </c>
      <c r="C182" s="120">
        <v>9.576666666666668E-2</v>
      </c>
      <c r="D182" s="120">
        <v>4.2295454545454539E-2</v>
      </c>
      <c r="E182" s="120">
        <f t="shared" si="2"/>
        <v>5.3471212121212142E-2</v>
      </c>
      <c r="S182" s="121"/>
      <c r="T182" s="121"/>
      <c r="U182" s="121"/>
      <c r="V182" s="121"/>
      <c r="W182" s="121"/>
      <c r="X182" s="121"/>
      <c r="Y182" s="121"/>
      <c r="Z182" s="121"/>
      <c r="AA182" s="121"/>
      <c r="AB182" s="121"/>
      <c r="AC182" s="121"/>
      <c r="AD182" s="121"/>
      <c r="AE182" s="121"/>
    </row>
    <row r="183" spans="2:31" ht="15" customHeight="1">
      <c r="B183" s="117">
        <v>2024.4</v>
      </c>
      <c r="C183" s="120">
        <v>9.7036363636363643E-2</v>
      </c>
      <c r="D183" s="120">
        <v>4.4976562499999997E-2</v>
      </c>
      <c r="E183" s="120">
        <f t="shared" si="2"/>
        <v>5.2059801136363645E-2</v>
      </c>
      <c r="S183" s="121"/>
      <c r="T183" s="121"/>
      <c r="U183" s="121"/>
      <c r="V183" s="121"/>
      <c r="W183" s="121"/>
      <c r="X183" s="121"/>
      <c r="Y183" s="121"/>
      <c r="Z183" s="121"/>
      <c r="AA183" s="121"/>
      <c r="AB183" s="121"/>
      <c r="AC183" s="121"/>
      <c r="AD183" s="121"/>
      <c r="AE183" s="121"/>
    </row>
    <row r="184" spans="2:31" ht="15" customHeight="1">
      <c r="B184" s="117">
        <v>2025.1</v>
      </c>
      <c r="C184" s="120">
        <v>9.7316666666666662E-2</v>
      </c>
      <c r="D184" s="120">
        <v>4.7157812500000021E-2</v>
      </c>
      <c r="E184" s="120">
        <f t="shared" si="2"/>
        <v>5.0158854166666642E-2</v>
      </c>
      <c r="S184" s="121"/>
      <c r="T184" s="121"/>
      <c r="U184" s="121"/>
      <c r="V184" s="121"/>
      <c r="W184" s="121"/>
      <c r="X184" s="121"/>
      <c r="Y184" s="121"/>
      <c r="Z184" s="121"/>
      <c r="AA184" s="121"/>
      <c r="AB184" s="121"/>
      <c r="AC184" s="121"/>
      <c r="AD184" s="121"/>
      <c r="AE184" s="121"/>
    </row>
    <row r="185" spans="2:31" ht="15" customHeight="1">
      <c r="B185" s="117">
        <v>2025.2</v>
      </c>
      <c r="C185" s="120">
        <v>9.7338461538461526E-2</v>
      </c>
      <c r="D185" s="120">
        <v>4.838000000000002E-2</v>
      </c>
      <c r="E185" s="120">
        <f t="shared" si="2"/>
        <v>4.8958461538461506E-2</v>
      </c>
      <c r="S185" s="121"/>
      <c r="T185" s="121"/>
      <c r="U185" s="121"/>
      <c r="V185" s="121"/>
      <c r="W185" s="121"/>
      <c r="X185" s="121"/>
      <c r="Y185" s="121"/>
      <c r="Z185" s="121"/>
      <c r="AA185" s="121"/>
      <c r="AB185" s="121"/>
      <c r="AC185" s="121"/>
      <c r="AD185" s="121"/>
      <c r="AE185" s="121"/>
    </row>
    <row r="186" spans="2:31" ht="15" customHeight="1">
      <c r="B186" s="117">
        <v>2025.3</v>
      </c>
      <c r="C186" s="120">
        <v>9.6000000000000002E-2</v>
      </c>
      <c r="D186" s="120">
        <v>4.8458461538461534E-2</v>
      </c>
      <c r="E186" s="120">
        <f t="shared" si="2"/>
        <v>4.7541538461538468E-2</v>
      </c>
      <c r="S186" s="121"/>
      <c r="T186" s="121"/>
      <c r="U186" s="121"/>
      <c r="V186" s="121"/>
      <c r="W186" s="121"/>
      <c r="X186" s="121"/>
      <c r="Y186" s="121"/>
      <c r="Z186" s="121"/>
      <c r="AA186" s="121"/>
      <c r="AB186" s="121"/>
      <c r="AC186" s="121"/>
      <c r="AD186" s="121"/>
      <c r="AE186" s="121"/>
    </row>
    <row r="187" spans="2:31" ht="15" customHeight="1">
      <c r="B187" s="117">
        <v>2025.4</v>
      </c>
      <c r="C187" s="120">
        <v>9.7080000000000027E-2</v>
      </c>
      <c r="D187" s="120">
        <v>4.7139062500000016E-2</v>
      </c>
      <c r="E187" s="120">
        <f t="shared" si="2"/>
        <v>4.9940937500000011E-2</v>
      </c>
      <c r="S187" s="121"/>
      <c r="T187" s="121"/>
      <c r="U187" s="121"/>
      <c r="V187" s="121"/>
      <c r="W187" s="121"/>
      <c r="X187" s="121"/>
      <c r="Y187" s="121"/>
      <c r="Z187" s="121"/>
      <c r="AA187" s="121"/>
      <c r="AB187" s="121"/>
      <c r="AC187" s="121"/>
      <c r="AD187" s="121"/>
      <c r="AE187" s="121"/>
    </row>
    <row r="188" spans="2:31" ht="15" customHeight="1">
      <c r="B188" s="117">
        <v>2026.1</v>
      </c>
      <c r="C188" s="120">
        <v>9.632857142857143E-2</v>
      </c>
      <c r="D188" s="120">
        <v>4.8157812500000008E-2</v>
      </c>
      <c r="E188" s="120">
        <f t="shared" si="2"/>
        <v>4.8170758928571422E-2</v>
      </c>
      <c r="S188" s="121"/>
      <c r="T188" s="121"/>
      <c r="U188" s="121"/>
      <c r="V188" s="121"/>
      <c r="W188" s="121"/>
      <c r="X188" s="121"/>
      <c r="Y188" s="121"/>
      <c r="Z188" s="121"/>
      <c r="AA188" s="121"/>
      <c r="AB188" s="121"/>
      <c r="AC188" s="121"/>
      <c r="AD188" s="121"/>
      <c r="AE188" s="121"/>
    </row>
    <row r="189" spans="2:31" ht="15" customHeight="1">
      <c r="B189" s="117">
        <v>2026.2</v>
      </c>
      <c r="C189" s="120">
        <v>9.35E-2</v>
      </c>
      <c r="D189" s="120">
        <v>4.9606349206349182E-2</v>
      </c>
      <c r="E189" s="120">
        <f t="shared" si="2"/>
        <v>4.3893650793650818E-2</v>
      </c>
      <c r="S189" s="121"/>
      <c r="T189" s="121"/>
      <c r="U189" s="121"/>
      <c r="V189" s="121"/>
      <c r="W189" s="121"/>
      <c r="X189" s="121"/>
      <c r="Y189" s="121"/>
      <c r="Z189" s="121"/>
      <c r="AA189" s="121"/>
      <c r="AB189" s="121"/>
      <c r="AC189" s="121"/>
      <c r="AD189" s="121"/>
      <c r="AE189" s="121"/>
    </row>
    <row r="190" spans="2:31" ht="15" customHeight="1">
      <c r="B190" s="126" t="s">
        <v>1008</v>
      </c>
      <c r="C190" s="127">
        <f>AVERAGE(C8:C189)</f>
        <v>0.11282600881649588</v>
      </c>
      <c r="D190" s="127">
        <f t="shared" ref="D190:E190" si="3">AVERAGE(D8:D189)</f>
        <v>6.0012218639785592E-2</v>
      </c>
      <c r="E190" s="127">
        <f t="shared" si="3"/>
        <v>5.2813790176710236E-2</v>
      </c>
      <c r="S190" s="121"/>
      <c r="T190" s="121"/>
      <c r="U190" s="121"/>
      <c r="V190" s="121"/>
      <c r="W190" s="121"/>
      <c r="X190" s="121"/>
      <c r="Y190" s="121"/>
      <c r="Z190" s="121"/>
      <c r="AA190" s="121"/>
      <c r="AB190" s="121"/>
      <c r="AC190" s="121"/>
      <c r="AD190" s="121"/>
      <c r="AE190" s="121"/>
    </row>
    <row r="191" spans="2:31" ht="15" customHeight="1" thickBot="1">
      <c r="B191" s="128" t="s">
        <v>1019</v>
      </c>
      <c r="C191" s="129">
        <f>MEDIAN(C8:C189)</f>
        <v>0.10656666666666667</v>
      </c>
      <c r="D191" s="129">
        <f t="shared" ref="D191:E191" si="4">MEDIAN(D8:D189)</f>
        <v>5.096969696969697E-2</v>
      </c>
      <c r="E191" s="129">
        <f t="shared" si="4"/>
        <v>5.4214607371794885E-2</v>
      </c>
      <c r="S191" s="121"/>
      <c r="T191" s="121"/>
      <c r="U191" s="121"/>
      <c r="V191" s="121"/>
      <c r="W191" s="121"/>
      <c r="X191" s="121"/>
      <c r="Y191" s="121"/>
      <c r="Z191" s="121"/>
      <c r="AA191" s="121"/>
      <c r="AB191" s="121"/>
      <c r="AC191" s="121"/>
      <c r="AD191" s="121"/>
      <c r="AE191" s="121"/>
    </row>
    <row r="192" spans="2:31" ht="15" customHeight="1">
      <c r="S192" s="121"/>
      <c r="T192" s="121"/>
      <c r="U192" s="121"/>
      <c r="V192" s="121"/>
      <c r="W192" s="121"/>
      <c r="X192" s="121"/>
      <c r="Y192" s="121"/>
      <c r="Z192" s="121"/>
      <c r="AA192" s="121"/>
      <c r="AB192" s="121"/>
      <c r="AC192" s="121"/>
      <c r="AD192" s="121"/>
      <c r="AE192" s="121"/>
    </row>
    <row r="193" spans="19:31" ht="15" customHeight="1">
      <c r="S193" s="121"/>
      <c r="T193" s="121"/>
      <c r="U193" s="121"/>
      <c r="V193" s="121"/>
      <c r="W193" s="121"/>
      <c r="X193" s="121"/>
      <c r="Y193" s="121"/>
      <c r="Z193" s="121"/>
      <c r="AA193" s="121"/>
      <c r="AB193" s="121"/>
      <c r="AC193" s="121"/>
      <c r="AD193" s="121"/>
      <c r="AE193" s="121"/>
    </row>
    <row r="194" spans="19:31" ht="15" customHeight="1">
      <c r="S194" s="121"/>
      <c r="T194" s="121"/>
      <c r="U194" s="121"/>
      <c r="V194" s="121"/>
      <c r="W194" s="121"/>
      <c r="X194" s="121"/>
      <c r="Y194" s="121"/>
      <c r="Z194" s="121"/>
      <c r="AA194" s="121"/>
      <c r="AB194" s="121"/>
      <c r="AC194" s="121"/>
      <c r="AD194" s="121"/>
      <c r="AE194" s="121"/>
    </row>
    <row r="195" spans="19:31" ht="15" customHeight="1">
      <c r="S195" s="121"/>
      <c r="T195" s="121"/>
      <c r="U195" s="121"/>
      <c r="V195" s="121"/>
      <c r="W195" s="121"/>
      <c r="X195" s="121"/>
      <c r="Y195" s="121"/>
      <c r="Z195" s="121"/>
      <c r="AA195" s="121"/>
      <c r="AB195" s="121"/>
      <c r="AC195" s="121"/>
      <c r="AD195" s="121"/>
      <c r="AE195" s="121"/>
    </row>
    <row r="196" spans="19:31" ht="15" customHeight="1">
      <c r="S196" s="121"/>
      <c r="T196" s="121"/>
      <c r="U196" s="121"/>
      <c r="V196" s="121"/>
      <c r="W196" s="121"/>
      <c r="X196" s="121"/>
      <c r="Y196" s="121"/>
      <c r="Z196" s="121"/>
      <c r="AA196" s="121"/>
      <c r="AB196" s="121"/>
      <c r="AC196" s="121"/>
      <c r="AD196" s="121"/>
      <c r="AE196" s="121"/>
    </row>
    <row r="197" spans="19:31" ht="15" customHeight="1">
      <c r="S197" s="121"/>
      <c r="T197" s="121"/>
      <c r="U197" s="121"/>
      <c r="V197" s="121"/>
      <c r="W197" s="121"/>
      <c r="X197" s="121"/>
      <c r="Y197" s="121"/>
      <c r="Z197" s="121"/>
      <c r="AA197" s="121"/>
      <c r="AB197" s="121"/>
      <c r="AC197" s="121"/>
      <c r="AD197" s="121"/>
      <c r="AE197" s="121"/>
    </row>
    <row r="198" spans="19:31" ht="15" customHeight="1">
      <c r="S198" s="121"/>
      <c r="T198" s="121"/>
      <c r="U198" s="121"/>
      <c r="V198" s="121"/>
      <c r="W198" s="121"/>
      <c r="X198" s="121"/>
      <c r="Y198" s="121"/>
      <c r="Z198" s="121"/>
      <c r="AA198" s="121"/>
      <c r="AB198" s="121"/>
      <c r="AC198" s="121"/>
      <c r="AD198" s="121"/>
      <c r="AE198" s="121"/>
    </row>
    <row r="199" spans="19:31" ht="15" customHeight="1">
      <c r="S199" s="121"/>
      <c r="T199" s="121"/>
      <c r="U199" s="121"/>
      <c r="V199" s="121"/>
      <c r="W199" s="121"/>
      <c r="X199" s="121"/>
      <c r="Y199" s="121"/>
      <c r="Z199" s="121"/>
      <c r="AA199" s="121"/>
      <c r="AB199" s="121"/>
      <c r="AC199" s="121"/>
      <c r="AD199" s="121"/>
      <c r="AE199" s="121"/>
    </row>
    <row r="200" spans="19:31" ht="15" customHeight="1">
      <c r="S200" s="121"/>
      <c r="T200" s="121"/>
      <c r="U200" s="121"/>
      <c r="V200" s="121"/>
      <c r="W200" s="121"/>
      <c r="X200" s="121"/>
      <c r="Y200" s="121"/>
      <c r="Z200" s="121"/>
      <c r="AA200" s="121"/>
      <c r="AB200" s="121"/>
      <c r="AC200" s="121"/>
      <c r="AD200" s="121"/>
      <c r="AE200" s="121"/>
    </row>
    <row r="201" spans="19:31" ht="15" customHeight="1">
      <c r="S201" s="121"/>
      <c r="T201" s="121"/>
      <c r="U201" s="121"/>
      <c r="V201" s="121"/>
      <c r="W201" s="121"/>
      <c r="X201" s="121"/>
      <c r="Y201" s="121"/>
      <c r="Z201" s="121"/>
      <c r="AA201" s="121"/>
      <c r="AB201" s="121"/>
      <c r="AC201" s="121"/>
      <c r="AD201" s="121"/>
      <c r="AE201" s="121"/>
    </row>
    <row r="202" spans="19:31" ht="15" customHeight="1">
      <c r="S202" s="121"/>
      <c r="T202" s="121"/>
      <c r="U202" s="121"/>
      <c r="V202" s="121"/>
      <c r="W202" s="121"/>
      <c r="X202" s="121"/>
      <c r="Y202" s="121"/>
      <c r="Z202" s="121"/>
      <c r="AA202" s="121"/>
      <c r="AB202" s="121"/>
      <c r="AC202" s="121"/>
      <c r="AD202" s="121"/>
      <c r="AE202" s="121"/>
    </row>
    <row r="203" spans="19:31" ht="15" customHeight="1">
      <c r="S203" s="121"/>
      <c r="T203" s="121"/>
      <c r="U203" s="121"/>
      <c r="V203" s="121"/>
      <c r="W203" s="121"/>
      <c r="X203" s="121"/>
      <c r="Y203" s="121"/>
      <c r="Z203" s="121"/>
      <c r="AA203" s="121"/>
      <c r="AB203" s="121"/>
      <c r="AC203" s="121"/>
      <c r="AD203" s="121"/>
      <c r="AE203" s="121"/>
    </row>
    <row r="204" spans="19:31" ht="15" customHeight="1">
      <c r="S204" s="121"/>
      <c r="T204" s="121"/>
      <c r="U204" s="121"/>
      <c r="V204" s="121"/>
      <c r="W204" s="121"/>
      <c r="X204" s="121"/>
      <c r="Y204" s="121"/>
      <c r="Z204" s="121"/>
      <c r="AA204" s="121"/>
      <c r="AB204" s="121"/>
      <c r="AC204" s="121"/>
      <c r="AD204" s="121"/>
      <c r="AE204" s="121"/>
    </row>
    <row r="205" spans="19:31" ht="15" customHeight="1">
      <c r="S205" s="121"/>
      <c r="T205" s="121"/>
      <c r="U205" s="121"/>
      <c r="V205" s="121"/>
      <c r="W205" s="121"/>
      <c r="X205" s="121"/>
      <c r="Y205" s="121"/>
      <c r="Z205" s="121"/>
      <c r="AA205" s="121"/>
      <c r="AB205" s="121"/>
      <c r="AC205" s="121"/>
      <c r="AD205" s="121"/>
      <c r="AE205" s="121"/>
    </row>
    <row r="206" spans="19:31" ht="15" customHeight="1">
      <c r="S206" s="121"/>
      <c r="T206" s="121"/>
      <c r="U206" s="121"/>
      <c r="V206" s="121"/>
      <c r="W206" s="121"/>
      <c r="X206" s="121"/>
      <c r="Y206" s="121"/>
      <c r="Z206" s="121"/>
      <c r="AA206" s="121"/>
      <c r="AB206" s="121"/>
      <c r="AC206" s="121"/>
      <c r="AD206" s="121"/>
      <c r="AE206" s="121"/>
    </row>
    <row r="207" spans="19:31" ht="15" customHeight="1">
      <c r="S207" s="121"/>
      <c r="T207" s="121"/>
      <c r="U207" s="121"/>
      <c r="V207" s="121"/>
      <c r="W207" s="121"/>
      <c r="X207" s="121"/>
      <c r="Y207" s="121"/>
      <c r="Z207" s="121"/>
      <c r="AA207" s="121"/>
      <c r="AB207" s="121"/>
      <c r="AC207" s="121"/>
      <c r="AD207" s="121"/>
      <c r="AE207" s="121"/>
    </row>
    <row r="208" spans="19:31" ht="15" customHeight="1">
      <c r="S208" s="121"/>
      <c r="T208" s="121"/>
      <c r="U208" s="121"/>
      <c r="V208" s="121"/>
      <c r="W208" s="121"/>
      <c r="X208" s="121"/>
      <c r="Y208" s="121"/>
      <c r="Z208" s="121"/>
      <c r="AA208" s="121"/>
      <c r="AB208" s="121"/>
      <c r="AC208" s="121"/>
      <c r="AD208" s="121"/>
      <c r="AE208" s="121"/>
    </row>
    <row r="209" spans="19:31" ht="15" customHeight="1">
      <c r="S209" s="121"/>
      <c r="T209" s="121"/>
      <c r="U209" s="121"/>
      <c r="V209" s="121"/>
      <c r="W209" s="121"/>
      <c r="X209" s="121"/>
      <c r="Y209" s="121"/>
      <c r="Z209" s="121"/>
      <c r="AA209" s="121"/>
      <c r="AB209" s="121"/>
      <c r="AC209" s="121"/>
      <c r="AD209" s="121"/>
      <c r="AE209" s="121"/>
    </row>
    <row r="210" spans="19:31" ht="15" customHeight="1">
      <c r="S210" s="121"/>
      <c r="T210" s="121"/>
      <c r="U210" s="121"/>
      <c r="V210" s="121"/>
      <c r="W210" s="121"/>
      <c r="X210" s="121"/>
      <c r="Y210" s="121"/>
      <c r="Z210" s="121"/>
      <c r="AA210" s="121"/>
      <c r="AB210" s="121"/>
      <c r="AC210" s="121"/>
      <c r="AD210" s="121"/>
      <c r="AE210" s="121"/>
    </row>
    <row r="211" spans="19:31" ht="15" customHeight="1">
      <c r="S211" s="121"/>
      <c r="T211" s="121"/>
      <c r="U211" s="121"/>
      <c r="V211" s="121"/>
      <c r="W211" s="121"/>
      <c r="X211" s="121"/>
      <c r="Y211" s="121"/>
      <c r="Z211" s="121"/>
      <c r="AA211" s="121"/>
      <c r="AB211" s="121"/>
      <c r="AC211" s="121"/>
      <c r="AD211" s="121"/>
      <c r="AE211" s="121"/>
    </row>
    <row r="212" spans="19:31" ht="15" customHeight="1">
      <c r="S212" s="121"/>
      <c r="T212" s="121"/>
      <c r="U212" s="121"/>
      <c r="V212" s="121"/>
      <c r="W212" s="121"/>
      <c r="X212" s="121"/>
      <c r="Y212" s="121"/>
      <c r="Z212" s="121"/>
      <c r="AA212" s="121"/>
      <c r="AB212" s="121"/>
      <c r="AC212" s="121"/>
      <c r="AD212" s="121"/>
      <c r="AE212" s="121"/>
    </row>
    <row r="213" spans="19:31" ht="15" customHeight="1">
      <c r="S213" s="121"/>
      <c r="T213" s="121"/>
      <c r="U213" s="121"/>
      <c r="V213" s="121"/>
      <c r="W213" s="121"/>
      <c r="X213" s="121"/>
      <c r="Y213" s="121"/>
      <c r="Z213" s="121"/>
      <c r="AA213" s="121"/>
      <c r="AB213" s="121"/>
      <c r="AC213" s="121"/>
      <c r="AD213" s="121"/>
      <c r="AE213" s="121"/>
    </row>
    <row r="214" spans="19:31" ht="15" customHeight="1">
      <c r="S214" s="121"/>
      <c r="T214" s="121"/>
      <c r="U214" s="121"/>
      <c r="V214" s="121"/>
      <c r="W214" s="121"/>
      <c r="X214" s="121"/>
      <c r="Y214" s="121"/>
      <c r="Z214" s="121"/>
      <c r="AA214" s="121"/>
      <c r="AB214" s="121"/>
      <c r="AC214" s="121"/>
      <c r="AD214" s="121"/>
      <c r="AE214" s="121"/>
    </row>
    <row r="215" spans="19:31" ht="15" customHeight="1">
      <c r="S215" s="121"/>
      <c r="T215" s="121"/>
      <c r="U215" s="121"/>
      <c r="V215" s="121"/>
      <c r="W215" s="121"/>
      <c r="X215" s="121"/>
      <c r="Y215" s="121"/>
      <c r="Z215" s="121"/>
      <c r="AA215" s="121"/>
      <c r="AB215" s="121"/>
      <c r="AC215" s="121"/>
      <c r="AD215" s="121"/>
      <c r="AE215" s="121"/>
    </row>
    <row r="216" spans="19:31" ht="15" customHeight="1">
      <c r="S216" s="121"/>
      <c r="T216" s="121"/>
      <c r="U216" s="121"/>
      <c r="V216" s="121"/>
      <c r="W216" s="121"/>
      <c r="X216" s="121"/>
      <c r="Y216" s="121"/>
      <c r="Z216" s="121"/>
      <c r="AA216" s="121"/>
      <c r="AB216" s="121"/>
      <c r="AC216" s="121"/>
      <c r="AD216" s="121"/>
      <c r="AE216" s="121"/>
    </row>
    <row r="217" spans="19:31" ht="15" customHeight="1">
      <c r="S217" s="121"/>
      <c r="T217" s="121"/>
      <c r="U217" s="121"/>
      <c r="V217" s="121"/>
      <c r="W217" s="121"/>
      <c r="X217" s="121"/>
      <c r="Y217" s="121"/>
      <c r="Z217" s="121"/>
      <c r="AA217" s="121"/>
      <c r="AB217" s="121"/>
      <c r="AC217" s="121"/>
      <c r="AD217" s="121"/>
      <c r="AE217" s="121"/>
    </row>
    <row r="218" spans="19:31" ht="15" customHeight="1">
      <c r="S218" s="121"/>
      <c r="T218" s="121"/>
      <c r="U218" s="121"/>
      <c r="V218" s="121"/>
      <c r="W218" s="121"/>
      <c r="X218" s="121"/>
      <c r="Y218" s="121"/>
      <c r="Z218" s="121"/>
      <c r="AA218" s="121"/>
      <c r="AB218" s="121"/>
      <c r="AC218" s="121"/>
      <c r="AD218" s="121"/>
      <c r="AE218" s="121"/>
    </row>
    <row r="219" spans="19:31" ht="15" customHeight="1">
      <c r="S219" s="121"/>
      <c r="T219" s="121"/>
      <c r="U219" s="121"/>
      <c r="V219" s="121"/>
      <c r="W219" s="121"/>
      <c r="X219" s="121"/>
      <c r="Y219" s="121"/>
      <c r="Z219" s="121"/>
      <c r="AA219" s="121"/>
      <c r="AB219" s="121"/>
      <c r="AC219" s="121"/>
      <c r="AD219" s="121"/>
      <c r="AE219" s="121"/>
    </row>
    <row r="220" spans="19:31" ht="15" customHeight="1">
      <c r="S220" s="121"/>
      <c r="T220" s="121"/>
      <c r="U220" s="121"/>
      <c r="V220" s="121"/>
      <c r="W220" s="121"/>
      <c r="X220" s="121"/>
      <c r="Y220" s="121"/>
      <c r="Z220" s="121"/>
      <c r="AA220" s="121"/>
      <c r="AB220" s="121"/>
      <c r="AC220" s="121"/>
      <c r="AD220" s="121"/>
      <c r="AE220" s="121"/>
    </row>
    <row r="221" spans="19:31" ht="15" customHeight="1">
      <c r="S221" s="121"/>
      <c r="T221" s="121"/>
      <c r="U221" s="121"/>
      <c r="V221" s="121"/>
      <c r="W221" s="121"/>
      <c r="X221" s="121"/>
      <c r="Y221" s="121"/>
      <c r="Z221" s="121"/>
      <c r="AA221" s="121"/>
      <c r="AB221" s="121"/>
      <c r="AC221" s="121"/>
      <c r="AD221" s="121"/>
      <c r="AE221" s="121"/>
    </row>
    <row r="222" spans="19:31" ht="15" customHeight="1">
      <c r="S222" s="121"/>
      <c r="T222" s="121"/>
      <c r="U222" s="121"/>
      <c r="V222" s="121"/>
      <c r="W222" s="121"/>
      <c r="X222" s="121"/>
      <c r="Y222" s="121"/>
      <c r="Z222" s="121"/>
      <c r="AA222" s="121"/>
      <c r="AB222" s="121"/>
      <c r="AC222" s="121"/>
      <c r="AD222" s="121"/>
      <c r="AE222" s="121"/>
    </row>
    <row r="223" spans="19:31" ht="15" customHeight="1">
      <c r="S223" s="121"/>
      <c r="T223" s="121"/>
      <c r="U223" s="121"/>
      <c r="V223" s="121"/>
      <c r="W223" s="121"/>
      <c r="X223" s="121"/>
      <c r="Y223" s="121"/>
      <c r="Z223" s="121"/>
      <c r="AA223" s="121"/>
      <c r="AB223" s="121"/>
      <c r="AC223" s="121"/>
      <c r="AD223" s="121"/>
      <c r="AE223" s="121"/>
    </row>
    <row r="224" spans="19:31" ht="15" customHeight="1">
      <c r="S224" s="121"/>
      <c r="T224" s="121"/>
      <c r="U224" s="121"/>
      <c r="V224" s="121"/>
      <c r="W224" s="121"/>
      <c r="X224" s="121"/>
      <c r="Y224" s="121"/>
      <c r="Z224" s="121"/>
      <c r="AA224" s="121"/>
      <c r="AB224" s="121"/>
      <c r="AC224" s="121"/>
      <c r="AD224" s="121"/>
      <c r="AE224" s="121"/>
    </row>
    <row r="225" spans="19:31" ht="15" customHeight="1">
      <c r="S225" s="121"/>
      <c r="T225" s="121"/>
      <c r="U225" s="121"/>
      <c r="V225" s="121"/>
      <c r="W225" s="121"/>
      <c r="X225" s="121"/>
      <c r="Y225" s="121"/>
      <c r="Z225" s="121"/>
      <c r="AA225" s="121"/>
      <c r="AB225" s="121"/>
      <c r="AC225" s="121"/>
      <c r="AD225" s="121"/>
      <c r="AE225" s="121"/>
    </row>
    <row r="226" spans="19:31" ht="15" customHeight="1">
      <c r="S226" s="121"/>
      <c r="T226" s="121"/>
      <c r="U226" s="121"/>
      <c r="V226" s="121"/>
      <c r="W226" s="121"/>
      <c r="X226" s="121"/>
      <c r="Y226" s="121"/>
      <c r="Z226" s="121"/>
      <c r="AA226" s="121"/>
      <c r="AB226" s="121"/>
      <c r="AC226" s="121"/>
      <c r="AD226" s="121"/>
      <c r="AE226" s="121"/>
    </row>
    <row r="227" spans="19:31" ht="15" customHeight="1">
      <c r="S227" s="121"/>
      <c r="T227" s="121"/>
      <c r="U227" s="121"/>
      <c r="V227" s="121"/>
      <c r="W227" s="121"/>
      <c r="X227" s="121"/>
      <c r="Y227" s="121"/>
      <c r="Z227" s="121"/>
      <c r="AA227" s="121"/>
      <c r="AB227" s="121"/>
      <c r="AC227" s="121"/>
      <c r="AD227" s="121"/>
      <c r="AE227" s="121"/>
    </row>
    <row r="228" spans="19:31" ht="15" customHeight="1">
      <c r="S228" s="121"/>
      <c r="T228" s="121"/>
      <c r="U228" s="121"/>
      <c r="V228" s="121"/>
      <c r="W228" s="121"/>
      <c r="X228" s="121"/>
      <c r="Y228" s="121"/>
      <c r="Z228" s="121"/>
      <c r="AA228" s="121"/>
      <c r="AB228" s="121"/>
      <c r="AC228" s="121"/>
      <c r="AD228" s="121"/>
      <c r="AE228" s="121"/>
    </row>
    <row r="229" spans="19:31" ht="15" customHeight="1">
      <c r="S229" s="121"/>
      <c r="T229" s="121"/>
      <c r="U229" s="121"/>
      <c r="V229" s="121"/>
      <c r="W229" s="121"/>
      <c r="X229" s="121"/>
      <c r="Y229" s="121"/>
      <c r="Z229" s="121"/>
      <c r="AA229" s="121"/>
      <c r="AB229" s="121"/>
      <c r="AC229" s="121"/>
      <c r="AD229" s="121"/>
      <c r="AE229" s="121"/>
    </row>
    <row r="230" spans="19:31" ht="15" customHeight="1">
      <c r="S230" s="121"/>
      <c r="T230" s="121"/>
      <c r="U230" s="121"/>
      <c r="V230" s="121"/>
      <c r="W230" s="121"/>
      <c r="X230" s="121"/>
      <c r="Y230" s="121"/>
      <c r="Z230" s="121"/>
      <c r="AA230" s="121"/>
      <c r="AB230" s="121"/>
      <c r="AC230" s="121"/>
      <c r="AD230" s="121"/>
      <c r="AE230" s="121"/>
    </row>
    <row r="231" spans="19:31" ht="15" customHeight="1">
      <c r="S231" s="121"/>
      <c r="T231" s="121"/>
      <c r="U231" s="121"/>
      <c r="V231" s="121"/>
      <c r="W231" s="121"/>
      <c r="X231" s="121"/>
      <c r="Y231" s="121"/>
      <c r="Z231" s="121"/>
      <c r="AA231" s="121"/>
      <c r="AB231" s="121"/>
      <c r="AC231" s="121"/>
      <c r="AD231" s="121"/>
      <c r="AE231" s="121"/>
    </row>
    <row r="232" spans="19:31" ht="15" customHeight="1">
      <c r="S232" s="121"/>
      <c r="T232" s="121"/>
      <c r="U232" s="121"/>
      <c r="V232" s="121"/>
      <c r="W232" s="121"/>
      <c r="X232" s="121"/>
      <c r="Y232" s="121"/>
      <c r="Z232" s="121"/>
      <c r="AA232" s="121"/>
      <c r="AB232" s="121"/>
      <c r="AC232" s="121"/>
      <c r="AD232" s="121"/>
      <c r="AE232" s="121"/>
    </row>
    <row r="233" spans="19:31" ht="15" customHeight="1">
      <c r="S233" s="121"/>
      <c r="T233" s="121"/>
      <c r="U233" s="121"/>
      <c r="V233" s="121"/>
      <c r="W233" s="121"/>
      <c r="X233" s="121"/>
      <c r="Y233" s="121"/>
      <c r="Z233" s="121"/>
      <c r="AA233" s="121"/>
      <c r="AB233" s="121"/>
      <c r="AC233" s="121"/>
      <c r="AD233" s="121"/>
      <c r="AE233" s="121"/>
    </row>
    <row r="234" spans="19:31" ht="15" customHeight="1">
      <c r="S234" s="121"/>
      <c r="T234" s="121"/>
      <c r="U234" s="121"/>
      <c r="V234" s="121"/>
      <c r="W234" s="121"/>
      <c r="X234" s="121"/>
      <c r="Y234" s="121"/>
      <c r="Z234" s="121"/>
      <c r="AA234" s="121"/>
      <c r="AB234" s="121"/>
      <c r="AC234" s="121"/>
      <c r="AD234" s="121"/>
      <c r="AE234" s="121"/>
    </row>
    <row r="235" spans="19:31" ht="15" customHeight="1">
      <c r="S235" s="121"/>
      <c r="T235" s="121"/>
      <c r="U235" s="121"/>
      <c r="V235" s="121"/>
      <c r="W235" s="121"/>
      <c r="X235" s="121"/>
      <c r="Y235" s="121"/>
      <c r="Z235" s="121"/>
      <c r="AA235" s="121"/>
      <c r="AB235" s="121"/>
      <c r="AC235" s="121"/>
      <c r="AD235" s="121"/>
      <c r="AE235" s="121"/>
    </row>
    <row r="236" spans="19:31" ht="15" customHeight="1">
      <c r="S236" s="121"/>
      <c r="T236" s="121"/>
      <c r="U236" s="121"/>
      <c r="V236" s="121"/>
      <c r="W236" s="121"/>
      <c r="X236" s="121"/>
      <c r="Y236" s="121"/>
      <c r="Z236" s="121"/>
      <c r="AA236" s="121"/>
      <c r="AB236" s="121"/>
      <c r="AC236" s="121"/>
      <c r="AD236" s="121"/>
      <c r="AE236" s="121"/>
    </row>
    <row r="237" spans="19:31" ht="15" customHeight="1">
      <c r="S237" s="121"/>
      <c r="T237" s="121"/>
      <c r="U237" s="121"/>
      <c r="V237" s="121"/>
      <c r="W237" s="121"/>
      <c r="X237" s="121"/>
      <c r="Y237" s="121"/>
      <c r="Z237" s="121"/>
      <c r="AA237" s="121"/>
      <c r="AB237" s="121"/>
      <c r="AC237" s="121"/>
      <c r="AD237" s="121"/>
      <c r="AE237" s="121"/>
    </row>
  </sheetData>
  <mergeCells count="2">
    <mergeCell ref="G3:O3"/>
    <mergeCell ref="B4:E4"/>
  </mergeCells>
  <conditionalFormatting sqref="C8:E189">
    <cfRule type="containsErrors" dxfId="6" priority="2">
      <formula>ISERROR(C8)</formula>
    </cfRule>
  </conditionalFormatting>
  <printOptions horizontalCentered="1"/>
  <pageMargins left="0.7" right="0.7" top="1.25" bottom="0.75" header="0.3" footer="0.3"/>
  <pageSetup scale="40" orientation="portrait" useFirstPageNumber="1" horizontalDpi="1200" verticalDpi="1200" r:id="rId1"/>
  <headerFooter scaleWithDoc="0">
    <oddHeader>&amp;C&amp;"Times New Roman,Regular"&amp;9MIDAMERICAN ENERGY COMPANY
2026 SOUTH DAKOTA GAS RATE CASE
Docket No. NG26-____
FOR THE YEAR ENDING DECEMBER 31, 2025
Individual Responsible: Ann Bulkley&amp;R&amp;"Times New Roman,Regular"&amp;9Exhibit AEB 1.1
&amp;A
Page &amp;P of &amp;N</oddHeader>
  </headerFooter>
  <rowBreaks count="1" manualBreakCount="1">
    <brk id="68" min="1" max="4"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88658-4396-452A-9342-3601FD2AA102}">
  <sheetPr>
    <pageSetUpPr autoPageBreaks="0" fitToPage="1"/>
  </sheetPr>
  <dimension ref="B2:N67"/>
  <sheetViews>
    <sheetView showGridLines="0" view="pageLayout" zoomScale="85" zoomScaleNormal="85" zoomScaleSheetLayoutView="75" zoomScalePageLayoutView="85" workbookViewId="0">
      <selection activeCell="G15" sqref="G15"/>
    </sheetView>
  </sheetViews>
  <sheetFormatPr defaultColWidth="9.140625" defaultRowHeight="15" customHeight="1"/>
  <cols>
    <col min="1" max="1" width="5.5703125" style="12" customWidth="1"/>
    <col min="2" max="2" width="5.7109375" style="12" customWidth="1"/>
    <col min="3" max="3" width="29.42578125" style="12" customWidth="1"/>
    <col min="4" max="4" width="7.42578125" style="12" customWidth="1"/>
    <col min="5" max="5" width="15.28515625" style="12" customWidth="1"/>
    <col min="6" max="10" width="14.42578125" style="12" customWidth="1"/>
    <col min="11" max="11" width="12.42578125" style="12" customWidth="1"/>
    <col min="12" max="12" width="6.140625" style="12" customWidth="1"/>
    <col min="13" max="16384" width="9.140625" style="12"/>
  </cols>
  <sheetData>
    <row r="2" spans="2:14" ht="15" customHeight="1">
      <c r="B2" s="137" t="s">
        <v>1426</v>
      </c>
      <c r="C2" s="137"/>
      <c r="D2" s="137"/>
      <c r="E2" s="137"/>
      <c r="F2" s="137"/>
      <c r="G2" s="137"/>
      <c r="H2" s="137"/>
      <c r="I2" s="137"/>
      <c r="J2" s="137"/>
      <c r="K2" s="137"/>
    </row>
    <row r="3" spans="2:14" ht="15" customHeight="1">
      <c r="C3" s="364" t="s">
        <v>1042</v>
      </c>
      <c r="D3" s="364"/>
      <c r="E3" s="364"/>
      <c r="F3" s="364"/>
      <c r="G3" s="364"/>
      <c r="H3" s="364"/>
      <c r="I3" s="364"/>
      <c r="J3" s="364"/>
      <c r="K3" s="364"/>
    </row>
    <row r="6" spans="2:14" ht="15" customHeight="1" thickBot="1">
      <c r="B6" s="13"/>
      <c r="C6" s="14"/>
      <c r="D6" s="14"/>
      <c r="E6" s="15" t="s">
        <v>859</v>
      </c>
      <c r="F6" s="15" t="s">
        <v>860</v>
      </c>
      <c r="G6" s="15" t="s">
        <v>861</v>
      </c>
      <c r="H6" s="15" t="s">
        <v>38</v>
      </c>
      <c r="I6" s="15" t="s">
        <v>39</v>
      </c>
      <c r="J6" s="15" t="s">
        <v>40</v>
      </c>
      <c r="K6" s="15" t="s">
        <v>847</v>
      </c>
    </row>
    <row r="7" spans="2:14" ht="15" customHeight="1">
      <c r="B7" s="171"/>
      <c r="C7" s="172"/>
      <c r="D7" s="172"/>
      <c r="E7" s="172"/>
      <c r="F7" s="172"/>
      <c r="G7" s="172"/>
      <c r="H7" s="172"/>
      <c r="I7" s="172"/>
      <c r="J7" s="172"/>
      <c r="K7" s="173"/>
    </row>
    <row r="8" spans="2:14" ht="15" customHeight="1">
      <c r="B8" s="14"/>
      <c r="C8" s="14"/>
      <c r="D8" s="14"/>
      <c r="E8" s="14"/>
      <c r="F8" s="14"/>
      <c r="G8" s="14"/>
      <c r="H8" s="14"/>
      <c r="I8" s="14"/>
      <c r="J8" s="14"/>
      <c r="K8" s="15" t="s">
        <v>1114</v>
      </c>
    </row>
    <row r="9" spans="2:14" ht="15" customHeight="1">
      <c r="B9" s="14"/>
      <c r="C9" s="14"/>
      <c r="D9" s="14"/>
      <c r="E9" s="14"/>
      <c r="F9" s="14"/>
      <c r="G9" s="15"/>
      <c r="H9" s="14"/>
      <c r="I9" s="15"/>
      <c r="J9" s="15"/>
      <c r="K9" s="15" t="s">
        <v>1043</v>
      </c>
    </row>
    <row r="10" spans="2:14" ht="15" customHeight="1">
      <c r="B10" s="16"/>
      <c r="C10" s="16"/>
      <c r="D10" s="16"/>
      <c r="E10" s="17">
        <v>2025</v>
      </c>
      <c r="F10" s="17">
        <v>2026</v>
      </c>
      <c r="G10" s="17">
        <v>2027</v>
      </c>
      <c r="H10" s="17">
        <v>2028</v>
      </c>
      <c r="I10" s="17">
        <v>2029</v>
      </c>
      <c r="J10" s="17">
        <v>2030</v>
      </c>
      <c r="K10" s="17" t="s">
        <v>1044</v>
      </c>
      <c r="M10" s="18" t="s">
        <v>1084</v>
      </c>
      <c r="N10" s="18"/>
    </row>
    <row r="11" spans="2:14" ht="15" customHeight="1">
      <c r="B11" s="14"/>
      <c r="C11" s="14"/>
      <c r="D11" s="14"/>
      <c r="E11" s="15"/>
      <c r="F11" s="15"/>
      <c r="G11" s="15"/>
      <c r="H11" s="15"/>
      <c r="I11" s="15"/>
      <c r="J11" s="15"/>
      <c r="K11" s="15"/>
      <c r="M11" s="18"/>
      <c r="N11" s="18"/>
    </row>
    <row r="12" spans="2:14" ht="15" customHeight="1">
      <c r="B12" s="12" t="s">
        <v>2</v>
      </c>
      <c r="D12" s="18" t="s">
        <v>3</v>
      </c>
      <c r="M12" s="18" t="str">
        <f>IFERROR(RANK(K12,$K$12:$K$45,1),"")</f>
        <v/>
      </c>
      <c r="N12" s="18"/>
    </row>
    <row r="13" spans="2:14" ht="15" customHeight="1">
      <c r="B13" s="12" t="s">
        <v>4</v>
      </c>
      <c r="C13" s="12" t="s">
        <v>1045</v>
      </c>
      <c r="D13" s="18"/>
      <c r="F13" s="138">
        <v>24.55</v>
      </c>
      <c r="G13" s="138">
        <v>23.75</v>
      </c>
      <c r="H13" s="138">
        <f>AVERAGE(G13,I13)</f>
        <v>21.925000000000001</v>
      </c>
      <c r="I13" s="138">
        <v>20.100000000000001</v>
      </c>
      <c r="J13" s="138">
        <v>20.100000000000001</v>
      </c>
      <c r="M13" s="18" t="str">
        <f>IFERROR(RANK(K13,$K$12:$K$45,1),"")</f>
        <v/>
      </c>
      <c r="N13" s="18"/>
    </row>
    <row r="14" spans="2:14" ht="15" customHeight="1">
      <c r="B14" s="12" t="s">
        <v>4</v>
      </c>
      <c r="C14" s="12" t="s">
        <v>1046</v>
      </c>
      <c r="D14" s="18"/>
      <c r="F14" s="139">
        <v>171</v>
      </c>
      <c r="G14" s="139">
        <v>180</v>
      </c>
      <c r="H14" s="139">
        <f>AVERAGE(G14,I14)</f>
        <v>190</v>
      </c>
      <c r="I14" s="139">
        <v>200</v>
      </c>
      <c r="J14" s="139">
        <v>200</v>
      </c>
      <c r="K14" s="19"/>
      <c r="M14" s="18" t="str">
        <f>IFERROR(RANK(K14,$K$12:$K$45,1),"")</f>
        <v/>
      </c>
      <c r="N14" s="18"/>
    </row>
    <row r="15" spans="2:14" ht="15" customHeight="1">
      <c r="B15" s="12" t="s">
        <v>4</v>
      </c>
      <c r="C15" s="12" t="s">
        <v>1047</v>
      </c>
      <c r="D15" s="18"/>
      <c r="F15" s="140">
        <f>IF(ISERROR(F13*F14),"",F13*F14)</f>
        <v>4198.05</v>
      </c>
      <c r="G15" s="140">
        <f t="shared" ref="G15:I15" si="0">IF(ISERROR(G13*G14),"",G13*G14)</f>
        <v>4275</v>
      </c>
      <c r="H15" s="140">
        <f>IF(ISERROR(H13*H14),"",H13*H14)</f>
        <v>4165.75</v>
      </c>
      <c r="I15" s="140">
        <f t="shared" si="0"/>
        <v>4020.0000000000005</v>
      </c>
      <c r="J15" s="140">
        <f>IF(ISERROR(J13*J14),"",J13*J14)</f>
        <v>4020.0000000000005</v>
      </c>
      <c r="K15" s="141">
        <f>IF(ISERROR(SUM(F15:J15)/E16),"",SUM(F15:J15)/E16)</f>
        <v>0.817570078677895</v>
      </c>
      <c r="M15" s="18">
        <f>IFERROR(RANK(K15,$K$15:$K$46,1),"")</f>
        <v>6</v>
      </c>
      <c r="N15" s="18" t="str">
        <f>D12</f>
        <v>ATO</v>
      </c>
    </row>
    <row r="16" spans="2:14" ht="15" customHeight="1">
      <c r="B16" s="12" t="s">
        <v>4</v>
      </c>
      <c r="C16" s="12" t="s">
        <v>1044</v>
      </c>
      <c r="D16" s="18"/>
      <c r="E16" s="39">
        <v>25293</v>
      </c>
      <c r="M16" s="18" t="str">
        <f>IFERROR(RANK(K16,$K$12:$K$45,1),"")</f>
        <v/>
      </c>
      <c r="N16" s="18"/>
    </row>
    <row r="17" spans="2:14" ht="15" customHeight="1">
      <c r="B17" s="12" t="s">
        <v>1361</v>
      </c>
      <c r="D17" s="18" t="s">
        <v>1362</v>
      </c>
      <c r="E17" s="39"/>
      <c r="M17" s="18" t="str">
        <f>IFERROR(RANK(K17,$K$12:$K$45,1),"")</f>
        <v/>
      </c>
      <c r="N17" s="18"/>
    </row>
    <row r="18" spans="2:14" ht="15" customHeight="1">
      <c r="B18" s="12" t="s">
        <v>4</v>
      </c>
      <c r="C18" s="12" t="s">
        <v>1045</v>
      </c>
      <c r="D18" s="18"/>
      <c r="E18" s="39"/>
      <c r="F18" s="138">
        <v>19.8</v>
      </c>
      <c r="G18" s="138">
        <v>20.85</v>
      </c>
      <c r="H18" s="138">
        <f>AVERAGE(G18,I18)</f>
        <v>22.8</v>
      </c>
      <c r="I18" s="138">
        <v>24.75</v>
      </c>
      <c r="J18" s="138">
        <v>24.75</v>
      </c>
      <c r="M18" s="18" t="str">
        <f>IFERROR(RANK(K18,$K$12:$K$45,1),"")</f>
        <v/>
      </c>
      <c r="N18" s="18"/>
    </row>
    <row r="19" spans="2:14" ht="15" customHeight="1">
      <c r="B19" s="12" t="s">
        <v>4</v>
      </c>
      <c r="C19" s="12" t="s">
        <v>1046</v>
      </c>
      <c r="D19" s="18"/>
      <c r="E19" s="39"/>
      <c r="F19" s="139">
        <v>24</v>
      </c>
      <c r="G19" s="139">
        <v>24</v>
      </c>
      <c r="H19" s="139">
        <f>AVERAGE(G19,I19)</f>
        <v>25</v>
      </c>
      <c r="I19" s="139">
        <v>26</v>
      </c>
      <c r="J19" s="139">
        <v>26</v>
      </c>
      <c r="M19" s="18" t="str">
        <f>IFERROR(RANK(K19,$K$12:$K$45,1),"")</f>
        <v/>
      </c>
      <c r="N19" s="18"/>
    </row>
    <row r="20" spans="2:14" ht="15" customHeight="1">
      <c r="B20" s="12" t="s">
        <v>4</v>
      </c>
      <c r="C20" s="12" t="s">
        <v>1047</v>
      </c>
      <c r="D20" s="18"/>
      <c r="E20" s="39"/>
      <c r="F20" s="174">
        <f>IF(ISERROR(F18*F19),"",F18*F19)</f>
        <v>475.20000000000005</v>
      </c>
      <c r="G20" s="174">
        <f t="shared" ref="G20" si="1">IF(ISERROR(G18*G19),"",G18*G19)</f>
        <v>500.40000000000003</v>
      </c>
      <c r="H20" s="140">
        <f>IF(ISERROR(H18*H19),"",H18*H19)</f>
        <v>570</v>
      </c>
      <c r="I20" s="174">
        <f t="shared" ref="I20" si="2">IF(ISERROR(I18*I19),"",I18*I19)</f>
        <v>643.5</v>
      </c>
      <c r="J20" s="174">
        <f>IF(ISERROR(J18*J19),"",J18*J19)</f>
        <v>643.5</v>
      </c>
      <c r="K20" s="141">
        <f>IF(ISERROR(SUM(F20:J20)/E21),"",SUM(F20:J20)/E21)</f>
        <v>0.90835043612108779</v>
      </c>
      <c r="M20" s="18">
        <f>IFERROR(RANK(K20,$K$15:$K$46,1),"")</f>
        <v>7</v>
      </c>
      <c r="N20" s="18" t="str">
        <f>D17</f>
        <v>CPK</v>
      </c>
    </row>
    <row r="21" spans="2:14" ht="15" customHeight="1">
      <c r="B21" s="12" t="s">
        <v>4</v>
      </c>
      <c r="C21" s="12" t="s">
        <v>1044</v>
      </c>
      <c r="D21" s="18"/>
      <c r="E21" s="142">
        <v>3118.4</v>
      </c>
      <c r="M21" s="18" t="str">
        <f>IFERROR(RANK(K21,$K$12:$K$45,1),"")</f>
        <v/>
      </c>
      <c r="N21" s="18"/>
    </row>
    <row r="22" spans="2:14" ht="15" customHeight="1">
      <c r="B22" s="12" t="s">
        <v>5</v>
      </c>
      <c r="D22" s="18" t="s">
        <v>6</v>
      </c>
      <c r="E22" s="39"/>
      <c r="M22" s="18" t="str">
        <f>IFERROR(RANK(K22,$K$12:$K$45,1),"")</f>
        <v/>
      </c>
      <c r="N22" s="18"/>
    </row>
    <row r="23" spans="2:14" ht="15" customHeight="1">
      <c r="B23" s="12" t="s">
        <v>4</v>
      </c>
      <c r="C23" s="12" t="s">
        <v>1045</v>
      </c>
      <c r="D23" s="18"/>
      <c r="E23" s="39"/>
      <c r="F23" s="138">
        <v>5.75</v>
      </c>
      <c r="G23" s="138">
        <v>5.7</v>
      </c>
      <c r="H23" s="138">
        <f>AVERAGE(G23,I23)</f>
        <v>5.5250000000000004</v>
      </c>
      <c r="I23" s="138">
        <v>5.35</v>
      </c>
      <c r="J23" s="138">
        <v>5.35</v>
      </c>
      <c r="M23" s="18" t="str">
        <f>IFERROR(RANK(K23,$K$12:$K$45,1),"")</f>
        <v/>
      </c>
      <c r="N23" s="18"/>
    </row>
    <row r="24" spans="2:14" ht="15" customHeight="1">
      <c r="B24" s="12" t="s">
        <v>4</v>
      </c>
      <c r="C24" s="12" t="s">
        <v>1046</v>
      </c>
      <c r="D24" s="18"/>
      <c r="E24" s="39"/>
      <c r="F24" s="139">
        <v>485</v>
      </c>
      <c r="G24" s="139">
        <v>490</v>
      </c>
      <c r="H24" s="139">
        <f>AVERAGE(G24,I24)</f>
        <v>507.5</v>
      </c>
      <c r="I24" s="139">
        <v>525</v>
      </c>
      <c r="J24" s="139">
        <v>525</v>
      </c>
      <c r="M24" s="18" t="str">
        <f>IFERROR(RANK(K24,$K$12:$K$45,1),"")</f>
        <v/>
      </c>
      <c r="N24" s="18"/>
    </row>
    <row r="25" spans="2:14" ht="15" customHeight="1">
      <c r="B25" s="12" t="s">
        <v>4</v>
      </c>
      <c r="C25" s="12" t="s">
        <v>1047</v>
      </c>
      <c r="D25" s="18"/>
      <c r="E25" s="39"/>
      <c r="F25" s="174">
        <f>IF(ISERROR(F23*F24),"",F23*F24)</f>
        <v>2788.75</v>
      </c>
      <c r="G25" s="174">
        <f t="shared" ref="G25:I25" si="3">IF(ISERROR(G23*G24),"",G23*G24)</f>
        <v>2793</v>
      </c>
      <c r="H25" s="140">
        <f>IF(ISERROR(H23*H24),"",H23*H24)</f>
        <v>2803.9375</v>
      </c>
      <c r="I25" s="174">
        <f t="shared" si="3"/>
        <v>2808.75</v>
      </c>
      <c r="J25" s="174">
        <f>IF(ISERROR(J23*J24),"",J23*J24)</f>
        <v>2808.75</v>
      </c>
      <c r="K25" s="141">
        <f>IF(ISERROR(SUM(F25:J25)/E26),"",SUM(F25:J25)/E26)</f>
        <v>0.48812003276631344</v>
      </c>
      <c r="M25" s="18">
        <f>IFERROR(RANK(K25,$K$15:$K$46,1),"")</f>
        <v>3</v>
      </c>
      <c r="N25" s="18" t="str">
        <f>D22</f>
        <v>NI</v>
      </c>
    </row>
    <row r="26" spans="2:14" ht="15" customHeight="1">
      <c r="B26" s="12" t="s">
        <v>4</v>
      </c>
      <c r="C26" s="12" t="s">
        <v>1044</v>
      </c>
      <c r="D26" s="18"/>
      <c r="E26" s="142">
        <v>28688</v>
      </c>
      <c r="M26" s="18" t="str">
        <f>IFERROR(RANK(K26,$K$12:$K$45,1),"")</f>
        <v/>
      </c>
      <c r="N26" s="18"/>
    </row>
    <row r="27" spans="2:14" ht="15" customHeight="1">
      <c r="B27" s="12" t="s">
        <v>1011</v>
      </c>
      <c r="D27" s="18" t="s">
        <v>1012</v>
      </c>
      <c r="E27" s="39"/>
      <c r="M27" s="18" t="str">
        <f>IFERROR(RANK(K27,$K$12:$K$45,1),"")</f>
        <v/>
      </c>
      <c r="N27" s="18"/>
    </row>
    <row r="28" spans="2:14" ht="15" customHeight="1">
      <c r="B28" s="12" t="s">
        <v>4</v>
      </c>
      <c r="C28" s="12" t="s">
        <v>1045</v>
      </c>
      <c r="D28" s="18"/>
      <c r="E28" s="39"/>
      <c r="F28" s="138">
        <v>11.05</v>
      </c>
      <c r="G28" s="138">
        <v>10.75</v>
      </c>
      <c r="H28" s="138">
        <f>AVERAGE(G28,I28)</f>
        <v>10.525</v>
      </c>
      <c r="I28" s="138">
        <v>10.3</v>
      </c>
      <c r="J28" s="138">
        <v>10.3</v>
      </c>
      <c r="M28" s="18" t="str">
        <f>IFERROR(RANK(K28,$K$12:$K$45,1),"")</f>
        <v/>
      </c>
      <c r="N28" s="18"/>
    </row>
    <row r="29" spans="2:14" ht="15" customHeight="1">
      <c r="B29" s="12" t="s">
        <v>4</v>
      </c>
      <c r="C29" s="12" t="s">
        <v>1046</v>
      </c>
      <c r="D29" s="18"/>
      <c r="E29" s="39"/>
      <c r="F29" s="139">
        <v>45</v>
      </c>
      <c r="G29" s="139">
        <v>46</v>
      </c>
      <c r="H29" s="139">
        <f>AVERAGE(G29,I29)</f>
        <v>48</v>
      </c>
      <c r="I29" s="139">
        <v>50</v>
      </c>
      <c r="J29" s="139">
        <v>50</v>
      </c>
      <c r="M29" s="18" t="str">
        <f>IFERROR(RANK(K29,$K$12:$K$45,1),"")</f>
        <v/>
      </c>
      <c r="N29" s="18"/>
    </row>
    <row r="30" spans="2:14" ht="15" customHeight="1">
      <c r="B30" s="12" t="s">
        <v>4</v>
      </c>
      <c r="C30" s="12" t="s">
        <v>1047</v>
      </c>
      <c r="D30" s="18"/>
      <c r="E30" s="39"/>
      <c r="F30" s="174">
        <f>IF(ISERROR(F28*F29),"",F28*F29)</f>
        <v>497.25000000000006</v>
      </c>
      <c r="G30" s="174">
        <f t="shared" ref="G30:I30" si="4">IF(ISERROR(G28*G29),"",G28*G29)</f>
        <v>494.5</v>
      </c>
      <c r="H30" s="140">
        <f>IF(ISERROR(H28*H29),"",H28*H29)</f>
        <v>505.20000000000005</v>
      </c>
      <c r="I30" s="174">
        <f t="shared" si="4"/>
        <v>515</v>
      </c>
      <c r="J30" s="174">
        <f>IF(ISERROR(J28*J29),"",J28*J29)</f>
        <v>515</v>
      </c>
      <c r="K30" s="141">
        <f>IF(ISERROR(SUM(F30:J30)/E31),"",SUM(F30:J30)/E31)</f>
        <v>0.57168227682005335</v>
      </c>
      <c r="M30" s="18">
        <f>IFERROR(RANK(K30,$K$15:$K$46,1),"")</f>
        <v>5</v>
      </c>
      <c r="N30" s="18" t="str">
        <f>D27</f>
        <v>NWN</v>
      </c>
    </row>
    <row r="31" spans="2:14" ht="15" customHeight="1">
      <c r="B31" s="12" t="s">
        <v>4</v>
      </c>
      <c r="C31" s="12" t="s">
        <v>1044</v>
      </c>
      <c r="D31" s="18"/>
      <c r="E31" s="142">
        <v>4420.2</v>
      </c>
      <c r="M31" s="18" t="str">
        <f>IFERROR(RANK(K31,$K$12:$K$45,1),"")</f>
        <v/>
      </c>
      <c r="N31" s="18"/>
    </row>
    <row r="32" spans="2:14" ht="15" customHeight="1">
      <c r="B32" s="12" t="s">
        <v>7</v>
      </c>
      <c r="D32" s="18" t="s">
        <v>8</v>
      </c>
      <c r="E32" s="39"/>
      <c r="M32" s="18" t="str">
        <f>IFERROR(RANK(K32,$K$12:$K$45,1),"")</f>
        <v/>
      </c>
      <c r="N32" s="18"/>
    </row>
    <row r="33" spans="2:14" ht="15" customHeight="1">
      <c r="B33" s="12" t="s">
        <v>4</v>
      </c>
      <c r="C33" s="12" t="s">
        <v>1045</v>
      </c>
      <c r="D33" s="18"/>
      <c r="E33" s="39"/>
      <c r="F33" s="138">
        <v>11.4</v>
      </c>
      <c r="G33" s="138">
        <v>11.5</v>
      </c>
      <c r="H33" s="138">
        <f>AVERAGE(G33,I33)</f>
        <v>11.25</v>
      </c>
      <c r="I33" s="138">
        <v>11</v>
      </c>
      <c r="J33" s="138">
        <v>11</v>
      </c>
      <c r="M33" s="18" t="str">
        <f>IFERROR(RANK(K33,$K$12:$K$45,1),"")</f>
        <v/>
      </c>
      <c r="N33" s="18"/>
    </row>
    <row r="34" spans="2:14" ht="15" customHeight="1">
      <c r="B34" s="12" t="s">
        <v>4</v>
      </c>
      <c r="C34" s="12" t="s">
        <v>1046</v>
      </c>
      <c r="D34" s="18"/>
      <c r="E34" s="39"/>
      <c r="F34" s="139">
        <v>64</v>
      </c>
      <c r="G34" s="139">
        <v>66</v>
      </c>
      <c r="H34" s="139">
        <f>AVERAGE(G34,I34)</f>
        <v>70.5</v>
      </c>
      <c r="I34" s="139">
        <v>75</v>
      </c>
      <c r="J34" s="139">
        <v>75</v>
      </c>
      <c r="M34" s="18" t="str">
        <f>IFERROR(RANK(K34,$K$12:$K$45,1),"")</f>
        <v/>
      </c>
      <c r="N34" s="18"/>
    </row>
    <row r="35" spans="2:14" ht="15" customHeight="1">
      <c r="B35" s="12" t="s">
        <v>4</v>
      </c>
      <c r="C35" s="12" t="s">
        <v>1047</v>
      </c>
      <c r="D35" s="18"/>
      <c r="E35" s="39"/>
      <c r="F35" s="174">
        <f>IF(ISERROR(F33*F34),"",F33*F34)</f>
        <v>729.6</v>
      </c>
      <c r="G35" s="174">
        <f t="shared" ref="G35:I35" si="5">IF(ISERROR(G33*G34),"",G33*G34)</f>
        <v>759</v>
      </c>
      <c r="H35" s="140">
        <f>IF(ISERROR(H33*H34),"",H33*H34)</f>
        <v>793.125</v>
      </c>
      <c r="I35" s="174">
        <f t="shared" si="5"/>
        <v>825</v>
      </c>
      <c r="J35" s="174">
        <f>IF(ISERROR(J33*J34),"",J33*J34)</f>
        <v>825</v>
      </c>
      <c r="K35" s="141">
        <f>IF(ISERROR(SUM(F35:J35)/E36),"",SUM(F35:J35)/E36)</f>
        <v>0.552037993878296</v>
      </c>
      <c r="M35" s="18">
        <f>IFERROR(RANK(K35,$K$15:$K$46,1),"")</f>
        <v>4</v>
      </c>
      <c r="N35" s="18" t="str">
        <f>D32</f>
        <v>OGS</v>
      </c>
    </row>
    <row r="36" spans="2:14" ht="15" customHeight="1">
      <c r="B36" s="12" t="s">
        <v>4</v>
      </c>
      <c r="C36" s="12" t="s">
        <v>1044</v>
      </c>
      <c r="D36" s="18"/>
      <c r="E36" s="142">
        <v>7122.2</v>
      </c>
      <c r="M36" s="18" t="str">
        <f>IFERROR(RANK(K36,$K$12:$K$45,1),"")</f>
        <v/>
      </c>
      <c r="N36" s="18"/>
    </row>
    <row r="37" spans="2:14" ht="15" customHeight="1">
      <c r="B37" s="12" t="s">
        <v>1134</v>
      </c>
      <c r="D37" s="18" t="s">
        <v>1135</v>
      </c>
      <c r="E37" s="39"/>
      <c r="M37" s="18" t="str">
        <f>IFERROR(RANK(K37,$K$12:$K$45,1),"")</f>
        <v/>
      </c>
      <c r="N37" s="18"/>
    </row>
    <row r="38" spans="2:14" ht="15" customHeight="1">
      <c r="C38" s="12" t="s">
        <v>1045</v>
      </c>
      <c r="D38" s="18"/>
      <c r="E38" s="39"/>
      <c r="F38" s="138">
        <v>10.4</v>
      </c>
      <c r="G38" s="138">
        <v>10.25</v>
      </c>
      <c r="H38" s="138">
        <f>AVERAGE(G38,I38)</f>
        <v>10.074999999999999</v>
      </c>
      <c r="I38" s="138">
        <v>9.9</v>
      </c>
      <c r="J38" s="138">
        <v>9.9</v>
      </c>
      <c r="M38" s="18" t="str">
        <f>IFERROR(RANK(K38,$K$12:$K$45,1),"")</f>
        <v/>
      </c>
      <c r="N38" s="18"/>
    </row>
    <row r="39" spans="2:14" ht="15" customHeight="1">
      <c r="C39" s="12" t="s">
        <v>1046</v>
      </c>
      <c r="D39" s="18"/>
      <c r="E39" s="39"/>
      <c r="F39" s="139">
        <v>73</v>
      </c>
      <c r="G39" s="139">
        <v>74</v>
      </c>
      <c r="H39" s="139">
        <f>AVERAGE(G39,I39)</f>
        <v>75.5</v>
      </c>
      <c r="I39" s="139">
        <v>77</v>
      </c>
      <c r="J39" s="139">
        <v>77</v>
      </c>
      <c r="M39" s="18" t="str">
        <f>IFERROR(RANK(K39,$K$12:$K$45,1),"")</f>
        <v/>
      </c>
      <c r="N39" s="18"/>
    </row>
    <row r="40" spans="2:14" ht="15" customHeight="1">
      <c r="C40" s="12" t="s">
        <v>1047</v>
      </c>
      <c r="D40" s="18"/>
      <c r="E40" s="39"/>
      <c r="F40" s="174">
        <f>IF(ISERROR(F38*F39),"",F38*F39)</f>
        <v>759.2</v>
      </c>
      <c r="G40" s="174">
        <f t="shared" ref="G40" si="6">IF(ISERROR(G38*G39),"",G38*G39)</f>
        <v>758.5</v>
      </c>
      <c r="H40" s="140">
        <f>IF(ISERROR(H38*H39),"",H38*H39)</f>
        <v>760.66249999999991</v>
      </c>
      <c r="I40" s="174">
        <f t="shared" ref="I40" si="7">IF(ISERROR(I38*I39),"",I38*I39)</f>
        <v>762.30000000000007</v>
      </c>
      <c r="J40" s="174">
        <f>IF(ISERROR(J38*J39),"",J38*J39)</f>
        <v>762.30000000000007</v>
      </c>
      <c r="K40" s="141">
        <f>IF(ISERROR(SUM(F40:J40)/E41),"",SUM(F40:J40)/E41)</f>
        <v>0.43759996547954672</v>
      </c>
      <c r="M40" s="18">
        <f>IFERROR(RANK(K40,$K$15:$K$46,1),"")</f>
        <v>1</v>
      </c>
      <c r="N40" s="18" t="str">
        <f>D37</f>
        <v>SWX</v>
      </c>
    </row>
    <row r="41" spans="2:14" ht="15" customHeight="1">
      <c r="C41" s="12" t="s">
        <v>1044</v>
      </c>
      <c r="D41" s="18"/>
      <c r="E41" s="142">
        <v>8690.5</v>
      </c>
      <c r="M41" s="18" t="str">
        <f>IFERROR(RANK(K41,$K$12:$K$45,1),"")</f>
        <v/>
      </c>
      <c r="N41" s="18"/>
    </row>
    <row r="42" spans="2:14" ht="15" customHeight="1">
      <c r="D42" s="18"/>
      <c r="E42" s="20"/>
      <c r="M42" s="18" t="str">
        <f>IFERROR(RANK(K42,$K$12:$K$45,1),"")</f>
        <v/>
      </c>
      <c r="N42" s="18"/>
    </row>
    <row r="43" spans="2:14" ht="15" customHeight="1">
      <c r="B43" s="12" t="s">
        <v>1468</v>
      </c>
      <c r="D43" s="18" t="s">
        <v>1469</v>
      </c>
      <c r="E43" s="20"/>
      <c r="M43" s="18" t="str">
        <f>IFERROR(RANK(K43,$K$12:$K$45,1),"")</f>
        <v/>
      </c>
      <c r="N43" s="18"/>
    </row>
    <row r="44" spans="2:14" ht="15" customHeight="1">
      <c r="C44" s="12" t="s">
        <v>1048</v>
      </c>
      <c r="E44" s="39"/>
      <c r="F44" s="356">
        <f>22710/1000</f>
        <v>22.71</v>
      </c>
      <c r="G44" s="356">
        <f>21018/1000</f>
        <v>21.018000000000001</v>
      </c>
      <c r="H44" s="356">
        <f>19163/1000</f>
        <v>19.163</v>
      </c>
      <c r="I44" s="356">
        <f>18420/1000</f>
        <v>18.420000000000002</v>
      </c>
      <c r="J44" s="356">
        <f>18587/1000</f>
        <v>18.587</v>
      </c>
      <c r="K44" s="175">
        <f>IF(ISERROR(SUM(F44:J44)/E45),"",SUM(F44:J44)/E45)</f>
        <v>0.46834724963548824</v>
      </c>
      <c r="M44" s="18">
        <f>IFERROR(RANK(K44,$K$15:$K$46,1),"")</f>
        <v>2</v>
      </c>
      <c r="N44" s="18" t="s">
        <v>1469</v>
      </c>
    </row>
    <row r="45" spans="2:14" ht="15" customHeight="1">
      <c r="C45" s="12" t="s">
        <v>1049</v>
      </c>
      <c r="E45" s="140">
        <v>213.29900000000001</v>
      </c>
      <c r="M45" s="12" t="str">
        <f>IFERROR(RANK(K45,$K$12:$K$45,1),"")</f>
        <v/>
      </c>
    </row>
    <row r="46" spans="2:14" ht="15" customHeight="1">
      <c r="E46" s="140"/>
    </row>
    <row r="47" spans="2:14" ht="15" customHeight="1">
      <c r="E47" s="140"/>
      <c r="F47" s="12" t="s">
        <v>1471</v>
      </c>
      <c r="K47" s="230">
        <f>SUM(F44:J44)</f>
        <v>99.89800000000001</v>
      </c>
    </row>
    <row r="48" spans="2:14" ht="15" customHeight="1">
      <c r="E48" s="140"/>
      <c r="F48" s="12" t="s">
        <v>1472</v>
      </c>
      <c r="K48" s="230">
        <f>AVERAGE(F44:J44)</f>
        <v>19.979600000000001</v>
      </c>
    </row>
    <row r="49" spans="2:11" ht="15" customHeight="1">
      <c r="E49" s="140"/>
      <c r="F49" s="12" t="s">
        <v>1050</v>
      </c>
      <c r="K49" s="231">
        <f>MEDIAN(K13:K40)</f>
        <v>0.56186013534917467</v>
      </c>
    </row>
    <row r="50" spans="2:11" ht="15" customHeight="1">
      <c r="E50" s="140"/>
      <c r="F50" s="12" t="s">
        <v>1473</v>
      </c>
      <c r="K50" s="232">
        <f>K44/K49</f>
        <v>0.83356554446495523</v>
      </c>
    </row>
    <row r="51" spans="2:11" ht="15" customHeight="1">
      <c r="E51" s="140"/>
    </row>
    <row r="53" spans="2:11" ht="15" customHeight="1">
      <c r="B53" s="19" t="s">
        <v>839</v>
      </c>
      <c r="C53" s="19"/>
    </row>
    <row r="54" spans="2:11" ht="15" customHeight="1">
      <c r="B54" s="21" t="s">
        <v>1470</v>
      </c>
    </row>
    <row r="55" spans="2:11" ht="15" customHeight="1">
      <c r="B55" s="12" t="s">
        <v>1051</v>
      </c>
    </row>
    <row r="56" spans="2:11" ht="15" customHeight="1">
      <c r="B56" s="12" t="s">
        <v>1116</v>
      </c>
    </row>
    <row r="57" spans="2:11" ht="15" customHeight="1">
      <c r="B57" s="12" t="s">
        <v>1117</v>
      </c>
    </row>
    <row r="62" spans="2:11" ht="15" customHeight="1">
      <c r="H62" s="18"/>
      <c r="I62" s="18"/>
    </row>
    <row r="63" spans="2:11" ht="15" customHeight="1">
      <c r="H63" s="22"/>
      <c r="I63" s="23"/>
    </row>
    <row r="64" spans="2:11" ht="15" customHeight="1">
      <c r="H64" s="22"/>
    </row>
    <row r="66" spans="8:8" ht="15" customHeight="1">
      <c r="H66" s="18"/>
    </row>
    <row r="67" spans="8:8" ht="15" customHeight="1">
      <c r="H67" s="24"/>
    </row>
  </sheetData>
  <mergeCells count="1">
    <mergeCell ref="C3:K3"/>
  </mergeCells>
  <printOptions horizontalCentered="1"/>
  <pageMargins left="0.7" right="0.7" top="1.25" bottom="0.75" header="0.3" footer="0.3"/>
  <pageSetup scale="53" orientation="portrait" useFirstPageNumber="1" horizontalDpi="1200" verticalDpi="1200" r:id="rId1"/>
  <headerFooter scaleWithDoc="0">
    <oddHeader>&amp;C&amp;"Times New Roman,Regular"&amp;9MIDAMERICAN ENERGY COMPANY
2026 SOUTH DAKOTA GAS RATE CASE
Docket No. NG26-____
FOR THE YEAR ENDING DECEMBER 31, 2025
Individual Responsible: Ann Bulkley&amp;R&amp;"Times New Roman,Regular"&amp;9Exhibit AEB 1.1
&amp;A
Page &amp;P of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16</vt:i4>
      </vt:variant>
    </vt:vector>
  </HeadingPairs>
  <TitlesOfParts>
    <vt:vector size="30" baseType="lpstr">
      <vt:lpstr>AEB-2 Summary</vt:lpstr>
      <vt:lpstr>AEB-3 Proxy</vt:lpstr>
      <vt:lpstr>AEB-4 CGDCF</vt:lpstr>
      <vt:lpstr>AEB-5 CAPM</vt:lpstr>
      <vt:lpstr>AEB-6 LT Beta</vt:lpstr>
      <vt:lpstr>AEB-7 MktRet</vt:lpstr>
      <vt:lpstr>AEB-8 RiskPrem</vt:lpstr>
      <vt:lpstr>AEB-9 CapEx1</vt:lpstr>
      <vt:lpstr>AEB-9 CapEx2</vt:lpstr>
      <vt:lpstr>AEB-10 RegRisk</vt:lpstr>
      <vt:lpstr>AEB-11 RRA Reg Env</vt:lpstr>
      <vt:lpstr>AEB-12 S&amp;P Cred Sup</vt:lpstr>
      <vt:lpstr>AEB-13 SizePrem</vt:lpstr>
      <vt:lpstr>AEB-14 CapStruct</vt:lpstr>
      <vt:lpstr>'AEB-11 RRA Reg Env'!Print_Area</vt:lpstr>
      <vt:lpstr>'AEB-12 S&amp;P Cred Sup'!Print_Area</vt:lpstr>
      <vt:lpstr>'AEB-13 SizePrem'!Print_Area</vt:lpstr>
      <vt:lpstr>'AEB-14 CapStruct'!Print_Area</vt:lpstr>
      <vt:lpstr>'AEB-2 Summary'!Print_Area</vt:lpstr>
      <vt:lpstr>'AEB-3 Proxy'!Print_Area</vt:lpstr>
      <vt:lpstr>'AEB-4 CGDCF'!Print_Area</vt:lpstr>
      <vt:lpstr>'AEB-5 CAPM'!Print_Area</vt:lpstr>
      <vt:lpstr>'AEB-6 LT Beta'!Print_Area</vt:lpstr>
      <vt:lpstr>'AEB-8 RiskPrem'!Print_Area</vt:lpstr>
      <vt:lpstr>'AEB-9 CapEx1'!Print_Area</vt:lpstr>
      <vt:lpstr>'AEB-9 CapEx2'!Print_Area</vt:lpstr>
      <vt:lpstr>'AEB-11 RRA Reg Env'!Print_Titles</vt:lpstr>
      <vt:lpstr>'AEB-12 S&amp;P Cred Sup'!Print_Titles</vt:lpstr>
      <vt:lpstr>'AEB-7 MktRet'!Print_Titles</vt:lpstr>
      <vt:lpstr>'AEB-8 RiskPrem'!Print_Titles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2026-08-18T22:13:18Z</dcterms:created>
  <dcterms:modified xsi:type="dcterms:W3CDTF">2026-08-19T01:35:15Z</dcterms:modified>
</cp:coreProperties>
</file>