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24226"/>
  <xr:revisionPtr revIDLastSave="0" documentId="13_ncr:1_{51530997-0137-4203-A078-1437332BB1DC}" xr6:coauthVersionLast="47" xr6:coauthVersionMax="47" xr10:uidLastSave="{00000000-0000-0000-0000-000000000000}"/>
  <bookViews>
    <workbookView xWindow="-120" yWindow="-120" windowWidth="29040" windowHeight="15720" tabRatio="847" xr2:uid="{B9466E0A-9564-4E6D-A38E-A2432DEFA111}"/>
  </bookViews>
  <sheets>
    <sheet name="FUN-1 (Results)" sheetId="1" r:id="rId1"/>
    <sheet name="FUN-2 (Test Year)" sheetId="2" r:id="rId2"/>
    <sheet name="FUN-3 (Functional COS)" sheetId="4" r:id="rId3"/>
    <sheet name="FUN-4 (Functional Allocators)" sheetId="5" r:id="rId4"/>
    <sheet name="FUN-5 (Payroll)" sheetId="6" r:id="rId5"/>
    <sheet name="CLS1-1 (Class COS)" sheetId="22" r:id="rId6"/>
    <sheet name="SRC-1 (S.D. Sales)" sheetId="47" r:id="rId7"/>
    <sheet name="SRC-2 (S.D. Revenue)" sheetId="48" r:id="rId8"/>
    <sheet name="SRC-3 (S.D. Riders)" sheetId="49" r:id="rId9"/>
    <sheet name="SRC-4 (S.D. Customers)" sheetId="50" r:id="rId10"/>
    <sheet name="SRC5 (Monthly Sales)" sheetId="51" r:id="rId11"/>
    <sheet name="CSR-Revenues" sheetId="53" r:id="rId12"/>
    <sheet name="ALO-1 (Design Day Peak)" sheetId="12" r:id="rId13"/>
    <sheet name="Billing Determinants" sheetId="52" r:id="rId14"/>
    <sheet name="Rate Summary" sheetId="42" r:id="rId15"/>
    <sheet name="RD-1 (SV)" sheetId="38" r:id="rId16"/>
    <sheet name="RD-2 (MV)" sheetId="39" r:id="rId17"/>
    <sheet name="RD-3 (LV)" sheetId="40" r:id="rId18"/>
    <sheet name="RD-4 (MTR)" sheetId="41" r:id="rId19"/>
    <sheet name="RD-5 (INTRVL METER)" sheetId="43" r:id="rId20"/>
    <sheet name="RD-6 (NF RATE SCHEDULE)" sheetId="44" r:id="rId21"/>
  </sheets>
  <definedNames>
    <definedName name="\a" localSheetId="11">#REF!</definedName>
    <definedName name="\a">#REF!</definedName>
    <definedName name="\b" localSheetId="11">#REF!</definedName>
    <definedName name="\b">#REF!</definedName>
    <definedName name="\c" localSheetId="11">#REF!</definedName>
    <definedName name="\c">#REF!</definedName>
    <definedName name="\d" localSheetId="11">#REF!</definedName>
    <definedName name="\d">#REF!</definedName>
    <definedName name="_xlnm._FilterDatabase" localSheetId="7" hidden="1">'SRC-2 (S.D. Revenue)'!$D$7:$D$37</definedName>
    <definedName name="_MailOriginal" localSheetId="20">'RD-6 (NF RATE SCHEDULE)'!#REF!</definedName>
    <definedName name="AlocList" localSheetId="11">#REF!</definedName>
    <definedName name="AlocList" localSheetId="20">#REF!</definedName>
    <definedName name="AlocList" localSheetId="8">#REF!</definedName>
    <definedName name="AlocList">'FUN-4 (Functional Allocators)'!$B$6:$B$29</definedName>
    <definedName name="AlocTable" localSheetId="11">#REF!</definedName>
    <definedName name="AlocTable" localSheetId="20">#REF!</definedName>
    <definedName name="AlocTable" localSheetId="8">#REF!</definedName>
    <definedName name="AlocTable">'FUN-4 (Functional Allocators)'!$B$6:$N$29</definedName>
    <definedName name="_xlnm.Print_Area" localSheetId="19">'RD-5 (INTRVL METER)'!$A$1:$H$40</definedName>
    <definedName name="_xlnm.Print_Area" localSheetId="20">'RD-6 (NF RATE SCHEDULE)'!$A$1:$G$78</definedName>
    <definedName name="Print_Area_MI" localSheetId="11">#REF!</definedName>
    <definedName name="Print_Area_MI">#REF!</definedName>
    <definedName name="_xlnm.Print_Titles" localSheetId="12">'ALO-1 (Design Day Peak)'!$A:$B,'ALO-1 (Design Day Peak)'!$1:$8</definedName>
    <definedName name="_xlnm.Print_Titles" localSheetId="5">'CLS1-1 (Class COS)'!$A:$B,'CLS1-1 (Class COS)'!$1:$6</definedName>
    <definedName name="_xlnm.Print_Titles" localSheetId="0">'FUN-1 (Results)'!$A:$D,'FUN-1 (Results)'!$1:$5</definedName>
    <definedName name="_xlnm.Print_Titles" localSheetId="1">'FUN-2 (Test Year)'!$A:$F,'FUN-2 (Test Year)'!$1:$8</definedName>
    <definedName name="_xlnm.Print_Titles" localSheetId="2">'FUN-3 (Functional COS)'!$A:$G,'FUN-3 (Functional COS)'!$1:$5</definedName>
    <definedName name="_xlnm.Print_Titles" localSheetId="3">'FUN-4 (Functional Allocators)'!$A:$C,'FUN-4 (Functional Allocators)'!$1:$5</definedName>
    <definedName name="_xlnm.Print_Titles" localSheetId="4">'FUN-5 (Payroll)'!$A:$E,'FUN-5 (Payroll)'!$1:$4</definedName>
    <definedName name="_xlnm.Print_Titles" localSheetId="18">'RD-4 (MTR)'!$1:$3</definedName>
    <definedName name="_xlnm.Print_Titles" localSheetId="20">'RD-6 (NF RATE SCHEDULE)'!$1:$8</definedName>
    <definedName name="_xlnm.Print_Titles" localSheetId="6">'SRC-1 (S.D. Sales)'!$1:$8</definedName>
    <definedName name="_xlnm.Print_Titles" localSheetId="7">'SRC-2 (S.D. Revenue)'!$A:$G,'SRC-2 (S.D. Revenue)'!$1:$7</definedName>
    <definedName name="_xlnm.Print_Titles" localSheetId="8">'SRC-3 (S.D. Riders)'!$A:$C,'SRC-3 (S.D. Riders)'!$1:$5</definedName>
    <definedName name="_xlnm.Print_Titles" localSheetId="9">'SRC-4 (S.D. Customers)'!$1:$8</definedName>
    <definedName name="qryIADemand" localSheetId="16">#REF!</definedName>
    <definedName name="qryIADemand" localSheetId="17">#REF!</definedName>
    <definedName name="qryIADemand" localSheetId="8">#REF!</definedName>
    <definedName name="qryIADemand">#REF!</definedName>
    <definedName name="Recover" localSheetId="11">#REF!</definedName>
    <definedName name="Recover" localSheetId="18">#REF!</definedName>
    <definedName name="Recover" localSheetId="8">#REF!</definedName>
    <definedName name="Recover">#REF!</definedName>
    <definedName name="solver_adj" localSheetId="0" hidden="1">'FUN-1 (Results)'!#REF!</definedName>
    <definedName name="solver_adj" localSheetId="1" hidden="1">'FUN-2 (Test Year)'!$G$266</definedName>
    <definedName name="solver_cvg" localSheetId="0" hidden="1">0.0001</definedName>
    <definedName name="solver_cvg" localSheetId="1" hidden="1">0.0001</definedName>
    <definedName name="solver_drv" localSheetId="0" hidden="1">1</definedName>
    <definedName name="solver_drv" localSheetId="1" hidden="1">1</definedName>
    <definedName name="solver_eng" localSheetId="0" hidden="1">1</definedName>
    <definedName name="solver_eng" localSheetId="1" hidden="1">1</definedName>
    <definedName name="solver_est" localSheetId="0" hidden="1">1</definedName>
    <definedName name="solver_est" localSheetId="1" hidden="1">1</definedName>
    <definedName name="solver_itr" localSheetId="0" hidden="1">2147483647</definedName>
    <definedName name="solver_itr" localSheetId="1" hidden="1">2147483647</definedName>
    <definedName name="solver_mip" localSheetId="0" hidden="1">2147483647</definedName>
    <definedName name="solver_mip" localSheetId="1" hidden="1">2147483647</definedName>
    <definedName name="solver_mni" localSheetId="0" hidden="1">30</definedName>
    <definedName name="solver_mni" localSheetId="1" hidden="1">30</definedName>
    <definedName name="solver_mrt" localSheetId="0" hidden="1">0.075</definedName>
    <definedName name="solver_mrt" localSheetId="1" hidden="1">0.075</definedName>
    <definedName name="solver_msl" localSheetId="0" hidden="1">2</definedName>
    <definedName name="solver_msl" localSheetId="1" hidden="1">2</definedName>
    <definedName name="solver_neg" localSheetId="0" hidden="1">1</definedName>
    <definedName name="solver_neg" localSheetId="1" hidden="1">1</definedName>
    <definedName name="solver_nod" localSheetId="0" hidden="1">2147483647</definedName>
    <definedName name="solver_nod" localSheetId="1" hidden="1">2147483647</definedName>
    <definedName name="solver_num" localSheetId="0" hidden="1">0</definedName>
    <definedName name="solver_num" localSheetId="1" hidden="1">0</definedName>
    <definedName name="solver_nwt" localSheetId="0" hidden="1">1</definedName>
    <definedName name="solver_nwt" localSheetId="1" hidden="1">1</definedName>
    <definedName name="solver_opt" localSheetId="0" hidden="1">'FUN-1 (Results)'!$E$36</definedName>
    <definedName name="solver_opt" localSheetId="1" hidden="1">'FUN-2 (Test Year)'!$G$269</definedName>
    <definedName name="solver_pre" localSheetId="0" hidden="1">0.000001</definedName>
    <definedName name="solver_pre" localSheetId="1" hidden="1">0.000001</definedName>
    <definedName name="solver_rbv" localSheetId="0" hidden="1">1</definedName>
    <definedName name="solver_rbv" localSheetId="1" hidden="1">1</definedName>
    <definedName name="solver_rlx" localSheetId="0" hidden="1">2</definedName>
    <definedName name="solver_rlx" localSheetId="1" hidden="1">2</definedName>
    <definedName name="solver_rsd" localSheetId="0" hidden="1">0</definedName>
    <definedName name="solver_rsd" localSheetId="1" hidden="1">0</definedName>
    <definedName name="solver_scl" localSheetId="0" hidden="1">1</definedName>
    <definedName name="solver_scl" localSheetId="1" hidden="1">1</definedName>
    <definedName name="solver_sho" localSheetId="0" hidden="1">2</definedName>
    <definedName name="solver_sho" localSheetId="1" hidden="1">2</definedName>
    <definedName name="solver_ssz" localSheetId="0" hidden="1">100</definedName>
    <definedName name="solver_ssz" localSheetId="1" hidden="1">100</definedName>
    <definedName name="solver_tim" localSheetId="0" hidden="1">2147483647</definedName>
    <definedName name="solver_tim" localSheetId="1" hidden="1">2147483647</definedName>
    <definedName name="solver_tol" localSheetId="0" hidden="1">0.01</definedName>
    <definedName name="solver_tol" localSheetId="1" hidden="1">0.01</definedName>
    <definedName name="solver_typ" localSheetId="0" hidden="1">3</definedName>
    <definedName name="solver_typ" localSheetId="1" hidden="1">3</definedName>
    <definedName name="solver_val" localSheetId="0" hidden="1">1388850000</definedName>
    <definedName name="solver_val" localSheetId="1" hidden="1">369533830</definedName>
    <definedName name="solver_ver" localSheetId="0" hidden="1">3</definedName>
    <definedName name="solver_ver" localSheetId="1" hidden="1">3</definedName>
    <definedName name="TableName">"Dummy"</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83" i="42" l="1"/>
  <c r="J34" i="42"/>
  <c r="J33" i="42"/>
  <c r="N73" i="42" l="1"/>
  <c r="N57" i="42" l="1"/>
  <c r="L57" i="42"/>
  <c r="N56" i="42"/>
  <c r="L56" i="42"/>
  <c r="H57" i="42"/>
  <c r="J57" i="42"/>
  <c r="H56" i="42"/>
  <c r="T276" i="2" l="1"/>
  <c r="J23" i="48"/>
  <c r="C35" i="22" l="1"/>
  <c r="F71" i="22"/>
  <c r="E71" i="22"/>
  <c r="D68" i="22"/>
  <c r="A77" i="44"/>
  <c r="A76" i="44"/>
  <c r="A66" i="44"/>
  <c r="A67" i="44"/>
  <c r="A68" i="44"/>
  <c r="A69" i="44" s="1"/>
  <c r="A70" i="44" s="1"/>
  <c r="A71" i="44" s="1"/>
  <c r="A72" i="44" s="1"/>
  <c r="A73" i="44" s="1"/>
  <c r="A74" i="44" s="1"/>
  <c r="A65" i="44"/>
  <c r="A64" i="44"/>
  <c r="A53" i="44"/>
  <c r="A54" i="44" s="1"/>
  <c r="A55" i="44" s="1"/>
  <c r="A56" i="44" s="1"/>
  <c r="A57" i="44" s="1"/>
  <c r="A58" i="44" s="1"/>
  <c r="A52" i="44"/>
  <c r="A51" i="44"/>
  <c r="C55" i="44" l="1"/>
  <c r="C56" i="44" s="1"/>
  <c r="G73" i="44"/>
  <c r="H73" i="44" s="1"/>
  <c r="F65" i="44"/>
  <c r="G65" i="44" s="1"/>
  <c r="H65" i="44" s="1"/>
  <c r="F66" i="44"/>
  <c r="G66" i="44" s="1"/>
  <c r="H66" i="44" s="1"/>
  <c r="F67" i="44"/>
  <c r="G67" i="44" s="1"/>
  <c r="H67" i="44" s="1"/>
  <c r="F68" i="44"/>
  <c r="G68" i="44" s="1"/>
  <c r="H68" i="44" s="1"/>
  <c r="F69" i="44"/>
  <c r="G69" i="44" s="1"/>
  <c r="H69" i="44" s="1"/>
  <c r="F70" i="44"/>
  <c r="G70" i="44" s="1"/>
  <c r="H70" i="44" s="1"/>
  <c r="F71" i="44"/>
  <c r="G71" i="44" s="1"/>
  <c r="H71" i="44" s="1"/>
  <c r="F72" i="44"/>
  <c r="G72" i="44" s="1"/>
  <c r="H72" i="44" s="1"/>
  <c r="F64" i="44"/>
  <c r="G64" i="44" s="1"/>
  <c r="H64" i="44" s="1"/>
  <c r="H74" i="44" l="1"/>
  <c r="G74" i="44"/>
  <c r="H77" i="44" l="1"/>
  <c r="F55" i="44" s="1"/>
  <c r="H55" i="44" s="1"/>
  <c r="C45" i="38"/>
  <c r="V207" i="2" l="1"/>
  <c r="E47" i="38"/>
  <c r="D46" i="39"/>
  <c r="L73" i="42" l="1"/>
  <c r="C56" i="52" l="1"/>
  <c r="C55" i="52"/>
  <c r="N75" i="42" l="1"/>
  <c r="L75" i="42" s="1"/>
  <c r="C32" i="40" l="1"/>
  <c r="C31" i="40"/>
  <c r="T207" i="2" l="1"/>
  <c r="A68" i="49" l="1"/>
  <c r="A69" i="49"/>
  <c r="A70" i="49"/>
  <c r="A71" i="49"/>
  <c r="A72" i="49"/>
  <c r="A73" i="49"/>
  <c r="A74" i="49"/>
  <c r="A75" i="49"/>
  <c r="A76" i="49" s="1"/>
  <c r="A67" i="49"/>
  <c r="A66" i="49"/>
  <c r="D49" i="49"/>
  <c r="E52" i="44" l="1"/>
  <c r="F52" i="44" s="1"/>
  <c r="E53" i="44"/>
  <c r="F53" i="44" s="1"/>
  <c r="E54" i="44"/>
  <c r="F54" i="44" s="1"/>
  <c r="E55" i="44"/>
  <c r="E51" i="44"/>
  <c r="C57" i="44"/>
  <c r="C58" i="44" s="1"/>
  <c r="E56" i="44" l="1"/>
  <c r="F51" i="44"/>
  <c r="F56" i="44" s="1"/>
  <c r="F57" i="44" l="1"/>
  <c r="F58" i="44" s="1"/>
  <c r="E57" i="44"/>
  <c r="E58" i="44" s="1"/>
  <c r="C17" i="44"/>
  <c r="D20" i="49" l="1"/>
  <c r="D62" i="49" l="1"/>
  <c r="D61" i="49"/>
  <c r="D60" i="49"/>
  <c r="D59" i="49"/>
  <c r="D44" i="49"/>
  <c r="D39" i="49"/>
  <c r="D34" i="49"/>
  <c r="D29" i="49"/>
  <c r="C41" i="40" l="1"/>
  <c r="C41" i="39"/>
  <c r="C42" i="39"/>
  <c r="C44" i="38"/>
  <c r="C43" i="39"/>
  <c r="C12" i="43"/>
  <c r="C8" i="43"/>
  <c r="M42" i="48"/>
  <c r="M43" i="48"/>
  <c r="C20" i="39" s="1"/>
  <c r="M44" i="48"/>
  <c r="C19" i="40" s="1"/>
  <c r="C21" i="38" l="1"/>
  <c r="M45" i="48"/>
  <c r="M39" i="48"/>
  <c r="E82" i="52" l="1"/>
  <c r="D82" i="52"/>
  <c r="C82" i="52"/>
  <c r="B82" i="52"/>
  <c r="G248" i="41"/>
  <c r="G247" i="41"/>
  <c r="E80" i="4"/>
  <c r="AD222" i="2"/>
  <c r="F82" i="52" l="1"/>
  <c r="C64" i="40" l="1"/>
  <c r="G33" i="50" l="1"/>
  <c r="F33" i="50"/>
  <c r="E33" i="50"/>
  <c r="J34" i="50"/>
  <c r="J32" i="50"/>
  <c r="L14" i="12" l="1"/>
  <c r="L9" i="12"/>
  <c r="L16" i="12" l="1"/>
  <c r="L18" i="12"/>
  <c r="L10" i="12"/>
  <c r="L19" i="12"/>
  <c r="L11" i="12"/>
  <c r="L20" i="12"/>
  <c r="L12" i="12"/>
  <c r="L15" i="12"/>
  <c r="L17" i="12"/>
  <c r="L13" i="12"/>
  <c r="D29" i="43"/>
  <c r="C44" i="52"/>
  <c r="L79" i="42"/>
  <c r="L77" i="42" l="1"/>
  <c r="L81" i="42"/>
  <c r="F57" i="42" l="1"/>
  <c r="F56" i="42"/>
  <c r="F53" i="42"/>
  <c r="H53" i="42" s="1"/>
  <c r="F52" i="42"/>
  <c r="S40" i="53"/>
  <c r="R40" i="53"/>
  <c r="Q40" i="53"/>
  <c r="P40" i="53"/>
  <c r="O40" i="53"/>
  <c r="N40" i="53"/>
  <c r="M40" i="53"/>
  <c r="L40" i="53"/>
  <c r="K40" i="53"/>
  <c r="J40" i="53"/>
  <c r="I40" i="53"/>
  <c r="H40" i="53"/>
  <c r="G40" i="53"/>
  <c r="J37" i="42"/>
  <c r="N37" i="42" s="1"/>
  <c r="J36" i="42"/>
  <c r="N36" i="42" s="1"/>
  <c r="AE161" i="2" l="1"/>
  <c r="H52" i="42"/>
  <c r="E167" i="41" l="1"/>
  <c r="E166" i="41"/>
  <c r="E165" i="41"/>
  <c r="E164" i="41"/>
  <c r="E163" i="41"/>
  <c r="E162" i="41"/>
  <c r="E161" i="41"/>
  <c r="E160" i="41"/>
  <c r="E159" i="41"/>
  <c r="E158" i="41"/>
  <c r="E157" i="41"/>
  <c r="E156" i="41"/>
  <c r="E155" i="41"/>
  <c r="E154" i="41"/>
  <c r="E153" i="41"/>
  <c r="E152" i="41"/>
  <c r="E151" i="41"/>
  <c r="E150" i="41"/>
  <c r="E149" i="41"/>
  <c r="E148" i="41"/>
  <c r="E147" i="41"/>
  <c r="E146" i="41"/>
  <c r="E145" i="41"/>
  <c r="E144" i="41"/>
  <c r="E143" i="41"/>
  <c r="E142" i="41"/>
  <c r="E141" i="41"/>
  <c r="E140" i="41"/>
  <c r="E139" i="41"/>
  <c r="E138" i="41"/>
  <c r="E137" i="41"/>
  <c r="E136" i="41"/>
  <c r="E135" i="41"/>
  <c r="E134" i="41"/>
  <c r="E133" i="41"/>
  <c r="E132" i="41"/>
  <c r="E131" i="41"/>
  <c r="E130" i="41"/>
  <c r="E129" i="41"/>
  <c r="E128" i="41"/>
  <c r="E127" i="41"/>
  <c r="E126" i="41"/>
  <c r="E125" i="41"/>
  <c r="E124" i="41"/>
  <c r="E123" i="41"/>
  <c r="E122" i="41"/>
  <c r="E121" i="41"/>
  <c r="E120" i="41"/>
  <c r="E119" i="41"/>
  <c r="E118" i="41"/>
  <c r="E117" i="41"/>
  <c r="E116" i="41"/>
  <c r="E115" i="41"/>
  <c r="E114" i="41"/>
  <c r="E113" i="41"/>
  <c r="E112" i="41"/>
  <c r="E111" i="41"/>
  <c r="E110" i="41"/>
  <c r="E109" i="41"/>
  <c r="E108" i="41"/>
  <c r="E107" i="41"/>
  <c r="E106" i="41"/>
  <c r="E105" i="41"/>
  <c r="E104" i="41"/>
  <c r="E103" i="41"/>
  <c r="E102" i="41"/>
  <c r="E101" i="41"/>
  <c r="E100" i="41"/>
  <c r="E99" i="41"/>
  <c r="E98" i="41"/>
  <c r="E97" i="41"/>
  <c r="E96" i="41"/>
  <c r="E95" i="41"/>
  <c r="E94" i="41"/>
  <c r="E93" i="41"/>
  <c r="E92" i="41"/>
  <c r="E91" i="41"/>
  <c r="E90" i="41"/>
  <c r="E89" i="41"/>
  <c r="E88" i="41"/>
  <c r="E87" i="41"/>
  <c r="E86" i="41"/>
  <c r="E85" i="41"/>
  <c r="E84" i="41"/>
  <c r="E83" i="41"/>
  <c r="E82" i="41"/>
  <c r="E81" i="41"/>
  <c r="E80" i="41"/>
  <c r="E79" i="41"/>
  <c r="E78" i="41"/>
  <c r="E77" i="41"/>
  <c r="E76" i="41"/>
  <c r="E75" i="41"/>
  <c r="E74" i="41"/>
  <c r="E73" i="41"/>
  <c r="E72" i="41"/>
  <c r="E71" i="41"/>
  <c r="E70" i="41"/>
  <c r="E69" i="41"/>
  <c r="E68" i="41"/>
  <c r="E67" i="41"/>
  <c r="E66" i="41"/>
  <c r="E65" i="41"/>
  <c r="E64" i="41"/>
  <c r="E63" i="41"/>
  <c r="E62" i="41"/>
  <c r="E61" i="41"/>
  <c r="E60" i="41"/>
  <c r="E59" i="41"/>
  <c r="E58" i="41"/>
  <c r="E57" i="41"/>
  <c r="E56" i="41"/>
  <c r="E55" i="41"/>
  <c r="E54" i="41"/>
  <c r="E53" i="41"/>
  <c r="E52" i="41"/>
  <c r="E51" i="41"/>
  <c r="E50" i="41"/>
  <c r="E49" i="41"/>
  <c r="E48" i="41"/>
  <c r="E47" i="41"/>
  <c r="E46" i="41"/>
  <c r="E45" i="41"/>
  <c r="E44" i="41"/>
  <c r="G26" i="50"/>
  <c r="D64" i="40" l="1"/>
  <c r="I20" i="12"/>
  <c r="I19" i="12"/>
  <c r="I18" i="12"/>
  <c r="I17" i="12"/>
  <c r="I16" i="12"/>
  <c r="I15" i="12"/>
  <c r="I14" i="12"/>
  <c r="I13" i="12"/>
  <c r="I12" i="12"/>
  <c r="I11" i="12"/>
  <c r="I10" i="12"/>
  <c r="I9" i="12"/>
  <c r="H20" i="12"/>
  <c r="H19" i="12"/>
  <c r="H18" i="12"/>
  <c r="H17" i="12"/>
  <c r="H16" i="12"/>
  <c r="H15" i="12"/>
  <c r="H14" i="12"/>
  <c r="H13" i="12"/>
  <c r="H12" i="12"/>
  <c r="H11" i="12"/>
  <c r="H10" i="12"/>
  <c r="H9" i="12"/>
  <c r="G20" i="12"/>
  <c r="G19" i="12"/>
  <c r="G18" i="12"/>
  <c r="G17" i="12"/>
  <c r="G16" i="12"/>
  <c r="G15" i="12"/>
  <c r="G14" i="12"/>
  <c r="G13" i="12"/>
  <c r="G12" i="12"/>
  <c r="G11" i="12"/>
  <c r="G10" i="12"/>
  <c r="G9" i="12"/>
  <c r="E20" i="12"/>
  <c r="E19" i="12"/>
  <c r="E18" i="12"/>
  <c r="E17" i="12"/>
  <c r="E16" i="12"/>
  <c r="E12" i="12"/>
  <c r="E15" i="12"/>
  <c r="E14" i="12"/>
  <c r="E13" i="12"/>
  <c r="E11" i="12"/>
  <c r="E10" i="12"/>
  <c r="E9" i="12"/>
  <c r="D20" i="12"/>
  <c r="D19" i="12"/>
  <c r="D18" i="12"/>
  <c r="D17" i="12"/>
  <c r="D16" i="12"/>
  <c r="D15" i="12"/>
  <c r="D14" i="12"/>
  <c r="D13" i="12"/>
  <c r="D12" i="12"/>
  <c r="D11" i="12"/>
  <c r="D10" i="12"/>
  <c r="D9" i="12"/>
  <c r="C20" i="12"/>
  <c r="C19" i="12"/>
  <c r="C18" i="12"/>
  <c r="C17" i="12"/>
  <c r="C16" i="12"/>
  <c r="C15" i="12"/>
  <c r="C14" i="12"/>
  <c r="C13" i="12"/>
  <c r="C12" i="12"/>
  <c r="C11" i="12"/>
  <c r="C10" i="12"/>
  <c r="C9" i="12"/>
  <c r="T27" i="51"/>
  <c r="T31" i="51" s="1"/>
  <c r="S27" i="51"/>
  <c r="S31" i="51" s="1"/>
  <c r="R27" i="51"/>
  <c r="R31" i="51" s="1"/>
  <c r="Q27" i="51"/>
  <c r="Q31" i="51" s="1"/>
  <c r="P27" i="51"/>
  <c r="P31" i="51" s="1"/>
  <c r="O27" i="51"/>
  <c r="O31" i="51" s="1"/>
  <c r="N27" i="51"/>
  <c r="N31" i="51" s="1"/>
  <c r="M27" i="51"/>
  <c r="M31" i="51" s="1"/>
  <c r="L27" i="51"/>
  <c r="L31" i="51" s="1"/>
  <c r="K27" i="51"/>
  <c r="K31" i="51" s="1"/>
  <c r="J27" i="51"/>
  <c r="J31" i="51" s="1"/>
  <c r="I27" i="51"/>
  <c r="I31" i="51" s="1"/>
  <c r="T26" i="51"/>
  <c r="T30" i="51" s="1"/>
  <c r="S26" i="51"/>
  <c r="S30" i="51" s="1"/>
  <c r="R26" i="51"/>
  <c r="R30" i="51" s="1"/>
  <c r="Q26" i="51"/>
  <c r="Q30" i="51" s="1"/>
  <c r="P26" i="51"/>
  <c r="P30" i="51" s="1"/>
  <c r="O26" i="51"/>
  <c r="O30" i="51" s="1"/>
  <c r="N26" i="51"/>
  <c r="N30" i="51" s="1"/>
  <c r="M26" i="51"/>
  <c r="M30" i="51" s="1"/>
  <c r="L26" i="51"/>
  <c r="L30" i="51" s="1"/>
  <c r="K26" i="51"/>
  <c r="K30" i="51" s="1"/>
  <c r="J26" i="51"/>
  <c r="J30" i="51" s="1"/>
  <c r="I26" i="51"/>
  <c r="T25" i="51"/>
  <c r="T29" i="51" s="1"/>
  <c r="S25" i="51"/>
  <c r="S29" i="51" s="1"/>
  <c r="R25" i="51"/>
  <c r="R29" i="51" s="1"/>
  <c r="Q25" i="51"/>
  <c r="Q29" i="51" s="1"/>
  <c r="P25" i="51"/>
  <c r="P29" i="51" s="1"/>
  <c r="O25" i="51"/>
  <c r="O29" i="51" s="1"/>
  <c r="N25" i="51"/>
  <c r="N29" i="51" s="1"/>
  <c r="M25" i="51"/>
  <c r="M29" i="51" s="1"/>
  <c r="L25" i="51"/>
  <c r="L29" i="51" s="1"/>
  <c r="K25" i="51"/>
  <c r="K29" i="51" s="1"/>
  <c r="J25" i="51"/>
  <c r="J29" i="51" s="1"/>
  <c r="I25" i="51"/>
  <c r="I29" i="51" s="1"/>
  <c r="F34" i="22"/>
  <c r="E34" i="22"/>
  <c r="D34" i="22"/>
  <c r="F33" i="22"/>
  <c r="E33" i="22"/>
  <c r="D33" i="22"/>
  <c r="D39" i="22" s="1"/>
  <c r="F32" i="22"/>
  <c r="E32" i="22"/>
  <c r="D32" i="22"/>
  <c r="F59" i="52"/>
  <c r="E59" i="52"/>
  <c r="G58" i="52"/>
  <c r="J42" i="42" s="1"/>
  <c r="N42" i="42" s="1"/>
  <c r="G57" i="52"/>
  <c r="J41" i="42" s="1"/>
  <c r="N41" i="42" s="1"/>
  <c r="K49" i="52"/>
  <c r="J49" i="52"/>
  <c r="F46" i="52"/>
  <c r="E46" i="52"/>
  <c r="D46" i="52"/>
  <c r="C45" i="52"/>
  <c r="N36" i="52"/>
  <c r="N37" i="52" s="1"/>
  <c r="G34" i="52"/>
  <c r="G33" i="52"/>
  <c r="G32" i="52"/>
  <c r="M30" i="52"/>
  <c r="M31" i="52" s="1"/>
  <c r="G29" i="52"/>
  <c r="I22" i="52"/>
  <c r="D30" i="43" s="1"/>
  <c r="H22" i="52"/>
  <c r="F22" i="52"/>
  <c r="E22" i="52"/>
  <c r="C22" i="52"/>
  <c r="G71" i="49" s="1"/>
  <c r="H21" i="52"/>
  <c r="F21" i="52"/>
  <c r="D21" i="52"/>
  <c r="C21" i="52"/>
  <c r="I20" i="52"/>
  <c r="H20" i="52"/>
  <c r="J40" i="42" s="1"/>
  <c r="N40" i="42" s="1"/>
  <c r="F20" i="52"/>
  <c r="E20" i="52"/>
  <c r="D20" i="52"/>
  <c r="C20" i="52"/>
  <c r="I19" i="52"/>
  <c r="H19" i="52"/>
  <c r="F19" i="52"/>
  <c r="E19" i="52"/>
  <c r="D19" i="52"/>
  <c r="C19" i="52"/>
  <c r="H18" i="52"/>
  <c r="F18" i="52"/>
  <c r="E18" i="52"/>
  <c r="C18" i="52"/>
  <c r="G67" i="49" s="1"/>
  <c r="H17" i="52"/>
  <c r="F17" i="52"/>
  <c r="D17" i="52"/>
  <c r="C17" i="52"/>
  <c r="H16" i="52"/>
  <c r="I16" i="52" s="1"/>
  <c r="F16" i="52"/>
  <c r="D16" i="52"/>
  <c r="C16" i="52"/>
  <c r="H15" i="52"/>
  <c r="J20" i="42" s="1"/>
  <c r="F15" i="52"/>
  <c r="E15" i="52"/>
  <c r="C15" i="52"/>
  <c r="H14" i="52"/>
  <c r="F14" i="52"/>
  <c r="F30" i="52" s="1"/>
  <c r="E14" i="52"/>
  <c r="C14" i="52"/>
  <c r="G66" i="49" s="1"/>
  <c r="H13" i="52"/>
  <c r="F13" i="52"/>
  <c r="D13" i="52"/>
  <c r="C13" i="52"/>
  <c r="I12" i="52"/>
  <c r="H12" i="52"/>
  <c r="F12" i="52"/>
  <c r="E12" i="52"/>
  <c r="D12" i="52"/>
  <c r="C12" i="52"/>
  <c r="I11" i="52"/>
  <c r="H11" i="52"/>
  <c r="F11" i="52"/>
  <c r="E11" i="52"/>
  <c r="C11" i="52"/>
  <c r="G72" i="49" s="1"/>
  <c r="H10" i="52"/>
  <c r="F10" i="52"/>
  <c r="E10" i="52"/>
  <c r="C10" i="52"/>
  <c r="F34" i="50"/>
  <c r="E34" i="50"/>
  <c r="G32" i="50"/>
  <c r="F32" i="50"/>
  <c r="E32" i="50"/>
  <c r="I32" i="50" s="1"/>
  <c r="G31" i="50"/>
  <c r="F31" i="22" s="1"/>
  <c r="F31" i="50"/>
  <c r="E31" i="22" s="1"/>
  <c r="E31" i="50"/>
  <c r="I31" i="50" s="1"/>
  <c r="J31" i="50" s="1"/>
  <c r="A10" i="50"/>
  <c r="A11" i="50" s="1"/>
  <c r="A12" i="50" s="1"/>
  <c r="A13" i="50" s="1"/>
  <c r="A14" i="50" s="1"/>
  <c r="A15" i="50" s="1"/>
  <c r="A16" i="50" s="1"/>
  <c r="A17" i="50" s="1"/>
  <c r="A18" i="50" s="1"/>
  <c r="A19" i="50" s="1"/>
  <c r="A20" i="50" s="1"/>
  <c r="A21" i="50" s="1"/>
  <c r="A22" i="50" s="1"/>
  <c r="A23" i="50" s="1"/>
  <c r="A24" i="50" s="1"/>
  <c r="A26" i="50" s="1"/>
  <c r="A31" i="50" s="1"/>
  <c r="A32" i="50" s="1"/>
  <c r="A33" i="50" s="1"/>
  <c r="A34" i="50" s="1"/>
  <c r="E52" i="49"/>
  <c r="E62" i="49" s="1"/>
  <c r="F62" i="49" s="1"/>
  <c r="E44" i="49"/>
  <c r="F43" i="49"/>
  <c r="F42" i="49"/>
  <c r="F41" i="49"/>
  <c r="F44" i="49" s="1"/>
  <c r="F52" i="49" s="1"/>
  <c r="E39" i="49"/>
  <c r="E51" i="49" s="1"/>
  <c r="E61" i="49" s="1"/>
  <c r="F61" i="49" s="1"/>
  <c r="F38" i="49"/>
  <c r="F37" i="49"/>
  <c r="F36" i="49"/>
  <c r="F39" i="49" s="1"/>
  <c r="F51" i="49" s="1"/>
  <c r="E34" i="49"/>
  <c r="E50" i="49" s="1"/>
  <c r="F33" i="49"/>
  <c r="F32" i="49"/>
  <c r="F34" i="49" s="1"/>
  <c r="F31" i="49"/>
  <c r="E29" i="49"/>
  <c r="E49" i="49" s="1"/>
  <c r="E28" i="49"/>
  <c r="F28" i="49" s="1"/>
  <c r="E27" i="49"/>
  <c r="F27" i="49" s="1"/>
  <c r="F26" i="49"/>
  <c r="F29" i="49" s="1"/>
  <c r="E26" i="49"/>
  <c r="D23" i="49"/>
  <c r="D17" i="49"/>
  <c r="D8" i="49"/>
  <c r="A8" i="49"/>
  <c r="A9" i="49" s="1"/>
  <c r="A11" i="49" s="1"/>
  <c r="A12" i="49" s="1"/>
  <c r="A13" i="49" s="1"/>
  <c r="A14" i="49" s="1"/>
  <c r="A15" i="49" s="1"/>
  <c r="A16" i="49" s="1"/>
  <c r="A17" i="49" s="1"/>
  <c r="A18" i="49" s="1"/>
  <c r="A20" i="49" s="1"/>
  <c r="A21" i="49" s="1"/>
  <c r="A22" i="49" s="1"/>
  <c r="A23" i="49" s="1"/>
  <c r="A24" i="49" s="1"/>
  <c r="A26" i="49" s="1"/>
  <c r="A27" i="49" s="1"/>
  <c r="A28" i="49" s="1"/>
  <c r="A29" i="49" s="1"/>
  <c r="A31" i="49" s="1"/>
  <c r="A32" i="49" s="1"/>
  <c r="A33" i="49" s="1"/>
  <c r="A34" i="49" s="1"/>
  <c r="A36" i="49" s="1"/>
  <c r="A37" i="49" s="1"/>
  <c r="A38" i="49" s="1"/>
  <c r="A39" i="49" s="1"/>
  <c r="A41" i="49" s="1"/>
  <c r="A42" i="49" s="1"/>
  <c r="A43" i="49" s="1"/>
  <c r="A44" i="49" s="1"/>
  <c r="A46" i="49" s="1"/>
  <c r="A47" i="49" s="1"/>
  <c r="A48" i="49" s="1"/>
  <c r="A49" i="49" s="1"/>
  <c r="A50" i="49" s="1"/>
  <c r="A51" i="49" s="1"/>
  <c r="A52" i="49" s="1"/>
  <c r="A54" i="49" s="1"/>
  <c r="A56" i="49" s="1"/>
  <c r="A57" i="49" s="1"/>
  <c r="A58" i="49" s="1"/>
  <c r="A59" i="49" s="1"/>
  <c r="A60" i="49" s="1"/>
  <c r="A61" i="49" s="1"/>
  <c r="A62" i="49" s="1"/>
  <c r="E7" i="49"/>
  <c r="F7" i="49" s="1"/>
  <c r="A7" i="49"/>
  <c r="E6" i="49"/>
  <c r="L39" i="48"/>
  <c r="H39" i="48"/>
  <c r="H44" i="48" s="1"/>
  <c r="H46" i="48" s="1"/>
  <c r="O37" i="48"/>
  <c r="I37" i="48"/>
  <c r="N37" i="48" s="1"/>
  <c r="O36" i="48"/>
  <c r="I36" i="48"/>
  <c r="N36" i="48" s="1"/>
  <c r="P35" i="48"/>
  <c r="O35" i="48"/>
  <c r="I35" i="48"/>
  <c r="N35" i="48" s="1"/>
  <c r="P34" i="48"/>
  <c r="O34" i="48"/>
  <c r="I34" i="48"/>
  <c r="N34" i="48" s="1"/>
  <c r="P33" i="48"/>
  <c r="O33" i="48"/>
  <c r="I33" i="48"/>
  <c r="N33" i="48" s="1"/>
  <c r="P32" i="48"/>
  <c r="O32" i="48"/>
  <c r="I32" i="48"/>
  <c r="N32" i="48" s="1"/>
  <c r="O31" i="48"/>
  <c r="J31" i="48"/>
  <c r="N31" i="48" s="1"/>
  <c r="P30" i="48"/>
  <c r="O30" i="48"/>
  <c r="I30" i="48"/>
  <c r="N30" i="48" s="1"/>
  <c r="J29" i="48"/>
  <c r="P28" i="48"/>
  <c r="P27" i="48"/>
  <c r="O26" i="48"/>
  <c r="J26" i="48"/>
  <c r="P25" i="48"/>
  <c r="O24" i="48"/>
  <c r="J24" i="48"/>
  <c r="O23" i="48"/>
  <c r="N23" i="48"/>
  <c r="P22" i="48"/>
  <c r="O22" i="48"/>
  <c r="J22" i="48"/>
  <c r="I22" i="48"/>
  <c r="O21" i="48"/>
  <c r="K21" i="48"/>
  <c r="J21" i="48"/>
  <c r="P20" i="48"/>
  <c r="P19" i="48"/>
  <c r="P18" i="48"/>
  <c r="P17" i="48"/>
  <c r="P16" i="48"/>
  <c r="P15" i="48"/>
  <c r="O14" i="48"/>
  <c r="J14" i="48"/>
  <c r="N14" i="48" s="1"/>
  <c r="P13" i="48"/>
  <c r="O13" i="48"/>
  <c r="J13" i="48"/>
  <c r="I13" i="48"/>
  <c r="O12" i="48"/>
  <c r="K12" i="48"/>
  <c r="J12" i="48"/>
  <c r="P11" i="48"/>
  <c r="A11" i="48"/>
  <c r="A12" i="48" s="1"/>
  <c r="A13" i="48" s="1"/>
  <c r="A14" i="48" s="1"/>
  <c r="A15" i="48" s="1"/>
  <c r="A16" i="48" s="1"/>
  <c r="A17" i="48" s="1"/>
  <c r="A18" i="48" s="1"/>
  <c r="A19" i="48" s="1"/>
  <c r="A20" i="48" s="1"/>
  <c r="A21" i="48" s="1"/>
  <c r="A22" i="48" s="1"/>
  <c r="A23" i="48" s="1"/>
  <c r="A24" i="48" s="1"/>
  <c r="A25" i="48" s="1"/>
  <c r="A26" i="48" s="1"/>
  <c r="A27" i="48" s="1"/>
  <c r="A28" i="48" s="1"/>
  <c r="A29" i="48" s="1"/>
  <c r="A30" i="48" s="1"/>
  <c r="A31" i="48" s="1"/>
  <c r="A32" i="48" s="1"/>
  <c r="A33" i="48" s="1"/>
  <c r="A34" i="48" s="1"/>
  <c r="A35" i="48" s="1"/>
  <c r="A36" i="48" s="1"/>
  <c r="A37" i="48" s="1"/>
  <c r="A39" i="48" s="1"/>
  <c r="A42" i="48" s="1"/>
  <c r="A43" i="48" s="1"/>
  <c r="A44" i="48" s="1"/>
  <c r="P10" i="48"/>
  <c r="I10" i="48" s="1"/>
  <c r="J10" i="48"/>
  <c r="K32" i="47"/>
  <c r="H32" i="47"/>
  <c r="I28" i="47"/>
  <c r="L28" i="47" s="1"/>
  <c r="N27" i="47"/>
  <c r="N26" i="47"/>
  <c r="L25" i="47"/>
  <c r="J25" i="47"/>
  <c r="N23" i="47"/>
  <c r="N22" i="47"/>
  <c r="N21" i="47"/>
  <c r="N19" i="47"/>
  <c r="J19" i="47"/>
  <c r="E13" i="52" s="1"/>
  <c r="N18" i="47"/>
  <c r="J18" i="47"/>
  <c r="E16" i="52" s="1"/>
  <c r="N17" i="47"/>
  <c r="J17" i="47"/>
  <c r="E17" i="52" s="1"/>
  <c r="N16" i="47"/>
  <c r="J16" i="47"/>
  <c r="N14" i="47"/>
  <c r="N13" i="47"/>
  <c r="N12" i="47"/>
  <c r="N11" i="47"/>
  <c r="N10" i="47"/>
  <c r="A10" i="47"/>
  <c r="A11" i="47" s="1"/>
  <c r="A12" i="47" s="1"/>
  <c r="A13" i="47" s="1"/>
  <c r="A14" i="47" s="1"/>
  <c r="A15" i="47" s="1"/>
  <c r="A16" i="47" s="1"/>
  <c r="A17" i="47" s="1"/>
  <c r="A18" i="47" s="1"/>
  <c r="A19" i="47" s="1"/>
  <c r="A20" i="47" s="1"/>
  <c r="A21" i="47" s="1"/>
  <c r="A22" i="47" s="1"/>
  <c r="A23" i="47" s="1"/>
  <c r="A24" i="47" s="1"/>
  <c r="A25" i="47" s="1"/>
  <c r="A26" i="47" s="1"/>
  <c r="A27" i="47" s="1"/>
  <c r="A28" i="47" s="1"/>
  <c r="A32" i="47" s="1"/>
  <c r="A38" i="47" s="1"/>
  <c r="A39" i="47" s="1"/>
  <c r="A40" i="47" s="1"/>
  <c r="N9" i="47"/>
  <c r="I27" i="48" l="1"/>
  <c r="Q37" i="48"/>
  <c r="I11" i="48"/>
  <c r="I21" i="48"/>
  <c r="N21" i="48" s="1"/>
  <c r="Q21" i="48" s="1"/>
  <c r="J32" i="42"/>
  <c r="C48" i="52"/>
  <c r="F48" i="52"/>
  <c r="N43" i="42"/>
  <c r="I13" i="52"/>
  <c r="C32" i="38" s="1"/>
  <c r="C47" i="52"/>
  <c r="J10" i="42"/>
  <c r="D26" i="43"/>
  <c r="J8" i="42"/>
  <c r="N8" i="42" s="1"/>
  <c r="F47" i="52"/>
  <c r="I17" i="52"/>
  <c r="J27" i="42" s="1"/>
  <c r="N27" i="42" s="1"/>
  <c r="C23" i="52"/>
  <c r="G73" i="49"/>
  <c r="C35" i="52"/>
  <c r="C46" i="52" s="1"/>
  <c r="G46" i="52" s="1"/>
  <c r="G70" i="49"/>
  <c r="C31" i="38"/>
  <c r="C37" i="38" s="1"/>
  <c r="F23" i="52"/>
  <c r="D65" i="40"/>
  <c r="D66" i="40"/>
  <c r="O11" i="48"/>
  <c r="E8" i="49"/>
  <c r="F8" i="49" s="1"/>
  <c r="D9" i="49"/>
  <c r="D46" i="49" s="1"/>
  <c r="E14" i="49"/>
  <c r="F14" i="49" s="1"/>
  <c r="D18" i="49"/>
  <c r="D47" i="49" s="1"/>
  <c r="D57" i="49" s="1"/>
  <c r="E20" i="49"/>
  <c r="F20" i="49" s="1"/>
  <c r="D24" i="49"/>
  <c r="D48" i="49" s="1"/>
  <c r="D58" i="49" s="1"/>
  <c r="J21" i="42"/>
  <c r="N21" i="42" s="1"/>
  <c r="N20" i="42"/>
  <c r="H48" i="52"/>
  <c r="C28" i="40" s="1"/>
  <c r="H44" i="52"/>
  <c r="C30" i="38" s="1"/>
  <c r="J7" i="42"/>
  <c r="N7" i="42" s="1"/>
  <c r="H46" i="52"/>
  <c r="H47" i="52"/>
  <c r="C28" i="39" s="1"/>
  <c r="J25" i="42"/>
  <c r="N25" i="42" s="1"/>
  <c r="I44" i="52"/>
  <c r="J9" i="42"/>
  <c r="D27" i="43"/>
  <c r="J26" i="42"/>
  <c r="I21" i="52"/>
  <c r="I48" i="52" s="1"/>
  <c r="C29" i="40" s="1"/>
  <c r="F11" i="44"/>
  <c r="F17" i="44" s="1"/>
  <c r="J60" i="42"/>
  <c r="D31" i="22"/>
  <c r="D64" i="38"/>
  <c r="C29" i="39"/>
  <c r="Q31" i="48"/>
  <c r="P39" i="48"/>
  <c r="I17" i="48"/>
  <c r="N22" i="48"/>
  <c r="Q22" i="48" s="1"/>
  <c r="I25" i="48"/>
  <c r="I19" i="48"/>
  <c r="I12" i="48"/>
  <c r="N12" i="48" s="1"/>
  <c r="Q12" i="48" s="1"/>
  <c r="I20" i="48"/>
  <c r="Q23" i="48"/>
  <c r="I28" i="48"/>
  <c r="I15" i="48"/>
  <c r="I29" i="48"/>
  <c r="N29" i="48" s="1"/>
  <c r="O29" i="48" s="1"/>
  <c r="I18" i="48"/>
  <c r="I26" i="48"/>
  <c r="N26" i="48" s="1"/>
  <c r="Q26" i="48" s="1"/>
  <c r="N13" i="48"/>
  <c r="Q13" i="48" s="1"/>
  <c r="J11" i="48"/>
  <c r="Q34" i="48"/>
  <c r="Q14" i="48"/>
  <c r="Q30" i="48"/>
  <c r="Q35" i="48"/>
  <c r="Q32" i="48"/>
  <c r="Q33" i="48"/>
  <c r="E9" i="49"/>
  <c r="E46" i="49" s="1"/>
  <c r="F46" i="49" s="1"/>
  <c r="Q36" i="48"/>
  <c r="I26" i="47"/>
  <c r="L26" i="47" s="1"/>
  <c r="U26" i="51"/>
  <c r="U25" i="51"/>
  <c r="U29" i="51"/>
  <c r="U31" i="51"/>
  <c r="I14" i="47"/>
  <c r="L14" i="47" s="1"/>
  <c r="I13" i="47"/>
  <c r="L13" i="47" s="1"/>
  <c r="U27" i="51"/>
  <c r="I30" i="51"/>
  <c r="U30" i="51" s="1"/>
  <c r="I9" i="47"/>
  <c r="D22" i="52" s="1"/>
  <c r="D48" i="52" s="1"/>
  <c r="I21" i="47"/>
  <c r="I10" i="47"/>
  <c r="L10" i="47" s="1"/>
  <c r="I11" i="47"/>
  <c r="D10" i="52"/>
  <c r="G10" i="52" s="1"/>
  <c r="F12" i="44" s="1"/>
  <c r="L11" i="47"/>
  <c r="I27" i="47"/>
  <c r="L27" i="47" s="1"/>
  <c r="G12" i="52"/>
  <c r="I23" i="47"/>
  <c r="L23" i="47" s="1"/>
  <c r="G17" i="52"/>
  <c r="N32" i="47"/>
  <c r="I12" i="47"/>
  <c r="L12" i="47" s="1"/>
  <c r="G20" i="52"/>
  <c r="I33" i="50"/>
  <c r="J33" i="50" s="1"/>
  <c r="C59" i="52"/>
  <c r="E47" i="52"/>
  <c r="F49" i="49"/>
  <c r="E59" i="49"/>
  <c r="F59" i="49" s="1"/>
  <c r="E37" i="52"/>
  <c r="E36" i="52"/>
  <c r="I47" i="52"/>
  <c r="G13" i="52"/>
  <c r="J32" i="47"/>
  <c r="J25" i="48"/>
  <c r="F37" i="52"/>
  <c r="F50" i="49"/>
  <c r="E60" i="49"/>
  <c r="F60" i="49" s="1"/>
  <c r="L17" i="47"/>
  <c r="L19" i="47"/>
  <c r="H40" i="47" s="1"/>
  <c r="D37" i="22" s="1"/>
  <c r="E12" i="49"/>
  <c r="E17" i="49"/>
  <c r="F17" i="49" s="1"/>
  <c r="E23" i="49"/>
  <c r="F23" i="49" s="1"/>
  <c r="G16" i="52"/>
  <c r="E21" i="52"/>
  <c r="G21" i="52" s="1"/>
  <c r="F6" i="49"/>
  <c r="E15" i="49"/>
  <c r="E21" i="49"/>
  <c r="H23" i="52"/>
  <c r="F31" i="52"/>
  <c r="I22" i="47"/>
  <c r="L22" i="47" s="1"/>
  <c r="J20" i="47"/>
  <c r="L20" i="47" s="1"/>
  <c r="I16" i="48"/>
  <c r="F36" i="52"/>
  <c r="E13" i="49"/>
  <c r="L16" i="47"/>
  <c r="L18" i="47"/>
  <c r="E16" i="49"/>
  <c r="E22" i="49"/>
  <c r="I34" i="50"/>
  <c r="D11" i="52"/>
  <c r="G19" i="52"/>
  <c r="E11" i="49"/>
  <c r="J18" i="48" l="1"/>
  <c r="N25" i="48"/>
  <c r="F38" i="52"/>
  <c r="G76" i="49"/>
  <c r="I23" i="52"/>
  <c r="C30" i="39"/>
  <c r="D55" i="52"/>
  <c r="D56" i="52" s="1"/>
  <c r="G56" i="52" s="1"/>
  <c r="G35" i="52"/>
  <c r="C38" i="52"/>
  <c r="Q29" i="48"/>
  <c r="F77" i="49"/>
  <c r="D56" i="49"/>
  <c r="D54" i="49"/>
  <c r="E56" i="49"/>
  <c r="F56" i="49" s="1"/>
  <c r="O18" i="48"/>
  <c r="F72" i="49"/>
  <c r="H72" i="49" s="1"/>
  <c r="J28" i="42"/>
  <c r="N28" i="42" s="1"/>
  <c r="N26" i="42"/>
  <c r="J63" i="42"/>
  <c r="N63" i="42" s="1"/>
  <c r="J52" i="42"/>
  <c r="N60" i="42"/>
  <c r="J56" i="42"/>
  <c r="H49" i="52"/>
  <c r="H50" i="52" s="1"/>
  <c r="N10" i="42"/>
  <c r="N9" i="42"/>
  <c r="N32" i="42"/>
  <c r="N34" i="42"/>
  <c r="I49" i="52"/>
  <c r="D28" i="43"/>
  <c r="N33" i="42"/>
  <c r="J15" i="42"/>
  <c r="N15" i="42" s="1"/>
  <c r="D58" i="38"/>
  <c r="H59" i="52"/>
  <c r="J61" i="42"/>
  <c r="D14" i="52"/>
  <c r="G14" i="52" s="1"/>
  <c r="I24" i="47"/>
  <c r="L24" i="47" s="1"/>
  <c r="L9" i="47"/>
  <c r="J39" i="47" s="1"/>
  <c r="F36" i="22" s="1"/>
  <c r="L21" i="47"/>
  <c r="I39" i="47" s="1"/>
  <c r="E36" i="22" s="1"/>
  <c r="D18" i="52"/>
  <c r="G18" i="52" s="1"/>
  <c r="J29" i="42" s="1"/>
  <c r="N29" i="42" s="1"/>
  <c r="H38" i="47"/>
  <c r="D35" i="22" s="1"/>
  <c r="I15" i="47"/>
  <c r="L15" i="47" s="1"/>
  <c r="D15" i="52"/>
  <c r="G15" i="52" s="1"/>
  <c r="G22" i="52"/>
  <c r="H39" i="47"/>
  <c r="E23" i="52"/>
  <c r="F22" i="49"/>
  <c r="O28" i="48" s="1"/>
  <c r="J28" i="48"/>
  <c r="N28" i="48" s="1"/>
  <c r="E45" i="52"/>
  <c r="G37" i="52"/>
  <c r="F16" i="49"/>
  <c r="J20" i="48"/>
  <c r="J40" i="47"/>
  <c r="F37" i="22" s="1"/>
  <c r="J38" i="47"/>
  <c r="F35" i="22" s="1"/>
  <c r="E48" i="52"/>
  <c r="G48" i="52" s="1"/>
  <c r="C30" i="40" s="1"/>
  <c r="F21" i="49"/>
  <c r="O27" i="48" s="1"/>
  <c r="J27" i="48"/>
  <c r="N27" i="48" s="1"/>
  <c r="O25" i="48"/>
  <c r="C49" i="52"/>
  <c r="F44" i="52"/>
  <c r="E24" i="49"/>
  <c r="E48" i="49" s="1"/>
  <c r="F11" i="49"/>
  <c r="F71" i="49" s="1"/>
  <c r="H71" i="49" s="1"/>
  <c r="J15" i="48"/>
  <c r="E18" i="49"/>
  <c r="E47" i="49" s="1"/>
  <c r="J16" i="48"/>
  <c r="F12" i="49"/>
  <c r="G11" i="52"/>
  <c r="I40" i="47"/>
  <c r="F13" i="49"/>
  <c r="O17" i="48" s="1"/>
  <c r="J17" i="48"/>
  <c r="J19" i="48"/>
  <c r="F15" i="49"/>
  <c r="F45" i="52"/>
  <c r="F9" i="49"/>
  <c r="O10" i="48"/>
  <c r="E38" i="52"/>
  <c r="G36" i="52"/>
  <c r="E44" i="52"/>
  <c r="I39" i="48"/>
  <c r="K40" i="47" l="1"/>
  <c r="E37" i="22"/>
  <c r="I32" i="47"/>
  <c r="D30" i="52"/>
  <c r="G30" i="52" s="1"/>
  <c r="E49" i="52"/>
  <c r="D31" i="52"/>
  <c r="G31" i="52" s="1"/>
  <c r="J17" i="42"/>
  <c r="N17" i="42" s="1"/>
  <c r="D60" i="38"/>
  <c r="J35" i="42"/>
  <c r="N35" i="42" s="1"/>
  <c r="N38" i="42" s="1"/>
  <c r="N30" i="42"/>
  <c r="O16" i="48"/>
  <c r="F67" i="49"/>
  <c r="H67" i="49" s="1"/>
  <c r="O20" i="48"/>
  <c r="F66" i="49"/>
  <c r="O19" i="48"/>
  <c r="F70" i="49"/>
  <c r="H70" i="49" s="1"/>
  <c r="F73" i="49"/>
  <c r="H73" i="49" s="1"/>
  <c r="L52" i="42"/>
  <c r="N52" i="42"/>
  <c r="F24" i="49"/>
  <c r="K24" i="48"/>
  <c r="N24" i="48" s="1"/>
  <c r="Q24" i="48" s="1"/>
  <c r="Q28" i="48"/>
  <c r="Q27" i="48"/>
  <c r="J22" i="42"/>
  <c r="N22" i="42" s="1"/>
  <c r="N23" i="42" s="1"/>
  <c r="D65" i="38"/>
  <c r="L32" i="47"/>
  <c r="J64" i="42"/>
  <c r="N64" i="42" s="1"/>
  <c r="N61" i="42"/>
  <c r="J53" i="42"/>
  <c r="I38" i="47"/>
  <c r="E35" i="22" s="1"/>
  <c r="D23" i="52"/>
  <c r="D47" i="52"/>
  <c r="G47" i="52" s="1"/>
  <c r="C31" i="39" s="1"/>
  <c r="G23" i="52"/>
  <c r="K39" i="47"/>
  <c r="D36" i="22"/>
  <c r="F47" i="49"/>
  <c r="E57" i="49"/>
  <c r="F57" i="49" s="1"/>
  <c r="E54" i="49"/>
  <c r="J39" i="48"/>
  <c r="K10" i="48"/>
  <c r="N10" i="48" s="1"/>
  <c r="K11" i="48"/>
  <c r="F48" i="49"/>
  <c r="E58" i="49"/>
  <c r="F58" i="49" s="1"/>
  <c r="D44" i="52"/>
  <c r="F18" i="49"/>
  <c r="O15" i="48"/>
  <c r="F49" i="52"/>
  <c r="Q25" i="48"/>
  <c r="D59" i="52"/>
  <c r="G55" i="52"/>
  <c r="D45" i="52" l="1"/>
  <c r="G45" i="52" s="1"/>
  <c r="C34" i="38" s="1"/>
  <c r="D38" i="52"/>
  <c r="J12" i="42"/>
  <c r="N12" i="42" s="1"/>
  <c r="J11" i="42"/>
  <c r="N11" i="42" s="1"/>
  <c r="H66" i="49"/>
  <c r="F76" i="49"/>
  <c r="N11" i="48"/>
  <c r="Q11" i="48" s="1"/>
  <c r="G59" i="52"/>
  <c r="J16" i="42"/>
  <c r="N16" i="42" s="1"/>
  <c r="N18" i="42" s="1"/>
  <c r="D59" i="38"/>
  <c r="L53" i="42"/>
  <c r="N53" i="42"/>
  <c r="K38" i="47"/>
  <c r="K15" i="48"/>
  <c r="K18" i="48"/>
  <c r="O39" i="48"/>
  <c r="F54" i="49"/>
  <c r="D49" i="52"/>
  <c r="G44" i="52"/>
  <c r="K16" i="48"/>
  <c r="K20" i="48"/>
  <c r="K17" i="48"/>
  <c r="G38" i="52"/>
  <c r="K19" i="48"/>
  <c r="N13" i="42" l="1"/>
  <c r="F78" i="49"/>
  <c r="H76" i="49"/>
  <c r="N19" i="48"/>
  <c r="Q19" i="48" s="1"/>
  <c r="N18" i="48"/>
  <c r="Q18" i="48" s="1"/>
  <c r="N17" i="48"/>
  <c r="Q17" i="48" s="1"/>
  <c r="N15" i="48"/>
  <c r="Q15" i="48" s="1"/>
  <c r="Q44" i="48" s="1"/>
  <c r="N20" i="48"/>
  <c r="Q20" i="48" s="1"/>
  <c r="N16" i="48"/>
  <c r="Q16" i="48" s="1"/>
  <c r="Q43" i="48" s="1"/>
  <c r="J67" i="42"/>
  <c r="J69" i="42" s="1"/>
  <c r="G49" i="52"/>
  <c r="C33" i="38"/>
  <c r="Q10" i="48"/>
  <c r="K39" i="48"/>
  <c r="N39" i="48" l="1"/>
  <c r="AF222" i="2"/>
  <c r="AF223" i="2" s="1"/>
  <c r="F22" i="22"/>
  <c r="E22" i="22"/>
  <c r="Q42" i="48"/>
  <c r="Q39" i="48"/>
  <c r="D22" i="22" l="1"/>
  <c r="G129" i="2" l="1"/>
  <c r="C37" i="44" l="1"/>
  <c r="C36" i="44"/>
  <c r="F65" i="22"/>
  <c r="F72" i="22"/>
  <c r="E65" i="22" l="1"/>
  <c r="F166" i="41" l="1"/>
  <c r="F125" i="41"/>
  <c r="F124" i="41"/>
  <c r="D32" i="41" l="1"/>
  <c r="D24" i="41"/>
  <c r="D22" i="41"/>
  <c r="D18" i="41"/>
  <c r="D15" i="41"/>
  <c r="D13" i="41"/>
  <c r="D28" i="41" l="1"/>
  <c r="H166" i="41"/>
  <c r="I166" i="41" s="1"/>
  <c r="D17" i="41"/>
  <c r="D30" i="41"/>
  <c r="H125" i="41"/>
  <c r="I125" i="41" s="1"/>
  <c r="D26" i="41"/>
  <c r="H124" i="41"/>
  <c r="I124" i="41" s="1"/>
  <c r="D20" i="41"/>
  <c r="D11" i="41"/>
  <c r="D21" i="41"/>
  <c r="D12" i="41"/>
  <c r="G168" i="41" l="1"/>
  <c r="I34" i="12"/>
  <c r="H34" i="12"/>
  <c r="G34" i="12"/>
  <c r="E34" i="12"/>
  <c r="D34" i="12"/>
  <c r="C34" i="12"/>
  <c r="H264" i="2" l="1"/>
  <c r="H263" i="2"/>
  <c r="H262" i="2"/>
  <c r="H260" i="2"/>
  <c r="H259" i="2"/>
  <c r="H249" i="2"/>
  <c r="H248" i="2"/>
  <c r="H228" i="2"/>
  <c r="H229" i="2"/>
  <c r="H230" i="2"/>
  <c r="H231" i="2"/>
  <c r="H233" i="2"/>
  <c r="H234" i="2"/>
  <c r="H235" i="2"/>
  <c r="H227" i="2"/>
  <c r="H212" i="2"/>
  <c r="H213" i="2"/>
  <c r="H214" i="2"/>
  <c r="H211" i="2"/>
  <c r="H207" i="2"/>
  <c r="H206" i="2"/>
  <c r="H205" i="2"/>
  <c r="H203" i="2"/>
  <c r="H202" i="2"/>
  <c r="H201" i="2"/>
  <c r="H189" i="2"/>
  <c r="H178" i="2"/>
  <c r="H179" i="2"/>
  <c r="H180" i="2"/>
  <c r="H181" i="2"/>
  <c r="H182" i="2"/>
  <c r="H183" i="2"/>
  <c r="H184" i="2"/>
  <c r="H185" i="2"/>
  <c r="H186" i="2"/>
  <c r="H187" i="2"/>
  <c r="H177" i="2"/>
  <c r="H172" i="2"/>
  <c r="H171" i="2"/>
  <c r="H166" i="2"/>
  <c r="H167" i="2"/>
  <c r="H165" i="2"/>
  <c r="H157" i="2"/>
  <c r="H158" i="2"/>
  <c r="H159" i="2"/>
  <c r="H160" i="2"/>
  <c r="H161" i="2"/>
  <c r="H156" i="2"/>
  <c r="H134" i="2"/>
  <c r="H135" i="2"/>
  <c r="H136" i="2"/>
  <c r="H137" i="2"/>
  <c r="H138" i="2"/>
  <c r="H139" i="2"/>
  <c r="H140" i="2"/>
  <c r="H141" i="2"/>
  <c r="H142" i="2"/>
  <c r="H144" i="2"/>
  <c r="H145" i="2"/>
  <c r="H146" i="2"/>
  <c r="H147" i="2"/>
  <c r="H148" i="2"/>
  <c r="H149" i="2"/>
  <c r="H150" i="2"/>
  <c r="H151" i="2"/>
  <c r="H152" i="2"/>
  <c r="H133" i="2"/>
  <c r="H117" i="2"/>
  <c r="H118" i="2"/>
  <c r="H120" i="2"/>
  <c r="H121" i="2"/>
  <c r="H122" i="2"/>
  <c r="H123" i="2"/>
  <c r="H124" i="2"/>
  <c r="H125" i="2"/>
  <c r="H126" i="2"/>
  <c r="H127" i="2"/>
  <c r="H128" i="2"/>
  <c r="H116" i="2"/>
  <c r="H109" i="2"/>
  <c r="H110" i="2"/>
  <c r="H111" i="2"/>
  <c r="H108" i="2"/>
  <c r="H105" i="2"/>
  <c r="H106" i="2"/>
  <c r="H104" i="2"/>
  <c r="H98" i="2"/>
  <c r="H99" i="2"/>
  <c r="H100" i="2"/>
  <c r="H101" i="2"/>
  <c r="H102" i="2"/>
  <c r="H97" i="2"/>
  <c r="H82" i="2"/>
  <c r="H83" i="2"/>
  <c r="H84" i="2"/>
  <c r="H80" i="2"/>
  <c r="H74" i="2"/>
  <c r="H76" i="2"/>
  <c r="H77" i="2"/>
  <c r="H73" i="2"/>
  <c r="H62" i="2"/>
  <c r="H63" i="2"/>
  <c r="H65" i="2"/>
  <c r="H61" i="2"/>
  <c r="H53" i="2"/>
  <c r="H49" i="2"/>
  <c r="H35" i="2"/>
  <c r="H36" i="2"/>
  <c r="H37" i="2"/>
  <c r="H38" i="2"/>
  <c r="H39" i="2"/>
  <c r="H40" i="2"/>
  <c r="H41" i="2"/>
  <c r="H42" i="2"/>
  <c r="H43" i="2"/>
  <c r="H44" i="2"/>
  <c r="H45" i="2"/>
  <c r="H34" i="2"/>
  <c r="H23" i="2"/>
  <c r="H24" i="2"/>
  <c r="H25" i="2"/>
  <c r="H26" i="2"/>
  <c r="H27" i="2"/>
  <c r="H28" i="2"/>
  <c r="H29" i="2"/>
  <c r="H30" i="2"/>
  <c r="H22" i="2"/>
  <c r="H14" i="2"/>
  <c r="H15" i="2"/>
  <c r="H16" i="2"/>
  <c r="H17" i="2"/>
  <c r="H18" i="2"/>
  <c r="H13" i="2"/>
  <c r="AC250" i="2"/>
  <c r="AC236" i="2"/>
  <c r="AC224" i="2"/>
  <c r="AC215" i="2"/>
  <c r="AC208" i="2"/>
  <c r="AC190" i="2"/>
  <c r="AC192" i="2"/>
  <c r="AC194" i="2"/>
  <c r="AC173" i="2"/>
  <c r="AC168" i="2"/>
  <c r="AC162" i="2"/>
  <c r="AC153" i="2"/>
  <c r="AC129" i="2"/>
  <c r="AC112" i="2"/>
  <c r="AC86" i="2"/>
  <c r="AC78" i="2"/>
  <c r="AC66" i="2"/>
  <c r="AC68" i="2" s="1"/>
  <c r="AC54" i="2"/>
  <c r="AC50" i="2"/>
  <c r="AC46" i="2"/>
  <c r="AC31" i="2"/>
  <c r="AC19" i="2"/>
  <c r="AD19" i="2"/>
  <c r="H204" i="2"/>
  <c r="AC217" i="2" l="1"/>
  <c r="AC242" i="2" s="1"/>
  <c r="AC88" i="2"/>
  <c r="AC56" i="2"/>
  <c r="AC238" i="2"/>
  <c r="AC90" i="2"/>
  <c r="AC196" i="2"/>
  <c r="AC241" i="2" s="1"/>
  <c r="AC243" i="2" s="1"/>
  <c r="AC245" i="2" s="1"/>
  <c r="AC252" i="2" s="1"/>
  <c r="AC258" i="2" s="1"/>
  <c r="AC265" i="2" l="1"/>
  <c r="AC267" i="2" s="1"/>
  <c r="AC269" i="2" s="1"/>
  <c r="H85" i="2" l="1"/>
  <c r="H81" i="2" l="1"/>
  <c r="H75" i="2"/>
  <c r="O78" i="2"/>
  <c r="H64" i="2"/>
  <c r="A62" i="42" l="1"/>
  <c r="F30" i="44" l="1"/>
  <c r="F36" i="44" s="1"/>
  <c r="A11" i="44"/>
  <c r="A12" i="44" s="1"/>
  <c r="A13" i="44" s="1"/>
  <c r="A15" i="44" s="1"/>
  <c r="A17" i="44" s="1"/>
  <c r="A18" i="44" s="1"/>
  <c r="A19" i="44" s="1"/>
  <c r="A22" i="44" s="1"/>
  <c r="A24" i="44" s="1"/>
  <c r="A28" i="44" s="1"/>
  <c r="A30" i="44" s="1"/>
  <c r="A31" i="44" s="1"/>
  <c r="A32" i="44" s="1"/>
  <c r="A34" i="44" s="1"/>
  <c r="A36" i="44" s="1"/>
  <c r="A37" i="44" s="1"/>
  <c r="A38" i="44" s="1"/>
  <c r="A41" i="44" s="1"/>
  <c r="A43" i="44" s="1"/>
  <c r="F31" i="44" l="1"/>
  <c r="F18" i="44"/>
  <c r="F37" i="44"/>
  <c r="A40" i="1" l="1"/>
  <c r="A38" i="1"/>
  <c r="A36" i="1"/>
  <c r="A34" i="1"/>
  <c r="A32" i="1"/>
  <c r="A31" i="1"/>
  <c r="A29" i="1"/>
  <c r="A27" i="1"/>
  <c r="A25" i="1"/>
  <c r="A24" i="1"/>
  <c r="A23" i="1"/>
  <c r="A22" i="1"/>
  <c r="A19" i="1"/>
  <c r="A17" i="1"/>
  <c r="A15" i="1"/>
  <c r="A13" i="1"/>
  <c r="A12" i="1"/>
  <c r="A11" i="1"/>
  <c r="A10" i="1"/>
  <c r="A14" i="2" l="1"/>
  <c r="A15" i="2" s="1"/>
  <c r="A16" i="2" s="1"/>
  <c r="A17" i="2" s="1"/>
  <c r="A18" i="2" s="1"/>
  <c r="A19" i="2" s="1"/>
  <c r="A22" i="2" s="1"/>
  <c r="A23" i="2" s="1"/>
  <c r="A24" i="2" s="1"/>
  <c r="A25" i="2" s="1"/>
  <c r="A26" i="2" s="1"/>
  <c r="A27" i="2" s="1"/>
  <c r="A28" i="2" s="1"/>
  <c r="A29" i="2" s="1"/>
  <c r="A30" i="2" s="1"/>
  <c r="A31" i="2" s="1"/>
  <c r="A34" i="2" s="1"/>
  <c r="A35" i="2" s="1"/>
  <c r="A36" i="2" s="1"/>
  <c r="A37" i="2" s="1"/>
  <c r="A38" i="2" s="1"/>
  <c r="A39" i="2" s="1"/>
  <c r="A40" i="2" s="1"/>
  <c r="A41" i="2" s="1"/>
  <c r="A42" i="2" s="1"/>
  <c r="A43" i="2" s="1"/>
  <c r="A44" i="2" s="1"/>
  <c r="A45" i="2" s="1"/>
  <c r="A46" i="2" s="1"/>
  <c r="A49" i="2" s="1"/>
  <c r="A50" i="2" s="1"/>
  <c r="A53" i="2" s="1"/>
  <c r="A54" i="2" s="1"/>
  <c r="A56" i="2" s="1"/>
  <c r="A61" i="2" s="1"/>
  <c r="A62" i="2" s="1"/>
  <c r="A63" i="2" s="1"/>
  <c r="A64" i="2" s="1"/>
  <c r="A65" i="2" s="1"/>
  <c r="A66" i="2" s="1"/>
  <c r="A68" i="2" s="1"/>
  <c r="A73" i="2" s="1"/>
  <c r="A74" i="2" s="1"/>
  <c r="A75" i="2" s="1"/>
  <c r="A76" i="2" s="1"/>
  <c r="A77" i="2" s="1"/>
  <c r="A78" i="2" s="1"/>
  <c r="A80" i="2" s="1"/>
  <c r="A81" i="2" s="1"/>
  <c r="A82" i="2" s="1"/>
  <c r="A83" i="2" s="1"/>
  <c r="A84" i="2" s="1"/>
  <c r="A85" i="2" s="1"/>
  <c r="A86" i="2" s="1"/>
  <c r="A88" i="2" s="1"/>
  <c r="A90" i="2" s="1"/>
  <c r="A97" i="2" s="1"/>
  <c r="A98" i="2" s="1"/>
  <c r="A99" i="2" s="1"/>
  <c r="A100" i="2" s="1"/>
  <c r="A101" i="2" s="1"/>
  <c r="A102" i="2" s="1"/>
  <c r="A104" i="2" s="1"/>
  <c r="A105" i="2" s="1"/>
  <c r="A106" i="2" s="1"/>
  <c r="A108" i="2" s="1"/>
  <c r="A109" i="2" s="1"/>
  <c r="A110" i="2" s="1"/>
  <c r="A111" i="2" s="1"/>
  <c r="A112" i="2" s="1"/>
  <c r="A116" i="2" s="1"/>
  <c r="A117" i="2" s="1"/>
  <c r="A118" i="2" s="1"/>
  <c r="A120" i="2" s="1"/>
  <c r="A121" i="2" s="1"/>
  <c r="A122" i="2" s="1"/>
  <c r="A123" i="2" s="1"/>
  <c r="A261" i="4"/>
  <c r="A259" i="4"/>
  <c r="A257" i="4"/>
  <c r="A255" i="4"/>
  <c r="A253" i="4"/>
  <c r="A251" i="4"/>
  <c r="A250" i="4"/>
  <c r="A249" i="4"/>
  <c r="A248" i="4"/>
  <c r="A247" i="4"/>
  <c r="A246" i="4"/>
  <c r="A245" i="4"/>
  <c r="A244" i="4"/>
  <c r="A240" i="4"/>
  <c r="A238" i="4"/>
  <c r="A237" i="4"/>
  <c r="A236" i="4"/>
  <c r="A233" i="4"/>
  <c r="A231" i="4"/>
  <c r="A230" i="4"/>
  <c r="A229" i="4"/>
  <c r="A226" i="4"/>
  <c r="A217" i="4"/>
  <c r="A218" i="4" s="1"/>
  <c r="A219" i="4" s="1"/>
  <c r="A220" i="4" s="1"/>
  <c r="A221" i="4" s="1"/>
  <c r="A222" i="4" s="1"/>
  <c r="A223" i="4" s="1"/>
  <c r="A224" i="4" s="1"/>
  <c r="A216" i="4"/>
  <c r="A215" i="4"/>
  <c r="A212" i="4"/>
  <c r="A208" i="4"/>
  <c r="A204" i="4"/>
  <c r="A205" i="4" s="1"/>
  <c r="A206" i="4" s="1"/>
  <c r="A203" i="4"/>
  <c r="A202" i="4"/>
  <c r="A195" i="4"/>
  <c r="A196" i="4" s="1"/>
  <c r="A197" i="4" s="1"/>
  <c r="A198" i="4" s="1"/>
  <c r="A199" i="4" s="1"/>
  <c r="A194" i="4"/>
  <c r="A193" i="4"/>
  <c r="A192" i="4"/>
  <c r="A189" i="4"/>
  <c r="A188" i="4"/>
  <c r="A186" i="4"/>
  <c r="A185" i="4"/>
  <c r="A175" i="4"/>
  <c r="A176" i="4" s="1"/>
  <c r="A177" i="4" s="1"/>
  <c r="A178" i="4" s="1"/>
  <c r="A179" i="4" s="1"/>
  <c r="A180" i="4" s="1"/>
  <c r="A181" i="4" s="1"/>
  <c r="A182" i="4" s="1"/>
  <c r="A183" i="4" s="1"/>
  <c r="A174" i="4"/>
  <c r="A173" i="4"/>
  <c r="A169" i="4"/>
  <c r="A168" i="4"/>
  <c r="A167" i="4"/>
  <c r="A163" i="4"/>
  <c r="A164" i="4" s="1"/>
  <c r="A162" i="4"/>
  <c r="A161" i="4"/>
  <c r="A158" i="4"/>
  <c r="A154" i="4"/>
  <c r="A155" i="4" s="1"/>
  <c r="A156" i="4" s="1"/>
  <c r="A157" i="4" s="1"/>
  <c r="A153" i="4"/>
  <c r="A152" i="4"/>
  <c r="A142" i="4"/>
  <c r="A143" i="4" s="1"/>
  <c r="A144" i="4" s="1"/>
  <c r="A145" i="4" s="1"/>
  <c r="A146" i="4" s="1"/>
  <c r="A147" i="4" s="1"/>
  <c r="A148" i="4" s="1"/>
  <c r="A149" i="4" s="1"/>
  <c r="A141" i="4"/>
  <c r="A140" i="4"/>
  <c r="A131" i="4"/>
  <c r="A132" i="4" s="1"/>
  <c r="A133" i="4" s="1"/>
  <c r="A134" i="4" s="1"/>
  <c r="A135" i="4" s="1"/>
  <c r="A136" i="4" s="1"/>
  <c r="A137" i="4" s="1"/>
  <c r="A138" i="4" s="1"/>
  <c r="A130" i="4"/>
  <c r="A129" i="4"/>
  <c r="A119" i="4"/>
  <c r="A120" i="4" s="1"/>
  <c r="A121" i="4" s="1"/>
  <c r="A122" i="4" s="1"/>
  <c r="A123" i="4" s="1"/>
  <c r="A124" i="4" s="1"/>
  <c r="A125" i="4" s="1"/>
  <c r="A118" i="4"/>
  <c r="A117" i="4"/>
  <c r="A116" i="4"/>
  <c r="A114" i="4"/>
  <c r="A113" i="4"/>
  <c r="A112" i="4"/>
  <c r="A108" i="4"/>
  <c r="A107" i="4"/>
  <c r="A106" i="4"/>
  <c r="A105" i="4"/>
  <c r="A104" i="4"/>
  <c r="A102" i="4"/>
  <c r="A101" i="4"/>
  <c r="A100" i="4"/>
  <c r="A95" i="4"/>
  <c r="A96" i="4" s="1"/>
  <c r="A97" i="4" s="1"/>
  <c r="A98" i="4" s="1"/>
  <c r="A94" i="4"/>
  <c r="A93" i="4"/>
  <c r="A86" i="4"/>
  <c r="A84" i="4"/>
  <c r="A78" i="4"/>
  <c r="A79" i="4" s="1"/>
  <c r="A80" i="4" s="1"/>
  <c r="A81" i="4" s="1"/>
  <c r="A82" i="4" s="1"/>
  <c r="A77" i="4"/>
  <c r="A76" i="4"/>
  <c r="A71" i="4"/>
  <c r="A72" i="4" s="1"/>
  <c r="A73" i="4" s="1"/>
  <c r="A74" i="4" s="1"/>
  <c r="A70" i="4"/>
  <c r="A69" i="4"/>
  <c r="A64" i="4"/>
  <c r="A59" i="4"/>
  <c r="A60" i="4" s="1"/>
  <c r="A61" i="4" s="1"/>
  <c r="A62" i="4" s="1"/>
  <c r="A58" i="4"/>
  <c r="A57" i="4"/>
  <c r="A53" i="4"/>
  <c r="A51" i="4"/>
  <c r="A50" i="4"/>
  <c r="A47" i="4"/>
  <c r="A46" i="4"/>
  <c r="A33" i="4"/>
  <c r="A34" i="4" s="1"/>
  <c r="A35" i="4" s="1"/>
  <c r="A36" i="4" s="1"/>
  <c r="A37" i="4" s="1"/>
  <c r="A38" i="4" s="1"/>
  <c r="A39" i="4" s="1"/>
  <c r="A40" i="4" s="1"/>
  <c r="A41" i="4" s="1"/>
  <c r="A42" i="4" s="1"/>
  <c r="A43" i="4" s="1"/>
  <c r="A32" i="4"/>
  <c r="A31" i="4"/>
  <c r="A21" i="4"/>
  <c r="A22" i="4" s="1"/>
  <c r="A23" i="4" s="1"/>
  <c r="A24" i="4" s="1"/>
  <c r="A25" i="4" s="1"/>
  <c r="A26" i="4" s="1"/>
  <c r="A27" i="4" s="1"/>
  <c r="A28" i="4" s="1"/>
  <c r="A20" i="4"/>
  <c r="A19" i="4"/>
  <c r="A14" i="4"/>
  <c r="A15" i="4"/>
  <c r="A16" i="4"/>
  <c r="A13" i="4"/>
  <c r="A12" i="4"/>
  <c r="A11" i="4"/>
  <c r="D73" i="22"/>
  <c r="A84" i="6"/>
  <c r="A83" i="6"/>
  <c r="A82" i="6"/>
  <c r="A81" i="6"/>
  <c r="A79" i="6"/>
  <c r="A78" i="6"/>
  <c r="A76" i="6"/>
  <c r="A75" i="6"/>
  <c r="A74" i="6"/>
  <c r="A67" i="6"/>
  <c r="A68" i="6" s="1"/>
  <c r="A69" i="6" s="1"/>
  <c r="A70" i="6" s="1"/>
  <c r="A71" i="6" s="1"/>
  <c r="A72" i="6" s="1"/>
  <c r="A66" i="6"/>
  <c r="A65" i="6"/>
  <c r="A62" i="6"/>
  <c r="A61" i="6"/>
  <c r="A60" i="6"/>
  <c r="A57" i="6"/>
  <c r="A56" i="6"/>
  <c r="A55" i="6"/>
  <c r="A54" i="6"/>
  <c r="A48" i="6"/>
  <c r="A49" i="6" s="1"/>
  <c r="A50" i="6" s="1"/>
  <c r="A51" i="6" s="1"/>
  <c r="A47" i="6"/>
  <c r="A46" i="6"/>
  <c r="A39" i="6"/>
  <c r="A40" i="6" s="1"/>
  <c r="A41" i="6" s="1"/>
  <c r="A42" i="6" s="1"/>
  <c r="A43" i="6" s="1"/>
  <c r="A38" i="6"/>
  <c r="A37" i="6"/>
  <c r="A35" i="6"/>
  <c r="A29" i="6"/>
  <c r="A30" i="6" s="1"/>
  <c r="A31" i="6" s="1"/>
  <c r="A32" i="6" s="1"/>
  <c r="A33" i="6" s="1"/>
  <c r="A34" i="6" s="1"/>
  <c r="A28" i="6"/>
  <c r="A27" i="6"/>
  <c r="A24" i="6"/>
  <c r="A23" i="6"/>
  <c r="A21" i="6"/>
  <c r="A20" i="6"/>
  <c r="A19" i="6"/>
  <c r="A16" i="6"/>
  <c r="A15" i="6"/>
  <c r="A12" i="6"/>
  <c r="A11" i="6"/>
  <c r="A9" i="6"/>
  <c r="A8" i="6"/>
  <c r="H44" i="41"/>
  <c r="I44" i="41" s="1"/>
  <c r="B46" i="42" l="1"/>
  <c r="B47" i="42"/>
  <c r="B48" i="42"/>
  <c r="B45" i="42"/>
  <c r="H45" i="42" l="1"/>
  <c r="H48" i="42"/>
  <c r="H47" i="42"/>
  <c r="H46" i="42"/>
  <c r="N250" i="2"/>
  <c r="N236" i="2"/>
  <c r="N224" i="2"/>
  <c r="N215" i="2"/>
  <c r="N208" i="2"/>
  <c r="N190" i="2"/>
  <c r="N192" i="2"/>
  <c r="N194" i="2"/>
  <c r="N173" i="2"/>
  <c r="N168" i="2"/>
  <c r="N162" i="2"/>
  <c r="N153" i="2"/>
  <c r="N129" i="2"/>
  <c r="N112" i="2"/>
  <c r="N86" i="2"/>
  <c r="N78" i="2"/>
  <c r="N66" i="2"/>
  <c r="N68" i="2" s="1"/>
  <c r="O54" i="2"/>
  <c r="N54" i="2"/>
  <c r="O50" i="2"/>
  <c r="N50" i="2"/>
  <c r="O46" i="2"/>
  <c r="N46" i="2"/>
  <c r="O31" i="2"/>
  <c r="N31" i="2"/>
  <c r="N19" i="2"/>
  <c r="O19" i="2"/>
  <c r="N196" i="2" l="1"/>
  <c r="N241" i="2" s="1"/>
  <c r="N238" i="2"/>
  <c r="N217" i="2"/>
  <c r="N242" i="2" s="1"/>
  <c r="O56" i="2"/>
  <c r="N243" i="2"/>
  <c r="N56" i="2"/>
  <c r="N88" i="2"/>
  <c r="N245" i="2" l="1"/>
  <c r="N252" i="2" s="1"/>
  <c r="N258" i="2" s="1"/>
  <c r="N265" i="2" s="1"/>
  <c r="N267" i="2" s="1"/>
  <c r="N269" i="2" s="1"/>
  <c r="N90" i="2"/>
  <c r="B27" i="42" l="1"/>
  <c r="B9" i="42"/>
  <c r="H9" i="42" l="1"/>
  <c r="L9" i="42"/>
  <c r="H27" i="42"/>
  <c r="L27" i="42"/>
  <c r="H27" i="1"/>
  <c r="I27" i="1"/>
  <c r="J27" i="1"/>
  <c r="C9" i="43" s="1"/>
  <c r="K27" i="1"/>
  <c r="L27" i="1"/>
  <c r="M27" i="1"/>
  <c r="N27" i="1"/>
  <c r="O27" i="1"/>
  <c r="P27" i="1"/>
  <c r="G27" i="1"/>
  <c r="T208" i="2" l="1"/>
  <c r="O208" i="2" l="1"/>
  <c r="O250" i="2"/>
  <c r="O236" i="2"/>
  <c r="O224" i="2"/>
  <c r="O215" i="2"/>
  <c r="O190" i="2"/>
  <c r="O192" i="2"/>
  <c r="O194" i="2"/>
  <c r="O173" i="2"/>
  <c r="O168" i="2"/>
  <c r="O162" i="2"/>
  <c r="O153" i="2"/>
  <c r="O129" i="2"/>
  <c r="O112" i="2"/>
  <c r="O86" i="2"/>
  <c r="O66" i="2"/>
  <c r="O68" i="2" s="1"/>
  <c r="O238" i="2" l="1"/>
  <c r="O196" i="2"/>
  <c r="O241" i="2" s="1"/>
  <c r="O217" i="2"/>
  <c r="O242" i="2" s="1"/>
  <c r="O88" i="2"/>
  <c r="O90" i="2" s="1"/>
  <c r="O243" i="2" l="1"/>
  <c r="O245" i="2" s="1"/>
  <c r="O252" i="2" s="1"/>
  <c r="O258" i="2" s="1"/>
  <c r="O265" i="2" s="1"/>
  <c r="O267" i="2" s="1"/>
  <c r="O269" i="2" l="1"/>
  <c r="O6" i="5" l="1"/>
  <c r="O8" i="5"/>
  <c r="O9" i="5"/>
  <c r="O11" i="5"/>
  <c r="O14" i="5"/>
  <c r="K224" i="2" l="1"/>
  <c r="L224" i="2"/>
  <c r="M224" i="2"/>
  <c r="P224" i="2"/>
  <c r="Q224" i="2"/>
  <c r="R224" i="2"/>
  <c r="S224" i="2"/>
  <c r="T224" i="2"/>
  <c r="U224" i="2"/>
  <c r="V224" i="2"/>
  <c r="W224" i="2"/>
  <c r="X224" i="2"/>
  <c r="Y224" i="2"/>
  <c r="Z224" i="2"/>
  <c r="AA224" i="2"/>
  <c r="AB224" i="2"/>
  <c r="AD224" i="2"/>
  <c r="AE224" i="2"/>
  <c r="G224" i="2"/>
  <c r="AF19" i="2"/>
  <c r="AF31" i="2"/>
  <c r="AF46" i="2"/>
  <c r="AF50" i="2"/>
  <c r="AF54" i="2"/>
  <c r="AF66" i="2"/>
  <c r="AF68" i="2" s="1"/>
  <c r="AF78" i="2"/>
  <c r="AF86" i="2"/>
  <c r="AF112" i="2"/>
  <c r="AF129" i="2"/>
  <c r="AF153" i="2"/>
  <c r="AF162" i="2"/>
  <c r="AF168" i="2"/>
  <c r="AF173" i="2"/>
  <c r="AF190" i="2"/>
  <c r="AF192" i="2"/>
  <c r="AF194" i="2"/>
  <c r="AF208" i="2"/>
  <c r="AF215" i="2"/>
  <c r="AF236" i="2"/>
  <c r="AF250" i="2"/>
  <c r="AF217" i="2" l="1"/>
  <c r="AF242" i="2" s="1"/>
  <c r="AF56" i="2"/>
  <c r="AF88" i="2"/>
  <c r="AF196" i="2"/>
  <c r="AF241" i="2" s="1"/>
  <c r="A17" i="40"/>
  <c r="A18" i="40" s="1"/>
  <c r="A19" i="40" s="1"/>
  <c r="A20" i="40" s="1"/>
  <c r="A21" i="40" s="1"/>
  <c r="A22" i="40" s="1"/>
  <c r="A23" i="40" s="1"/>
  <c r="A38" i="43"/>
  <c r="A26" i="43"/>
  <c r="A27" i="43" s="1"/>
  <c r="A28" i="43" s="1"/>
  <c r="A29" i="43" s="1"/>
  <c r="A30" i="43" s="1"/>
  <c r="AF243" i="2" l="1"/>
  <c r="AF90" i="2"/>
  <c r="A39" i="43"/>
  <c r="A40" i="43" s="1"/>
  <c r="A9" i="43" l="1"/>
  <c r="A10" i="43" s="1"/>
  <c r="A11" i="43" s="1"/>
  <c r="A12" i="43" s="1"/>
  <c r="A13" i="43" s="1"/>
  <c r="C10" i="43" l="1"/>
  <c r="C11" i="43"/>
  <c r="C13" i="43" l="1"/>
  <c r="C15" i="43" s="1"/>
  <c r="B21" i="42" l="1"/>
  <c r="B10" i="42"/>
  <c r="B34" i="42"/>
  <c r="E26" i="43"/>
  <c r="B28" i="42"/>
  <c r="E28" i="43"/>
  <c r="E30" i="43"/>
  <c r="C38" i="43"/>
  <c r="D18" i="22" s="1"/>
  <c r="E29" i="43"/>
  <c r="E27" i="43"/>
  <c r="C39" i="43" s="1"/>
  <c r="E18" i="22" s="1"/>
  <c r="C40" i="43" l="1"/>
  <c r="F18" i="22" s="1"/>
  <c r="C17" i="40" s="1"/>
  <c r="H28" i="42"/>
  <c r="L28" i="42"/>
  <c r="H34" i="42"/>
  <c r="L34" i="42"/>
  <c r="H10" i="42"/>
  <c r="L10" i="42"/>
  <c r="H21" i="42"/>
  <c r="L21" i="42"/>
  <c r="C18" i="39"/>
  <c r="C18" i="22"/>
  <c r="C18" i="38"/>
  <c r="A15" i="39"/>
  <c r="A16" i="39" s="1"/>
  <c r="A17" i="39" s="1"/>
  <c r="A18" i="39" s="1"/>
  <c r="A19" i="39" s="1"/>
  <c r="A20" i="39" s="1"/>
  <c r="A21" i="39" s="1"/>
  <c r="A8" i="38"/>
  <c r="A9" i="38" s="1"/>
  <c r="A10" i="38" s="1"/>
  <c r="A11" i="38" s="1"/>
  <c r="A12" i="38" s="1"/>
  <c r="A13" i="38" s="1"/>
  <c r="A14" i="38" s="1"/>
  <c r="A15" i="38" s="1"/>
  <c r="A16" i="38" s="1"/>
  <c r="A17" i="38" s="1"/>
  <c r="F74" i="22"/>
  <c r="A8" i="22"/>
  <c r="A9" i="22" s="1"/>
  <c r="A10" i="22" s="1"/>
  <c r="A11" i="22" s="1"/>
  <c r="A12" i="22" s="1"/>
  <c r="A13" i="22" s="1"/>
  <c r="A22" i="39" l="1"/>
  <c r="A23" i="39" s="1"/>
  <c r="A28" i="39" s="1"/>
  <c r="A29" i="39" s="1"/>
  <c r="A30" i="39" s="1"/>
  <c r="A31" i="39" s="1"/>
  <c r="A33" i="39" s="1"/>
  <c r="A34" i="39" s="1"/>
  <c r="A35" i="39" s="1"/>
  <c r="A36" i="39" s="1"/>
  <c r="A41" i="39" s="1"/>
  <c r="A42" i="39" s="1"/>
  <c r="A43" i="39" s="1"/>
  <c r="A44" i="39" s="1"/>
  <c r="A50" i="39" s="1"/>
  <c r="A52" i="39" s="1"/>
  <c r="A54" i="39" s="1"/>
  <c r="A18" i="38"/>
  <c r="A14" i="22"/>
  <c r="A15" i="22" s="1"/>
  <c r="A16" i="22" s="1"/>
  <c r="A17" i="22" s="1"/>
  <c r="A19" i="38" l="1"/>
  <c r="A20" i="38" s="1"/>
  <c r="A21" i="38" s="1"/>
  <c r="A22" i="38" s="1"/>
  <c r="A23" i="38" s="1"/>
  <c r="A24" i="38" s="1"/>
  <c r="A25" i="38" s="1"/>
  <c r="A30" i="38" s="1"/>
  <c r="A31" i="38" s="1"/>
  <c r="A32" i="38" s="1"/>
  <c r="A33" i="38" s="1"/>
  <c r="A34" i="38" s="1"/>
  <c r="A18" i="22"/>
  <c r="A19" i="22" s="1"/>
  <c r="P61" i="6"/>
  <c r="O61" i="6"/>
  <c r="P60" i="6"/>
  <c r="O60" i="6"/>
  <c r="P54" i="6"/>
  <c r="O54" i="6"/>
  <c r="P56" i="6"/>
  <c r="O56" i="6"/>
  <c r="P55" i="6"/>
  <c r="O55" i="6"/>
  <c r="O47" i="6"/>
  <c r="P47" i="6"/>
  <c r="O48" i="6"/>
  <c r="P48" i="6"/>
  <c r="O49" i="6"/>
  <c r="P49" i="6"/>
  <c r="P50" i="6"/>
  <c r="O38" i="6"/>
  <c r="P38" i="6"/>
  <c r="O39" i="6"/>
  <c r="P39" i="6"/>
  <c r="O40" i="6"/>
  <c r="P40" i="6"/>
  <c r="O41" i="6"/>
  <c r="P41" i="6"/>
  <c r="O30" i="6"/>
  <c r="P30" i="6"/>
  <c r="O31" i="6"/>
  <c r="P31" i="6"/>
  <c r="P23" i="6"/>
  <c r="O23" i="6"/>
  <c r="O24" i="6" s="1"/>
  <c r="P20" i="6"/>
  <c r="O20" i="6"/>
  <c r="P19" i="6"/>
  <c r="O19" i="6"/>
  <c r="P15" i="6"/>
  <c r="O15" i="6"/>
  <c r="O16" i="6" s="1"/>
  <c r="P11" i="6"/>
  <c r="O11" i="6"/>
  <c r="O12" i="6" s="1"/>
  <c r="O8" i="6"/>
  <c r="P8" i="6"/>
  <c r="P7" i="6"/>
  <c r="O7" i="6"/>
  <c r="A20" i="22" l="1"/>
  <c r="A22" i="22" s="1"/>
  <c r="A23" i="22" s="1"/>
  <c r="A24" i="22" s="1"/>
  <c r="A25" i="22" s="1"/>
  <c r="A26" i="22" s="1"/>
  <c r="A27" i="22" s="1"/>
  <c r="O62" i="6"/>
  <c r="O57" i="6"/>
  <c r="P57" i="6"/>
  <c r="O21" i="6"/>
  <c r="O9" i="6"/>
  <c r="A31" i="22" l="1"/>
  <c r="A32" i="22" s="1"/>
  <c r="A33" i="22" s="1"/>
  <c r="A34" i="22" s="1"/>
  <c r="A35" i="22" s="1"/>
  <c r="A36" i="22" s="1"/>
  <c r="A37" i="22" s="1"/>
  <c r="A38" i="22" s="1"/>
  <c r="A39" i="22" s="1"/>
  <c r="A40" i="22" l="1"/>
  <c r="A41" i="22" s="1"/>
  <c r="A42" i="22" s="1"/>
  <c r="A46" i="22" s="1"/>
  <c r="B40" i="42"/>
  <c r="A28" i="40"/>
  <c r="A29" i="40" s="1"/>
  <c r="A30" i="40" s="1"/>
  <c r="A31" i="40" s="1"/>
  <c r="A32" i="40" s="1"/>
  <c r="A34" i="40" s="1"/>
  <c r="A35" i="40" s="1"/>
  <c r="A36" i="40" s="1"/>
  <c r="A41" i="40" s="1"/>
  <c r="A42" i="40" s="1"/>
  <c r="A43" i="40" s="1"/>
  <c r="A45" i="40" s="1"/>
  <c r="A46" i="40" s="1"/>
  <c r="A47" i="40" s="1"/>
  <c r="A48" i="40" s="1"/>
  <c r="A49" i="40" s="1"/>
  <c r="A51" i="40" s="1"/>
  <c r="A52" i="40" s="1"/>
  <c r="A53" i="40" s="1"/>
  <c r="A59" i="40" s="1"/>
  <c r="A61" i="40" s="1"/>
  <c r="A64" i="40" s="1"/>
  <c r="A65" i="40" s="1"/>
  <c r="A66" i="40" s="1"/>
  <c r="A67" i="40" s="1"/>
  <c r="A69" i="40" s="1"/>
  <c r="E64" i="40"/>
  <c r="B20" i="42"/>
  <c r="B15" i="42"/>
  <c r="A36" i="38"/>
  <c r="A37" i="38" s="1"/>
  <c r="E58" i="38"/>
  <c r="H15" i="42" l="1"/>
  <c r="L15" i="42"/>
  <c r="H20" i="42"/>
  <c r="L20" i="42"/>
  <c r="H40" i="42"/>
  <c r="L40" i="42"/>
  <c r="A38" i="38"/>
  <c r="A39" i="38" s="1"/>
  <c r="A44" i="38" s="1"/>
  <c r="A45" i="38" s="1"/>
  <c r="D67" i="40"/>
  <c r="A46" i="38" l="1"/>
  <c r="A50" i="38" s="1"/>
  <c r="A53" i="38" s="1"/>
  <c r="A54" i="38" s="1"/>
  <c r="A55" i="38" s="1"/>
  <c r="A58" i="38" s="1"/>
  <c r="A59" i="38" s="1"/>
  <c r="A60" i="38" s="1"/>
  <c r="A61" i="38" s="1"/>
  <c r="A64" i="38" s="1"/>
  <c r="A65" i="38" s="1"/>
  <c r="A66" i="38" s="1"/>
  <c r="A68" i="38" s="1"/>
  <c r="C230" i="41" l="1"/>
  <c r="D230" i="41"/>
  <c r="E230" i="41"/>
  <c r="F230" i="41"/>
  <c r="C231" i="41"/>
  <c r="D231" i="41"/>
  <c r="E231" i="41"/>
  <c r="F231" i="41"/>
  <c r="G231" i="41" l="1"/>
  <c r="G230" i="41"/>
  <c r="M31" i="2"/>
  <c r="H271" i="2"/>
  <c r="I262" i="2" l="1"/>
  <c r="H248" i="4" s="1"/>
  <c r="L19" i="2" l="1"/>
  <c r="M19" i="2"/>
  <c r="K19" i="2"/>
  <c r="L31" i="2"/>
  <c r="K31" i="2"/>
  <c r="L46" i="2"/>
  <c r="M46" i="2"/>
  <c r="K46" i="2"/>
  <c r="L50" i="2"/>
  <c r="M50" i="2"/>
  <c r="K50" i="2"/>
  <c r="L54" i="2"/>
  <c r="M54" i="2"/>
  <c r="K54" i="2"/>
  <c r="L66" i="2"/>
  <c r="L68" i="2" s="1"/>
  <c r="M66" i="2"/>
  <c r="M68" i="2" s="1"/>
  <c r="K66" i="2"/>
  <c r="K68" i="2" s="1"/>
  <c r="L78" i="2"/>
  <c r="M78" i="2"/>
  <c r="K78" i="2"/>
  <c r="L86" i="2"/>
  <c r="M86" i="2"/>
  <c r="K86" i="2"/>
  <c r="L112" i="2"/>
  <c r="M112" i="2"/>
  <c r="K112" i="2"/>
  <c r="L129" i="2"/>
  <c r="M129" i="2"/>
  <c r="K129" i="2"/>
  <c r="L153" i="2"/>
  <c r="M153" i="2"/>
  <c r="K153" i="2"/>
  <c r="L162" i="2"/>
  <c r="M162" i="2"/>
  <c r="K162" i="2"/>
  <c r="L168" i="2"/>
  <c r="M168" i="2"/>
  <c r="K168" i="2"/>
  <c r="L173" i="2"/>
  <c r="M173" i="2"/>
  <c r="K173" i="2"/>
  <c r="L190" i="2"/>
  <c r="M190" i="2"/>
  <c r="K190" i="2"/>
  <c r="L192" i="2"/>
  <c r="M192" i="2"/>
  <c r="K192" i="2"/>
  <c r="L194" i="2"/>
  <c r="M194" i="2"/>
  <c r="K194" i="2"/>
  <c r="L208" i="2"/>
  <c r="M208" i="2"/>
  <c r="K208" i="2"/>
  <c r="L215" i="2"/>
  <c r="M215" i="2"/>
  <c r="K215" i="2"/>
  <c r="L236" i="2"/>
  <c r="M236" i="2"/>
  <c r="K236" i="2"/>
  <c r="L250" i="2"/>
  <c r="M250" i="2"/>
  <c r="K250" i="2"/>
  <c r="M238" i="2" l="1"/>
  <c r="M217" i="2"/>
  <c r="M242" i="2" s="1"/>
  <c r="K196" i="2"/>
  <c r="K241" i="2" s="1"/>
  <c r="L196" i="2"/>
  <c r="L241" i="2" s="1"/>
  <c r="L238" i="2"/>
  <c r="K238" i="2"/>
  <c r="L88" i="2"/>
  <c r="L217" i="2"/>
  <c r="L242" i="2" s="1"/>
  <c r="K217" i="2"/>
  <c r="K242" i="2" s="1"/>
  <c r="L56" i="2"/>
  <c r="M196" i="2"/>
  <c r="M241" i="2" s="1"/>
  <c r="M243" i="2" s="1"/>
  <c r="K88" i="2"/>
  <c r="M88" i="2"/>
  <c r="K56" i="2"/>
  <c r="M245" i="2" l="1"/>
  <c r="M252" i="2" s="1"/>
  <c r="M258" i="2" s="1"/>
  <c r="M265" i="2" s="1"/>
  <c r="M267" i="2" s="1"/>
  <c r="M269" i="2" s="1"/>
  <c r="K243" i="2"/>
  <c r="K245" i="2" s="1"/>
  <c r="K252" i="2" s="1"/>
  <c r="K258" i="2" s="1"/>
  <c r="K265" i="2" s="1"/>
  <c r="K267" i="2" s="1"/>
  <c r="K269" i="2" s="1"/>
  <c r="L90" i="2"/>
  <c r="K90" i="2"/>
  <c r="L243" i="2"/>
  <c r="L245" i="2" s="1"/>
  <c r="L252" i="2" s="1"/>
  <c r="L258" i="2" s="1"/>
  <c r="L265" i="2" s="1"/>
  <c r="L267" i="2" s="1"/>
  <c r="L269" i="2" s="1"/>
  <c r="G86" i="2"/>
  <c r="F167" i="41" l="1"/>
  <c r="F45" i="41"/>
  <c r="F46" i="41"/>
  <c r="F47" i="41"/>
  <c r="F48" i="41"/>
  <c r="F49" i="41"/>
  <c r="F50" i="41"/>
  <c r="F51" i="41"/>
  <c r="F52" i="41"/>
  <c r="F53" i="41"/>
  <c r="F54" i="41"/>
  <c r="F55" i="41"/>
  <c r="F56" i="41"/>
  <c r="F57" i="41"/>
  <c r="F58" i="41"/>
  <c r="F59" i="41"/>
  <c r="F60" i="41"/>
  <c r="F61" i="41"/>
  <c r="F62" i="41"/>
  <c r="F63" i="41"/>
  <c r="F64" i="41"/>
  <c r="F65" i="41"/>
  <c r="F66" i="41"/>
  <c r="F67" i="41"/>
  <c r="F68" i="41"/>
  <c r="F69" i="41"/>
  <c r="F70" i="41"/>
  <c r="F71" i="41"/>
  <c r="F72" i="41"/>
  <c r="F73" i="41"/>
  <c r="F74" i="41"/>
  <c r="F75" i="41"/>
  <c r="F76" i="41"/>
  <c r="F77" i="41"/>
  <c r="F78" i="41"/>
  <c r="F79" i="41"/>
  <c r="F80" i="41"/>
  <c r="F81" i="41"/>
  <c r="F82" i="41"/>
  <c r="F83" i="41"/>
  <c r="F84" i="41"/>
  <c r="F85" i="41"/>
  <c r="F86" i="41"/>
  <c r="F87" i="41"/>
  <c r="F88" i="41"/>
  <c r="F89" i="41"/>
  <c r="F90" i="41"/>
  <c r="F91" i="41"/>
  <c r="F92" i="41"/>
  <c r="F93" i="41"/>
  <c r="F94" i="41"/>
  <c r="F95" i="41"/>
  <c r="F96" i="41"/>
  <c r="F97" i="41"/>
  <c r="F98" i="41"/>
  <c r="F99" i="41"/>
  <c r="F100" i="41"/>
  <c r="F101" i="41"/>
  <c r="F102" i="41"/>
  <c r="F103" i="41"/>
  <c r="F104" i="41"/>
  <c r="F105" i="41"/>
  <c r="F106" i="41"/>
  <c r="F107" i="41"/>
  <c r="F108" i="41"/>
  <c r="F109" i="41"/>
  <c r="F110" i="41"/>
  <c r="F111" i="41"/>
  <c r="F112" i="41"/>
  <c r="F113" i="41"/>
  <c r="F114" i="41"/>
  <c r="F115" i="41"/>
  <c r="F116" i="41"/>
  <c r="F117" i="41"/>
  <c r="F118" i="41"/>
  <c r="F119" i="41"/>
  <c r="F120" i="41"/>
  <c r="F121" i="41"/>
  <c r="F122" i="41"/>
  <c r="F123" i="41"/>
  <c r="F126" i="41"/>
  <c r="F127" i="41"/>
  <c r="F128" i="41"/>
  <c r="F129" i="41"/>
  <c r="F130" i="41"/>
  <c r="F131" i="41"/>
  <c r="F132" i="41"/>
  <c r="F133" i="41"/>
  <c r="F134" i="41"/>
  <c r="F135" i="41"/>
  <c r="F136" i="41"/>
  <c r="F137" i="41"/>
  <c r="F138" i="41"/>
  <c r="F139" i="41"/>
  <c r="F140" i="41"/>
  <c r="F141" i="41"/>
  <c r="F142" i="41"/>
  <c r="F143" i="41"/>
  <c r="F144" i="41"/>
  <c r="F145" i="41"/>
  <c r="F146" i="41"/>
  <c r="F147" i="41"/>
  <c r="F148" i="41"/>
  <c r="F149" i="41"/>
  <c r="F150" i="41"/>
  <c r="F151" i="41"/>
  <c r="F152" i="41"/>
  <c r="F153" i="41"/>
  <c r="F154" i="41"/>
  <c r="F155" i="41"/>
  <c r="F156" i="41"/>
  <c r="F157" i="41"/>
  <c r="F158" i="41"/>
  <c r="F159" i="41"/>
  <c r="F160" i="41"/>
  <c r="F161" i="41"/>
  <c r="F162" i="41"/>
  <c r="F163" i="41"/>
  <c r="F164" i="41"/>
  <c r="F165" i="41"/>
  <c r="F44" i="41"/>
  <c r="D243" i="41" l="1"/>
  <c r="C78" i="52" s="1"/>
  <c r="E243" i="41"/>
  <c r="D78" i="52" s="1"/>
  <c r="F243" i="41"/>
  <c r="E78" i="52" s="1"/>
  <c r="F221" i="41"/>
  <c r="E221" i="41"/>
  <c r="D221" i="41"/>
  <c r="C221" i="41"/>
  <c r="D233" i="41"/>
  <c r="E233" i="41"/>
  <c r="F233" i="41"/>
  <c r="C233" i="41"/>
  <c r="C229" i="41"/>
  <c r="D229" i="41"/>
  <c r="E229" i="41"/>
  <c r="F229" i="41"/>
  <c r="E225" i="41"/>
  <c r="F225" i="41"/>
  <c r="D225" i="41"/>
  <c r="C225" i="41"/>
  <c r="C227" i="41"/>
  <c r="D227" i="41"/>
  <c r="E227" i="41"/>
  <c r="F227" i="41"/>
  <c r="C228" i="41"/>
  <c r="D228" i="41"/>
  <c r="E228" i="41"/>
  <c r="F228" i="41"/>
  <c r="E232" i="41"/>
  <c r="D232" i="41"/>
  <c r="C232" i="41"/>
  <c r="F232" i="41"/>
  <c r="C224" i="41"/>
  <c r="E224" i="41"/>
  <c r="F224" i="41"/>
  <c r="D224" i="41"/>
  <c r="D223" i="41"/>
  <c r="E223" i="41"/>
  <c r="F223" i="41"/>
  <c r="C223" i="41"/>
  <c r="D226" i="41"/>
  <c r="E226" i="41"/>
  <c r="F226" i="41"/>
  <c r="C226" i="41"/>
  <c r="C222" i="41"/>
  <c r="D222" i="41"/>
  <c r="E222" i="41"/>
  <c r="F222" i="41"/>
  <c r="D210" i="41"/>
  <c r="E62" i="22" s="1"/>
  <c r="G223" i="41" l="1"/>
  <c r="G226" i="41"/>
  <c r="C243" i="41" s="1"/>
  <c r="G224" i="41"/>
  <c r="G221" i="41"/>
  <c r="C234" i="41"/>
  <c r="C238" i="41"/>
  <c r="G232" i="41"/>
  <c r="D234" i="41"/>
  <c r="G228" i="41"/>
  <c r="F240" i="41"/>
  <c r="E75" i="52" s="1"/>
  <c r="E240" i="41"/>
  <c r="D75" i="52" s="1"/>
  <c r="D240" i="41"/>
  <c r="C75" i="52" s="1"/>
  <c r="C240" i="41"/>
  <c r="E234" i="41"/>
  <c r="G222" i="41"/>
  <c r="F239" i="41" s="1"/>
  <c r="G227" i="41"/>
  <c r="G229" i="41"/>
  <c r="F234" i="41"/>
  <c r="G225" i="41"/>
  <c r="D242" i="41" s="1"/>
  <c r="G233" i="41"/>
  <c r="E242" i="41" l="1"/>
  <c r="D77" i="52" s="1"/>
  <c r="D239" i="41"/>
  <c r="C77" i="52"/>
  <c r="E74" i="52"/>
  <c r="G243" i="41"/>
  <c r="H243" i="41" s="1"/>
  <c r="B78" i="52"/>
  <c r="F246" i="41"/>
  <c r="E81" i="52" s="1"/>
  <c r="E246" i="41"/>
  <c r="D81" i="52" s="1"/>
  <c r="D246" i="41"/>
  <c r="C81" i="52" s="1"/>
  <c r="C246" i="41"/>
  <c r="B75" i="52"/>
  <c r="F75" i="52" s="1"/>
  <c r="G240" i="41"/>
  <c r="E239" i="41"/>
  <c r="E250" i="41"/>
  <c r="D84" i="52" s="1"/>
  <c r="D250" i="41"/>
  <c r="C84" i="52" s="1"/>
  <c r="C250" i="41"/>
  <c r="F250" i="41"/>
  <c r="E84" i="52" s="1"/>
  <c r="C245" i="41"/>
  <c r="D245" i="41"/>
  <c r="C80" i="52" s="1"/>
  <c r="F245" i="41"/>
  <c r="E80" i="52" s="1"/>
  <c r="E245" i="41"/>
  <c r="D80" i="52" s="1"/>
  <c r="C74" i="52"/>
  <c r="E249" i="41"/>
  <c r="F249" i="41"/>
  <c r="D249" i="41"/>
  <c r="C249" i="41"/>
  <c r="F244" i="41"/>
  <c r="D244" i="41"/>
  <c r="E244" i="41"/>
  <c r="C244" i="41"/>
  <c r="B73" i="52"/>
  <c r="C239" i="41"/>
  <c r="C242" i="41"/>
  <c r="B77" i="52" s="1"/>
  <c r="G234" i="41"/>
  <c r="F242" i="41"/>
  <c r="E77" i="52" s="1"/>
  <c r="E238" i="41"/>
  <c r="D238" i="41"/>
  <c r="D241" i="41"/>
  <c r="C76" i="52" s="1"/>
  <c r="C241" i="41"/>
  <c r="B76" i="52" s="1"/>
  <c r="F241" i="41"/>
  <c r="E76" i="52" s="1"/>
  <c r="E241" i="41"/>
  <c r="F238" i="41"/>
  <c r="G173" i="2"/>
  <c r="G162" i="2"/>
  <c r="F77" i="52" l="1"/>
  <c r="C91" i="52"/>
  <c r="E91" i="52"/>
  <c r="F78" i="52"/>
  <c r="C255" i="41"/>
  <c r="G239" i="41"/>
  <c r="H239" i="41" s="1"/>
  <c r="B74" i="52"/>
  <c r="C73" i="52"/>
  <c r="D251" i="41"/>
  <c r="G238" i="41"/>
  <c r="D73" i="52"/>
  <c r="E251" i="41"/>
  <c r="C256" i="41"/>
  <c r="B79" i="52"/>
  <c r="G244" i="41"/>
  <c r="H244" i="41" s="1"/>
  <c r="G242" i="41"/>
  <c r="H242" i="41" s="1"/>
  <c r="D79" i="52"/>
  <c r="E256" i="41"/>
  <c r="F195" i="41" s="1"/>
  <c r="D255" i="41"/>
  <c r="C257" i="41"/>
  <c r="B83" i="52"/>
  <c r="G249" i="41"/>
  <c r="H249" i="41" s="1"/>
  <c r="C251" i="41"/>
  <c r="E73" i="52"/>
  <c r="F251" i="41"/>
  <c r="C79" i="52"/>
  <c r="D256" i="41"/>
  <c r="E195" i="41" s="1"/>
  <c r="D74" i="52"/>
  <c r="E255" i="41"/>
  <c r="G241" i="41"/>
  <c r="H241" i="41" s="1"/>
  <c r="D76" i="52"/>
  <c r="F256" i="41"/>
  <c r="G195" i="41" s="1"/>
  <c r="E79" i="52"/>
  <c r="D257" i="41"/>
  <c r="E196" i="41" s="1"/>
  <c r="C83" i="52"/>
  <c r="B80" i="52"/>
  <c r="G245" i="41"/>
  <c r="H245" i="41" s="1"/>
  <c r="F255" i="41"/>
  <c r="F257" i="41"/>
  <c r="G196" i="41" s="1"/>
  <c r="E83" i="52"/>
  <c r="B81" i="52"/>
  <c r="G246" i="41"/>
  <c r="H246" i="41" s="1"/>
  <c r="E257" i="41"/>
  <c r="F196" i="41" s="1"/>
  <c r="D83" i="52"/>
  <c r="G250" i="41"/>
  <c r="H250" i="41" s="1"/>
  <c r="B84" i="52"/>
  <c r="F84" i="52" s="1"/>
  <c r="G46" i="2"/>
  <c r="C92" i="52" l="1"/>
  <c r="E93" i="52"/>
  <c r="D92" i="52"/>
  <c r="E92" i="52"/>
  <c r="C85" i="52"/>
  <c r="C65" i="52" s="1"/>
  <c r="D93" i="52"/>
  <c r="C93" i="52"/>
  <c r="C94" i="52" s="1"/>
  <c r="D91" i="52"/>
  <c r="B93" i="52"/>
  <c r="B92" i="52"/>
  <c r="B91" i="52"/>
  <c r="F80" i="52"/>
  <c r="F81" i="52"/>
  <c r="F76" i="52"/>
  <c r="G194" i="41"/>
  <c r="G197" i="41" s="1"/>
  <c r="F258" i="41"/>
  <c r="C186" i="41" s="1"/>
  <c r="H186" i="41" s="1"/>
  <c r="H238" i="41"/>
  <c r="G251" i="41"/>
  <c r="D194" i="41"/>
  <c r="G255" i="41"/>
  <c r="C258" i="41"/>
  <c r="C183" i="41" s="1"/>
  <c r="F194" i="41"/>
  <c r="F197" i="41" s="1"/>
  <c r="E258" i="41"/>
  <c r="C185" i="41" s="1"/>
  <c r="H185" i="41" s="1"/>
  <c r="F73" i="52"/>
  <c r="D195" i="41"/>
  <c r="C195" i="41" s="1"/>
  <c r="C203" i="41" s="1"/>
  <c r="G256" i="41"/>
  <c r="B85" i="52"/>
  <c r="F79" i="52"/>
  <c r="F74" i="52"/>
  <c r="D196" i="41"/>
  <c r="C196" i="41" s="1"/>
  <c r="C204" i="41" s="1"/>
  <c r="G257" i="41"/>
  <c r="F83" i="52"/>
  <c r="F93" i="52" s="1"/>
  <c r="D258" i="41"/>
  <c r="C184" i="41" s="1"/>
  <c r="H184" i="41" s="1"/>
  <c r="E194" i="41"/>
  <c r="E197" i="41" s="1"/>
  <c r="E85" i="52"/>
  <c r="D85" i="52"/>
  <c r="G54" i="2"/>
  <c r="F91" i="52" l="1"/>
  <c r="C87" i="52"/>
  <c r="J46" i="42" s="1"/>
  <c r="E94" i="52"/>
  <c r="F92" i="52"/>
  <c r="B94" i="52"/>
  <c r="D94" i="52"/>
  <c r="C194" i="41"/>
  <c r="D197" i="41"/>
  <c r="E87" i="52"/>
  <c r="J48" i="42" s="1"/>
  <c r="C67" i="52"/>
  <c r="B87" i="52"/>
  <c r="J45" i="42" s="1"/>
  <c r="C64" i="52"/>
  <c r="H183" i="41"/>
  <c r="H187" i="41" s="1"/>
  <c r="C187" i="41"/>
  <c r="N46" i="42"/>
  <c r="L46" i="42"/>
  <c r="G258" i="41"/>
  <c r="D87" i="52"/>
  <c r="J47" i="42" s="1"/>
  <c r="C66" i="52"/>
  <c r="G208" i="2"/>
  <c r="F94" i="52" l="1"/>
  <c r="C68" i="52"/>
  <c r="C202" i="41"/>
  <c r="C205" i="41" s="1"/>
  <c r="C197" i="41"/>
  <c r="N47" i="42"/>
  <c r="L47" i="42"/>
  <c r="N48" i="42"/>
  <c r="L48" i="42"/>
  <c r="N45" i="42"/>
  <c r="L45" i="42"/>
  <c r="A11" i="41"/>
  <c r="A12" i="41" s="1"/>
  <c r="A13" i="41" s="1"/>
  <c r="A14" i="41" s="1"/>
  <c r="A15" i="41" s="1"/>
  <c r="A16" i="41" s="1"/>
  <c r="A17" i="41" s="1"/>
  <c r="A18" i="41" s="1"/>
  <c r="A19" i="41" s="1"/>
  <c r="A20" i="41" s="1"/>
  <c r="A21" i="41" s="1"/>
  <c r="A22" i="41" s="1"/>
  <c r="A23" i="41" s="1"/>
  <c r="A24" i="41" s="1"/>
  <c r="A25" i="41" s="1"/>
  <c r="A26" i="41" s="1"/>
  <c r="A27" i="41" s="1"/>
  <c r="A28" i="41" s="1"/>
  <c r="A29" i="41" s="1"/>
  <c r="A30" i="41" s="1"/>
  <c r="A31" i="41" s="1"/>
  <c r="A32" i="41" s="1"/>
  <c r="A33" i="41" s="1"/>
  <c r="A34" i="41" s="1"/>
  <c r="A44" i="41" s="1"/>
  <c r="A45" i="41" s="1"/>
  <c r="A46" i="41" s="1"/>
  <c r="A47" i="41" s="1"/>
  <c r="A48" i="41" s="1"/>
  <c r="A49" i="41" s="1"/>
  <c r="A50" i="41" s="1"/>
  <c r="A51" i="41" s="1"/>
  <c r="A52" i="41" s="1"/>
  <c r="A53" i="41" s="1"/>
  <c r="A54" i="41" s="1"/>
  <c r="A55" i="41" s="1"/>
  <c r="A56" i="41" s="1"/>
  <c r="A57" i="41" s="1"/>
  <c r="A58" i="41" s="1"/>
  <c r="A59" i="41" s="1"/>
  <c r="A60" i="41" s="1"/>
  <c r="A61" i="41" s="1"/>
  <c r="A62" i="41" s="1"/>
  <c r="A63" i="41" s="1"/>
  <c r="A64" i="41" s="1"/>
  <c r="A65" i="41" s="1"/>
  <c r="A66" i="41" s="1"/>
  <c r="A67" i="41" s="1"/>
  <c r="A68" i="41" s="1"/>
  <c r="A69" i="41" s="1"/>
  <c r="A70" i="41" s="1"/>
  <c r="A71" i="41" s="1"/>
  <c r="A72" i="41" s="1"/>
  <c r="A73" i="41" s="1"/>
  <c r="A74" i="41" s="1"/>
  <c r="A75" i="41" s="1"/>
  <c r="A76" i="41" s="1"/>
  <c r="A77" i="41" s="1"/>
  <c r="A78" i="41" s="1"/>
  <c r="A79" i="41" s="1"/>
  <c r="A80" i="41" s="1"/>
  <c r="A81" i="41" s="1"/>
  <c r="A82" i="41" s="1"/>
  <c r="A83" i="41" s="1"/>
  <c r="A84" i="41" s="1"/>
  <c r="A85" i="41" s="1"/>
  <c r="A86" i="41" s="1"/>
  <c r="A87" i="41" s="1"/>
  <c r="A88" i="41" s="1"/>
  <c r="A89" i="41" s="1"/>
  <c r="A90" i="41" s="1"/>
  <c r="A91" i="41" s="1"/>
  <c r="A92" i="41" s="1"/>
  <c r="A93" i="41" s="1"/>
  <c r="A94" i="41" s="1"/>
  <c r="A95" i="41" s="1"/>
  <c r="A96" i="41" s="1"/>
  <c r="A97" i="41" s="1"/>
  <c r="A98" i="41" s="1"/>
  <c r="A99" i="41" s="1"/>
  <c r="A100" i="41" s="1"/>
  <c r="A101" i="41" s="1"/>
  <c r="A102" i="41" s="1"/>
  <c r="A103" i="41" s="1"/>
  <c r="A104" i="41" s="1"/>
  <c r="A105" i="41" s="1"/>
  <c r="A106" i="41" s="1"/>
  <c r="A107" i="41" s="1"/>
  <c r="A108" i="41" s="1"/>
  <c r="A109" i="41" s="1"/>
  <c r="A110" i="41" s="1"/>
  <c r="A111" i="41" s="1"/>
  <c r="A112" i="41" s="1"/>
  <c r="A113" i="41" s="1"/>
  <c r="A114" i="41" s="1"/>
  <c r="A115" i="41" s="1"/>
  <c r="N49" i="42" l="1"/>
  <c r="N67" i="42"/>
  <c r="N69" i="42" s="1"/>
  <c r="L49" i="42"/>
  <c r="A116" i="41"/>
  <c r="A117" i="41" s="1"/>
  <c r="A118" i="41" s="1"/>
  <c r="A119" i="41" s="1"/>
  <c r="A120" i="41" s="1"/>
  <c r="A121" i="41" s="1"/>
  <c r="A122" i="41" s="1"/>
  <c r="A123" i="41" s="1"/>
  <c r="A124" i="41" l="1"/>
  <c r="A125" i="41" s="1"/>
  <c r="A126" i="41" s="1"/>
  <c r="A127" i="41" s="1"/>
  <c r="A128" i="41" s="1"/>
  <c r="A129" i="41" s="1"/>
  <c r="A130" i="41" s="1"/>
  <c r="A131" i="41" s="1"/>
  <c r="A132" i="41" s="1"/>
  <c r="A133" i="41" s="1"/>
  <c r="A134" i="41" s="1"/>
  <c r="A135" i="41" s="1"/>
  <c r="A136" i="41" s="1"/>
  <c r="A137" i="41" s="1"/>
  <c r="A138" i="41" s="1"/>
  <c r="A139" i="41" s="1"/>
  <c r="A140" i="41" s="1"/>
  <c r="A141" i="41" s="1"/>
  <c r="A142" i="41" s="1"/>
  <c r="A143" i="41" s="1"/>
  <c r="A144" i="41" s="1"/>
  <c r="A145" i="41" s="1"/>
  <c r="A146" i="41" s="1"/>
  <c r="A147" i="41" s="1"/>
  <c r="A148" i="41" s="1"/>
  <c r="A149" i="41" s="1"/>
  <c r="A150" i="41" s="1"/>
  <c r="A151" i="41" s="1"/>
  <c r="A152" i="41" s="1"/>
  <c r="A153" i="41" s="1"/>
  <c r="A154" i="41" s="1"/>
  <c r="A155" i="41" s="1"/>
  <c r="A156" i="41" s="1"/>
  <c r="A157" i="41" s="1"/>
  <c r="A158" i="41" s="1"/>
  <c r="A159" i="41" s="1"/>
  <c r="A160" i="41" s="1"/>
  <c r="A161" i="41" s="1"/>
  <c r="A162" i="41" s="1"/>
  <c r="A163" i="41" s="1"/>
  <c r="A164" i="41" s="1"/>
  <c r="A165" i="41" s="1"/>
  <c r="N85" i="42" l="1"/>
  <c r="A167" i="41"/>
  <c r="A183" i="41" s="1"/>
  <c r="A184" i="41" s="1"/>
  <c r="A185" i="41" s="1"/>
  <c r="A186" i="41" s="1"/>
  <c r="A187" i="41" s="1"/>
  <c r="A189" i="41" s="1"/>
  <c r="A190" i="41" s="1"/>
  <c r="A194" i="41" s="1"/>
  <c r="A195" i="41" s="1"/>
  <c r="A196" i="41" s="1"/>
  <c r="A197" i="41" s="1"/>
  <c r="A202" i="41" s="1"/>
  <c r="A203" i="41" s="1"/>
  <c r="A204" i="41" s="1"/>
  <c r="A205" i="41" s="1"/>
  <c r="A209" i="41" s="1"/>
  <c r="A210" i="41" s="1"/>
  <c r="A211" i="41" s="1"/>
  <c r="A215" i="41" s="1"/>
  <c r="A216" i="41" s="1"/>
  <c r="A217" i="41" s="1"/>
  <c r="A221" i="41" s="1"/>
  <c r="A222" i="41" s="1"/>
  <c r="A223" i="41" s="1"/>
  <c r="A224" i="41" s="1"/>
  <c r="A225" i="41" s="1"/>
  <c r="A226" i="41" s="1"/>
  <c r="A227" i="41" s="1"/>
  <c r="A228" i="41" s="1"/>
  <c r="A229" i="41" s="1"/>
  <c r="A230" i="41" s="1"/>
  <c r="A231" i="41" s="1"/>
  <c r="A232" i="41" s="1"/>
  <c r="A233" i="41" s="1"/>
  <c r="A234" i="41" s="1"/>
  <c r="A238" i="41" s="1"/>
  <c r="A239" i="41" s="1"/>
  <c r="A240" i="41" s="1"/>
  <c r="A241" i="41" s="1"/>
  <c r="A242" i="41" s="1"/>
  <c r="A243" i="41" s="1"/>
  <c r="A244" i="41" s="1"/>
  <c r="A245" i="41" s="1"/>
  <c r="A246" i="41" s="1"/>
  <c r="A247" i="41" s="1"/>
  <c r="A248" i="41" s="1"/>
  <c r="A249" i="41" s="1"/>
  <c r="A250" i="41" s="1"/>
  <c r="A251" i="41" s="1"/>
  <c r="A255" i="41" s="1"/>
  <c r="A256" i="41" s="1"/>
  <c r="A257" i="41" s="1"/>
  <c r="A258" i="41" s="1"/>
  <c r="A166" i="41"/>
  <c r="AD31" i="2"/>
  <c r="AD46" i="2"/>
  <c r="AD50" i="2"/>
  <c r="AD54" i="2"/>
  <c r="AD66" i="2"/>
  <c r="AD68" i="2" s="1"/>
  <c r="AD78" i="2"/>
  <c r="AD86" i="2"/>
  <c r="AD112" i="2"/>
  <c r="AD129" i="2"/>
  <c r="AD153" i="2"/>
  <c r="AD162" i="2"/>
  <c r="AD168" i="2"/>
  <c r="AD173" i="2"/>
  <c r="AD190" i="2"/>
  <c r="AD192" i="2"/>
  <c r="AD194" i="2"/>
  <c r="AD208" i="2"/>
  <c r="AD215" i="2"/>
  <c r="AD250" i="2"/>
  <c r="AD217" i="2" l="1"/>
  <c r="AD242" i="2" s="1"/>
  <c r="AD88" i="2"/>
  <c r="AD196" i="2"/>
  <c r="AD241" i="2" s="1"/>
  <c r="AD243" i="2" s="1"/>
  <c r="AD56" i="2"/>
  <c r="AD90" i="2" s="1"/>
  <c r="D217" i="41" l="1"/>
  <c r="F60" i="22" s="1"/>
  <c r="F68" i="22" s="1"/>
  <c r="D216" i="41" l="1"/>
  <c r="E60" i="22" s="1"/>
  <c r="E68" i="22" s="1"/>
  <c r="C68" i="22" s="1"/>
  <c r="D215" i="41"/>
  <c r="D209" i="41" l="1"/>
  <c r="D211" i="41"/>
  <c r="F62" i="22" s="1"/>
  <c r="F70" i="22" s="1"/>
  <c r="H54" i="41"/>
  <c r="I54" i="41" s="1"/>
  <c r="H52" i="41"/>
  <c r="I52" i="41" s="1"/>
  <c r="H51" i="41"/>
  <c r="I51" i="41" s="1"/>
  <c r="H167" i="41"/>
  <c r="I167" i="41" s="1"/>
  <c r="H67" i="41" l="1"/>
  <c r="D52" i="40"/>
  <c r="D51" i="40"/>
  <c r="B33" i="42"/>
  <c r="B32" i="42"/>
  <c r="B26" i="42"/>
  <c r="B25" i="42"/>
  <c r="B8" i="42"/>
  <c r="H8" i="42" l="1"/>
  <c r="L8" i="42"/>
  <c r="H25" i="42"/>
  <c r="L25" i="42"/>
  <c r="H26" i="42"/>
  <c r="L26" i="42"/>
  <c r="H32" i="42"/>
  <c r="L32" i="42"/>
  <c r="H33" i="42"/>
  <c r="L33" i="42"/>
  <c r="D53" i="40"/>
  <c r="H50" i="41"/>
  <c r="I50" i="41" s="1"/>
  <c r="H66" i="41"/>
  <c r="I66" i="41" s="1"/>
  <c r="H49" i="41"/>
  <c r="I49" i="41" s="1"/>
  <c r="H165" i="41"/>
  <c r="I165" i="41" s="1"/>
  <c r="H108" i="41"/>
  <c r="I108" i="41" s="1"/>
  <c r="H65" i="41"/>
  <c r="I65" i="41" s="1"/>
  <c r="H53" i="41"/>
  <c r="I53" i="41" s="1"/>
  <c r="H48" i="41"/>
  <c r="I48" i="41" s="1"/>
  <c r="H117" i="41"/>
  <c r="I117" i="41" s="1"/>
  <c r="H107" i="41"/>
  <c r="I107" i="41" s="1"/>
  <c r="H82" i="41"/>
  <c r="I82" i="41" s="1"/>
  <c r="H64" i="41"/>
  <c r="I64" i="41" s="1"/>
  <c r="H47" i="41"/>
  <c r="I47" i="41" s="1"/>
  <c r="H116" i="41"/>
  <c r="I116" i="41" s="1"/>
  <c r="H106" i="41"/>
  <c r="I106" i="41" s="1"/>
  <c r="H81" i="41"/>
  <c r="I81" i="41" s="1"/>
  <c r="H63" i="41"/>
  <c r="I63" i="41" s="1"/>
  <c r="H46" i="41"/>
  <c r="I46" i="41" s="1"/>
  <c r="H164" i="41"/>
  <c r="I164" i="41" s="1"/>
  <c r="H105" i="41"/>
  <c r="I105" i="41" s="1"/>
  <c r="H80" i="41"/>
  <c r="I80" i="41" s="1"/>
  <c r="H62" i="41"/>
  <c r="I62" i="41" s="1"/>
  <c r="H45" i="41"/>
  <c r="I45" i="41" s="1"/>
  <c r="H162" i="41"/>
  <c r="I162" i="41" s="1"/>
  <c r="H133" i="41"/>
  <c r="I133" i="41" s="1"/>
  <c r="H115" i="41"/>
  <c r="I115" i="41" s="1"/>
  <c r="H104" i="41"/>
  <c r="I104" i="41" s="1"/>
  <c r="H79" i="41"/>
  <c r="I79" i="41" s="1"/>
  <c r="H61" i="41"/>
  <c r="I61" i="41" s="1"/>
  <c r="H103" i="41"/>
  <c r="I103" i="41" s="1"/>
  <c r="H163" i="41"/>
  <c r="I163" i="41" s="1"/>
  <c r="H161" i="41"/>
  <c r="I161" i="41" s="1"/>
  <c r="H132" i="41"/>
  <c r="I132" i="41" s="1"/>
  <c r="H120" i="41"/>
  <c r="I120" i="41" s="1"/>
  <c r="H114" i="41"/>
  <c r="I114" i="41" s="1"/>
  <c r="H102" i="41"/>
  <c r="I102" i="41" s="1"/>
  <c r="H78" i="41"/>
  <c r="I78" i="41" s="1"/>
  <c r="H60" i="41"/>
  <c r="I60" i="41" s="1"/>
  <c r="H160" i="41"/>
  <c r="I160" i="41" s="1"/>
  <c r="H101" i="41"/>
  <c r="I101" i="41" s="1"/>
  <c r="H77" i="41"/>
  <c r="I77" i="41" s="1"/>
  <c r="H59" i="41"/>
  <c r="I59" i="41" s="1"/>
  <c r="H100" i="41"/>
  <c r="I100" i="41" s="1"/>
  <c r="H99" i="41"/>
  <c r="I99" i="41" s="1"/>
  <c r="H98" i="41"/>
  <c r="I98" i="41" s="1"/>
  <c r="H76" i="41"/>
  <c r="I76" i="41" s="1"/>
  <c r="H159" i="41"/>
  <c r="I159" i="41" s="1"/>
  <c r="H97" i="41"/>
  <c r="I97" i="41" s="1"/>
  <c r="H75" i="41"/>
  <c r="I75" i="41" s="1"/>
  <c r="H58" i="41"/>
  <c r="I58" i="41" s="1"/>
  <c r="H96" i="41"/>
  <c r="I96" i="41" s="1"/>
  <c r="H74" i="41"/>
  <c r="I74" i="41" s="1"/>
  <c r="H57" i="41"/>
  <c r="I57" i="41" s="1"/>
  <c r="H158" i="41"/>
  <c r="I158" i="41" s="1"/>
  <c r="H131" i="41"/>
  <c r="I131" i="41" s="1"/>
  <c r="H119" i="41"/>
  <c r="I119" i="41" s="1"/>
  <c r="H113" i="41"/>
  <c r="I113" i="41" s="1"/>
  <c r="H95" i="41"/>
  <c r="I95" i="41" s="1"/>
  <c r="H73" i="41"/>
  <c r="I73" i="41" s="1"/>
  <c r="H56" i="41"/>
  <c r="I56" i="41" s="1"/>
  <c r="H157" i="41"/>
  <c r="I157" i="41" s="1"/>
  <c r="H94" i="41"/>
  <c r="I94" i="41" s="1"/>
  <c r="H156" i="41"/>
  <c r="I156" i="41" s="1"/>
  <c r="H130" i="41"/>
  <c r="I130" i="41" s="1"/>
  <c r="H118" i="41"/>
  <c r="I118" i="41" s="1"/>
  <c r="H112" i="41"/>
  <c r="I112" i="41" s="1"/>
  <c r="H93" i="41"/>
  <c r="I93" i="41" s="1"/>
  <c r="H72" i="41"/>
  <c r="I72" i="41" s="1"/>
  <c r="H55" i="41"/>
  <c r="I55" i="41" s="1"/>
  <c r="H155" i="41"/>
  <c r="I155" i="41" s="1"/>
  <c r="H129" i="41"/>
  <c r="I129" i="41" s="1"/>
  <c r="H111" i="41"/>
  <c r="I111" i="41" s="1"/>
  <c r="H92" i="41"/>
  <c r="I92" i="41" s="1"/>
  <c r="H71" i="41"/>
  <c r="I71" i="41" s="1"/>
  <c r="H154" i="41"/>
  <c r="I154" i="41" s="1"/>
  <c r="H128" i="41"/>
  <c r="I128" i="41" s="1"/>
  <c r="H91" i="41"/>
  <c r="I91" i="41" s="1"/>
  <c r="H70" i="41"/>
  <c r="I70" i="41" s="1"/>
  <c r="H153" i="41"/>
  <c r="I153" i="41" s="1"/>
  <c r="H127" i="41"/>
  <c r="I127" i="41" s="1"/>
  <c r="H110" i="41"/>
  <c r="I110" i="41" s="1"/>
  <c r="H90" i="41"/>
  <c r="I90" i="41" s="1"/>
  <c r="H69" i="41"/>
  <c r="I69" i="41" s="1"/>
  <c r="H126" i="41"/>
  <c r="I126" i="41" s="1"/>
  <c r="H109" i="41"/>
  <c r="I109" i="41" s="1"/>
  <c r="H89" i="41"/>
  <c r="I89" i="41" s="1"/>
  <c r="H68" i="41"/>
  <c r="I68" i="41" s="1"/>
  <c r="H152" i="41"/>
  <c r="I152" i="41" s="1"/>
  <c r="H88" i="41"/>
  <c r="I88" i="41" s="1"/>
  <c r="I67" i="41"/>
  <c r="H151" i="41"/>
  <c r="I151" i="41" s="1"/>
  <c r="H87" i="41"/>
  <c r="I87" i="41" s="1"/>
  <c r="H150" i="41"/>
  <c r="I150" i="41" s="1"/>
  <c r="H149" i="41"/>
  <c r="I149" i="41" s="1"/>
  <c r="H148" i="41"/>
  <c r="I148" i="41" s="1"/>
  <c r="H86" i="41"/>
  <c r="I86" i="41" s="1"/>
  <c r="H147" i="41"/>
  <c r="I147" i="41" s="1"/>
  <c r="H146" i="41"/>
  <c r="I146" i="41" s="1"/>
  <c r="H145" i="41"/>
  <c r="I145" i="41" s="1"/>
  <c r="H144" i="41"/>
  <c r="I144" i="41" s="1"/>
  <c r="H123" i="41"/>
  <c r="I123" i="41" s="1"/>
  <c r="H85" i="41"/>
  <c r="I85" i="41" s="1"/>
  <c r="H143" i="41"/>
  <c r="I143" i="41" s="1"/>
  <c r="H142" i="41"/>
  <c r="I142" i="41" s="1"/>
  <c r="H122" i="41"/>
  <c r="I122" i="41" s="1"/>
  <c r="H84" i="41"/>
  <c r="I84" i="41" s="1"/>
  <c r="H141" i="41"/>
  <c r="I141" i="41" s="1"/>
  <c r="H140" i="41"/>
  <c r="I140" i="41" s="1"/>
  <c r="H139" i="41"/>
  <c r="I139" i="41" s="1"/>
  <c r="H138" i="41"/>
  <c r="I138" i="41" s="1"/>
  <c r="H137" i="41"/>
  <c r="I137" i="41" s="1"/>
  <c r="H136" i="41"/>
  <c r="I136" i="41" s="1"/>
  <c r="H83" i="41"/>
  <c r="I83" i="41" s="1"/>
  <c r="H135" i="41"/>
  <c r="I135" i="41" s="1"/>
  <c r="H134" i="41"/>
  <c r="I134" i="41" s="1"/>
  <c r="H121" i="41"/>
  <c r="I121" i="41" s="1"/>
  <c r="D183" i="41" l="1"/>
  <c r="D185" i="41"/>
  <c r="D184" i="41"/>
  <c r="D186" i="41"/>
  <c r="D202" i="41"/>
  <c r="D204" i="41"/>
  <c r="E204" i="41" s="1"/>
  <c r="D203" i="41"/>
  <c r="E203" i="41" s="1"/>
  <c r="E202" i="41" l="1"/>
  <c r="F202" i="41" s="1"/>
  <c r="D205" i="41"/>
  <c r="E205" i="41" s="1"/>
  <c r="D187" i="41"/>
  <c r="F203" i="41" l="1"/>
  <c r="E61" i="22" s="1"/>
  <c r="F204" i="41"/>
  <c r="F61" i="22" s="1"/>
  <c r="F69" i="22" s="1"/>
  <c r="E64" i="38" l="1"/>
  <c r="E74" i="22" l="1"/>
  <c r="D43" i="39"/>
  <c r="E43" i="39" s="1"/>
  <c r="E73" i="22"/>
  <c r="D42" i="39"/>
  <c r="E42" i="39" s="1"/>
  <c r="D46" i="38"/>
  <c r="E46" i="38" s="1"/>
  <c r="D74" i="22" l="1"/>
  <c r="C34" i="22"/>
  <c r="D44" i="38"/>
  <c r="D42" i="40"/>
  <c r="E42" i="40" s="1"/>
  <c r="D41" i="39"/>
  <c r="E41" i="39" s="1"/>
  <c r="D41" i="40"/>
  <c r="E41" i="40" s="1"/>
  <c r="E43" i="40" s="1"/>
  <c r="C74" i="22" l="1"/>
  <c r="D55" i="22" s="1"/>
  <c r="F55" i="22" l="1"/>
  <c r="E55" i="22"/>
  <c r="C55" i="22" s="1"/>
  <c r="D45" i="38"/>
  <c r="E45" i="38" s="1"/>
  <c r="H223" i="2" l="1"/>
  <c r="I223" i="2" l="1"/>
  <c r="H222" i="2"/>
  <c r="H224" i="2" l="1"/>
  <c r="AF224" i="2"/>
  <c r="AF238" i="2" s="1"/>
  <c r="AF245" i="2" s="1"/>
  <c r="AF252" i="2" s="1"/>
  <c r="AF258" i="2" s="1"/>
  <c r="I271" i="2"/>
  <c r="I259" i="2"/>
  <c r="H245" i="4" s="1"/>
  <c r="AF265" i="2" l="1"/>
  <c r="AF267" i="2" s="1"/>
  <c r="AF269" i="2" s="1"/>
  <c r="P250" i="2" l="1"/>
  <c r="P236" i="2"/>
  <c r="P215" i="2"/>
  <c r="P208" i="2"/>
  <c r="P194" i="2"/>
  <c r="P192" i="2"/>
  <c r="P190" i="2"/>
  <c r="P173" i="2"/>
  <c r="P168" i="2"/>
  <c r="P162" i="2"/>
  <c r="P153" i="2"/>
  <c r="P129" i="2"/>
  <c r="P112" i="2"/>
  <c r="P86" i="2"/>
  <c r="P78" i="2"/>
  <c r="P66" i="2"/>
  <c r="P68" i="2" s="1"/>
  <c r="P54" i="2"/>
  <c r="P50" i="2"/>
  <c r="P46" i="2"/>
  <c r="P31" i="2"/>
  <c r="P19" i="2"/>
  <c r="P217" i="2" l="1"/>
  <c r="P242" i="2" s="1"/>
  <c r="P56" i="2"/>
  <c r="P88" i="2"/>
  <c r="P196" i="2"/>
  <c r="P241" i="2" s="1"/>
  <c r="P243" i="2" s="1"/>
  <c r="P238" i="2"/>
  <c r="P245" i="2" l="1"/>
  <c r="P252" i="2" s="1"/>
  <c r="P258" i="2" s="1"/>
  <c r="P265" i="2" s="1"/>
  <c r="P267" i="2" s="1"/>
  <c r="P269" i="2" s="1"/>
  <c r="P90" i="2"/>
  <c r="G78" i="2"/>
  <c r="G88" i="2" s="1"/>
  <c r="G19" i="2"/>
  <c r="G190" i="2" l="1"/>
  <c r="G168" i="2"/>
  <c r="G153" i="2"/>
  <c r="I27" i="12" l="1"/>
  <c r="I30" i="12" s="1"/>
  <c r="J16" i="12"/>
  <c r="J15" i="12"/>
  <c r="J14" i="12"/>
  <c r="F19" i="12"/>
  <c r="F18" i="12"/>
  <c r="F17" i="12"/>
  <c r="F12" i="12"/>
  <c r="F11" i="12"/>
  <c r="F10" i="12"/>
  <c r="C27" i="12" l="1"/>
  <c r="C30" i="12" s="1"/>
  <c r="C28" i="12"/>
  <c r="C31" i="12" s="1"/>
  <c r="J9" i="12"/>
  <c r="J13" i="12"/>
  <c r="F13" i="12"/>
  <c r="F14" i="12"/>
  <c r="J10" i="12"/>
  <c r="J18" i="12"/>
  <c r="J17" i="12"/>
  <c r="F15" i="12"/>
  <c r="J11" i="12"/>
  <c r="J19" i="12"/>
  <c r="F16" i="12"/>
  <c r="J12" i="12"/>
  <c r="J20" i="12"/>
  <c r="F20" i="12"/>
  <c r="F9" i="12"/>
  <c r="D28" i="12"/>
  <c r="D31" i="12" s="1"/>
  <c r="D27" i="12"/>
  <c r="D30" i="12" s="1"/>
  <c r="E27" i="12"/>
  <c r="E28" i="12"/>
  <c r="E31" i="12" s="1"/>
  <c r="E30" i="12" s="1"/>
  <c r="G28" i="12"/>
  <c r="G31" i="12" s="1"/>
  <c r="G27" i="12"/>
  <c r="G30" i="12" s="1"/>
  <c r="H27" i="12"/>
  <c r="H30" i="12" s="1"/>
  <c r="H28" i="12"/>
  <c r="H31" i="12" s="1"/>
  <c r="I28" i="12"/>
  <c r="I31" i="12" s="1"/>
  <c r="F73" i="22"/>
  <c r="D71" i="22"/>
  <c r="F30" i="12" l="1"/>
  <c r="J34" i="12"/>
  <c r="F34" i="12"/>
  <c r="I32" i="12"/>
  <c r="D72" i="22"/>
  <c r="D70" i="22"/>
  <c r="D69" i="22"/>
  <c r="J27" i="12"/>
  <c r="J30" i="12" s="1"/>
  <c r="J28" i="12"/>
  <c r="J31" i="12" s="1"/>
  <c r="H32" i="12"/>
  <c r="F40" i="12"/>
  <c r="F41" i="12" s="1"/>
  <c r="F28" i="12"/>
  <c r="F31" i="12" s="1"/>
  <c r="F27" i="12"/>
  <c r="E32" i="12"/>
  <c r="G32" i="12"/>
  <c r="G35" i="12" s="1"/>
  <c r="D32" i="12"/>
  <c r="C32" i="12"/>
  <c r="C35" i="12" s="1"/>
  <c r="C33" i="22"/>
  <c r="C73" i="22"/>
  <c r="C32" i="22"/>
  <c r="D54" i="22" l="1"/>
  <c r="L13" i="5"/>
  <c r="J32" i="12"/>
  <c r="I37" i="12" s="1"/>
  <c r="I35" i="12"/>
  <c r="C38" i="12"/>
  <c r="H35" i="12"/>
  <c r="D35" i="12"/>
  <c r="D38" i="12" s="1"/>
  <c r="F32" i="12"/>
  <c r="F54" i="22"/>
  <c r="E54" i="22"/>
  <c r="E38" i="12" l="1"/>
  <c r="C46" i="40" s="1"/>
  <c r="M13" i="5"/>
  <c r="O50" i="6" s="1"/>
  <c r="F35" i="12"/>
  <c r="F46" i="22"/>
  <c r="J35" i="12"/>
  <c r="H37" i="12"/>
  <c r="E46" i="22" s="1"/>
  <c r="E37" i="12"/>
  <c r="F48" i="22" s="1"/>
  <c r="F42" i="12"/>
  <c r="F43" i="12" s="1"/>
  <c r="E7" i="5" s="1"/>
  <c r="F7" i="5" s="1"/>
  <c r="G37" i="12"/>
  <c r="C37" i="12"/>
  <c r="D48" i="22" s="1"/>
  <c r="D37" i="12"/>
  <c r="E48" i="22" s="1"/>
  <c r="C54" i="22"/>
  <c r="O13" i="5" l="1"/>
  <c r="O7" i="5"/>
  <c r="D46" i="22"/>
  <c r="J37" i="12"/>
  <c r="F37" i="12"/>
  <c r="G112" i="2" l="1"/>
  <c r="G196" i="2" s="1"/>
  <c r="G192" i="2"/>
  <c r="G241" i="2" l="1"/>
  <c r="P16" i="6"/>
  <c r="N61" i="6"/>
  <c r="N60" i="6"/>
  <c r="N56" i="6"/>
  <c r="N55" i="6"/>
  <c r="N54" i="6"/>
  <c r="N50" i="6"/>
  <c r="N40" i="6"/>
  <c r="N38" i="6"/>
  <c r="N31" i="6"/>
  <c r="N30" i="6"/>
  <c r="N23" i="6"/>
  <c r="N20" i="6"/>
  <c r="N19" i="6"/>
  <c r="N15" i="6"/>
  <c r="N16" i="6" s="1"/>
  <c r="N11" i="6"/>
  <c r="N8" i="6"/>
  <c r="N7" i="6"/>
  <c r="L12" i="5" l="1"/>
  <c r="O12" i="5" s="1"/>
  <c r="L10" i="5"/>
  <c r="N49" i="6" l="1"/>
  <c r="N48" i="6"/>
  <c r="N39" i="6"/>
  <c r="N47" i="6"/>
  <c r="N41" i="6"/>
  <c r="N12" i="6"/>
  <c r="N21" i="6"/>
  <c r="N62" i="6"/>
  <c r="N9" i="6"/>
  <c r="N24" i="6"/>
  <c r="N57" i="6"/>
  <c r="AE194" i="2"/>
  <c r="AB194" i="2"/>
  <c r="AA194" i="2"/>
  <c r="Z194" i="2"/>
  <c r="Y194" i="2"/>
  <c r="W194" i="2"/>
  <c r="X194" i="2"/>
  <c r="V194" i="2"/>
  <c r="U194" i="2"/>
  <c r="T194" i="2"/>
  <c r="S194" i="2"/>
  <c r="R194" i="2"/>
  <c r="Q194" i="2"/>
  <c r="G194" i="2"/>
  <c r="AE192" i="2"/>
  <c r="AB192" i="2"/>
  <c r="AA192" i="2"/>
  <c r="Z192" i="2"/>
  <c r="Y192" i="2"/>
  <c r="W192" i="2"/>
  <c r="X192" i="2"/>
  <c r="V192" i="2"/>
  <c r="U192" i="2"/>
  <c r="T192" i="2"/>
  <c r="S192" i="2"/>
  <c r="R192" i="2"/>
  <c r="Q192" i="2"/>
  <c r="I159" i="2"/>
  <c r="H155" i="4" s="1"/>
  <c r="I127" i="2"/>
  <c r="H123" i="4" s="1"/>
  <c r="I126" i="2"/>
  <c r="H122" i="4" s="1"/>
  <c r="I125" i="2"/>
  <c r="H121" i="4" s="1"/>
  <c r="I124" i="2"/>
  <c r="H120" i="4" s="1"/>
  <c r="I123" i="2"/>
  <c r="H119" i="4" s="1"/>
  <c r="I122" i="2"/>
  <c r="H118" i="4" s="1"/>
  <c r="I121" i="2"/>
  <c r="H117" i="4" s="1"/>
  <c r="I36" i="2"/>
  <c r="H33" i="4" s="1"/>
  <c r="I29" i="2"/>
  <c r="H26" i="4" s="1"/>
  <c r="I28" i="2"/>
  <c r="H25" i="4" s="1"/>
  <c r="I27" i="2"/>
  <c r="H24" i="4" s="1"/>
  <c r="I26" i="2"/>
  <c r="H23" i="4" s="1"/>
  <c r="I25" i="2"/>
  <c r="H22" i="4" s="1"/>
  <c r="I24" i="2"/>
  <c r="H21" i="4" s="1"/>
  <c r="I23" i="2"/>
  <c r="H20" i="4" s="1"/>
  <c r="I22" i="2"/>
  <c r="H19" i="4" s="1"/>
  <c r="I30" i="2"/>
  <c r="AE31" i="2"/>
  <c r="AB31" i="2"/>
  <c r="AA31" i="2"/>
  <c r="Z31" i="2"/>
  <c r="Y31" i="2"/>
  <c r="W31" i="2"/>
  <c r="X31" i="2"/>
  <c r="V31" i="2"/>
  <c r="U31" i="2"/>
  <c r="T31" i="2"/>
  <c r="S31" i="2"/>
  <c r="R31" i="2"/>
  <c r="Q31" i="2"/>
  <c r="G31" i="2"/>
  <c r="I16" i="2"/>
  <c r="H13" i="4" s="1"/>
  <c r="I15" i="2"/>
  <c r="H12" i="4" s="1"/>
  <c r="R13" i="4" l="1"/>
  <c r="S13" i="4"/>
  <c r="R19" i="4"/>
  <c r="S19" i="4"/>
  <c r="J33" i="4"/>
  <c r="S33" i="4"/>
  <c r="R33" i="4"/>
  <c r="R155" i="4"/>
  <c r="S155" i="4"/>
  <c r="S20" i="4"/>
  <c r="R20" i="4"/>
  <c r="R24" i="4"/>
  <c r="S24" i="4"/>
  <c r="R117" i="4"/>
  <c r="S117" i="4"/>
  <c r="R21" i="4"/>
  <c r="S21" i="4"/>
  <c r="R118" i="4"/>
  <c r="S118" i="4"/>
  <c r="R22" i="4"/>
  <c r="S22" i="4"/>
  <c r="R119" i="4"/>
  <c r="S119" i="4"/>
  <c r="R23" i="4"/>
  <c r="S23" i="4"/>
  <c r="R120" i="4"/>
  <c r="S120" i="4"/>
  <c r="R25" i="4"/>
  <c r="S25" i="4"/>
  <c r="R122" i="4"/>
  <c r="S122" i="4"/>
  <c r="R121" i="4"/>
  <c r="S121" i="4"/>
  <c r="R12" i="4"/>
  <c r="S12" i="4"/>
  <c r="R26" i="4"/>
  <c r="S26" i="4"/>
  <c r="R123" i="4"/>
  <c r="S123" i="4"/>
  <c r="Q13" i="4"/>
  <c r="Q20" i="4"/>
  <c r="Q22" i="4"/>
  <c r="Q24" i="4"/>
  <c r="Q26" i="4"/>
  <c r="Q12" i="4"/>
  <c r="Q19" i="4"/>
  <c r="Q21" i="4"/>
  <c r="Q23" i="4"/>
  <c r="Q25" i="4"/>
  <c r="Q33" i="4"/>
  <c r="Q155" i="4"/>
  <c r="Q120" i="4"/>
  <c r="Q117" i="4"/>
  <c r="Q119" i="4"/>
  <c r="Q121" i="4"/>
  <c r="Q123" i="4"/>
  <c r="Q118" i="4"/>
  <c r="Q122" i="4"/>
  <c r="P118" i="4"/>
  <c r="P120" i="4"/>
  <c r="J155" i="4"/>
  <c r="L155" i="4"/>
  <c r="N155" i="4"/>
  <c r="P155" i="4"/>
  <c r="I155" i="4"/>
  <c r="K155" i="4"/>
  <c r="M155" i="4"/>
  <c r="O155" i="4"/>
  <c r="I118" i="4"/>
  <c r="K118" i="4"/>
  <c r="M118" i="4"/>
  <c r="O118" i="4"/>
  <c r="J119" i="4"/>
  <c r="L119" i="4"/>
  <c r="N119" i="4"/>
  <c r="P119" i="4"/>
  <c r="I120" i="4"/>
  <c r="K120" i="4"/>
  <c r="M120" i="4"/>
  <c r="O120" i="4"/>
  <c r="J121" i="4"/>
  <c r="L121" i="4"/>
  <c r="N121" i="4"/>
  <c r="P121" i="4"/>
  <c r="J118" i="4"/>
  <c r="L118" i="4"/>
  <c r="N118" i="4"/>
  <c r="I119" i="4"/>
  <c r="K119" i="4"/>
  <c r="M119" i="4"/>
  <c r="O119" i="4"/>
  <c r="J120" i="4"/>
  <c r="L120" i="4"/>
  <c r="N120" i="4"/>
  <c r="I121" i="4"/>
  <c r="K121" i="4"/>
  <c r="M121" i="4"/>
  <c r="O121" i="4"/>
  <c r="P33" i="4"/>
  <c r="O33" i="4"/>
  <c r="K33" i="4"/>
  <c r="M33" i="4"/>
  <c r="I33" i="4"/>
  <c r="L33" i="4"/>
  <c r="N33" i="4"/>
  <c r="P19" i="4"/>
  <c r="N19" i="4"/>
  <c r="L19" i="4"/>
  <c r="J19" i="4"/>
  <c r="O19" i="4"/>
  <c r="M19" i="4"/>
  <c r="K19" i="4"/>
  <c r="I19" i="4"/>
  <c r="P21" i="4"/>
  <c r="N21" i="4"/>
  <c r="L21" i="4"/>
  <c r="J21" i="4"/>
  <c r="O21" i="4"/>
  <c r="M21" i="4"/>
  <c r="K21" i="4"/>
  <c r="I21" i="4"/>
  <c r="P23" i="4"/>
  <c r="N23" i="4"/>
  <c r="L23" i="4"/>
  <c r="J23" i="4"/>
  <c r="O23" i="4"/>
  <c r="M23" i="4"/>
  <c r="K23" i="4"/>
  <c r="I23" i="4"/>
  <c r="P25" i="4"/>
  <c r="N25" i="4"/>
  <c r="L25" i="4"/>
  <c r="J25" i="4"/>
  <c r="O25" i="4"/>
  <c r="M25" i="4"/>
  <c r="K25" i="4"/>
  <c r="I25" i="4"/>
  <c r="O20" i="4"/>
  <c r="M20" i="4"/>
  <c r="K20" i="4"/>
  <c r="I20" i="4"/>
  <c r="P20" i="4"/>
  <c r="N20" i="4"/>
  <c r="L20" i="4"/>
  <c r="J20" i="4"/>
  <c r="O22" i="4"/>
  <c r="M22" i="4"/>
  <c r="K22" i="4"/>
  <c r="I22" i="4"/>
  <c r="P22" i="4"/>
  <c r="N22" i="4"/>
  <c r="L22" i="4"/>
  <c r="J22" i="4"/>
  <c r="O24" i="4"/>
  <c r="M24" i="4"/>
  <c r="K24" i="4"/>
  <c r="I24" i="4"/>
  <c r="P24" i="4"/>
  <c r="N24" i="4"/>
  <c r="L24" i="4"/>
  <c r="J24" i="4"/>
  <c r="O26" i="4"/>
  <c r="M26" i="4"/>
  <c r="K26" i="4"/>
  <c r="I26" i="4"/>
  <c r="P26" i="4"/>
  <c r="N26" i="4"/>
  <c r="L26" i="4"/>
  <c r="J26" i="4"/>
  <c r="K12" i="4"/>
  <c r="O12" i="4"/>
  <c r="I12" i="4"/>
  <c r="M12" i="4"/>
  <c r="J12" i="4"/>
  <c r="L12" i="4"/>
  <c r="N12" i="4"/>
  <c r="P12" i="4"/>
  <c r="I13" i="4"/>
  <c r="K13" i="4"/>
  <c r="M13" i="4"/>
  <c r="O13" i="4"/>
  <c r="J13" i="4"/>
  <c r="L13" i="4"/>
  <c r="N13" i="4"/>
  <c r="P13" i="4"/>
  <c r="T155" i="4" l="1"/>
  <c r="T118" i="4"/>
  <c r="T120" i="4"/>
  <c r="T119" i="4"/>
  <c r="T121" i="4"/>
  <c r="T19" i="4"/>
  <c r="T33" i="4"/>
  <c r="T23" i="4"/>
  <c r="T25" i="4"/>
  <c r="T21" i="4"/>
  <c r="T26" i="4"/>
  <c r="T24" i="4"/>
  <c r="T20" i="4"/>
  <c r="T22" i="4"/>
  <c r="T13" i="4"/>
  <c r="T12" i="4"/>
  <c r="A47" i="22" l="1"/>
  <c r="A48" i="22" s="1"/>
  <c r="A49" i="22" s="1"/>
  <c r="A50" i="22" s="1"/>
  <c r="A51" i="22" s="1"/>
  <c r="A52" i="22" s="1"/>
  <c r="A53" i="22" s="1"/>
  <c r="A54" i="22" s="1"/>
  <c r="A55" i="22" l="1"/>
  <c r="A56" i="22" s="1"/>
  <c r="A60" i="22" s="1"/>
  <c r="A61" i="22" s="1"/>
  <c r="A62" i="22" s="1"/>
  <c r="A63" i="22" s="1"/>
  <c r="A64" i="22" s="1"/>
  <c r="A65" i="22" l="1"/>
  <c r="A66" i="22" s="1"/>
  <c r="A68" i="22" s="1"/>
  <c r="A69" i="22" s="1"/>
  <c r="A70" i="22" s="1"/>
  <c r="A71" i="22" s="1"/>
  <c r="A72" i="22" s="1"/>
  <c r="A73" i="22" s="1"/>
  <c r="A74" i="22" s="1"/>
  <c r="D54" i="38" l="1"/>
  <c r="C37" i="22"/>
  <c r="D66" i="38"/>
  <c r="D53" i="38" l="1"/>
  <c r="D55" i="38" s="1"/>
  <c r="D48" i="39" l="1"/>
  <c r="D50" i="39" s="1"/>
  <c r="D59" i="40" l="1"/>
  <c r="D61" i="40" s="1"/>
  <c r="I204" i="2"/>
  <c r="I161" i="2"/>
  <c r="I109" i="2"/>
  <c r="H31" i="2"/>
  <c r="C36" i="22" l="1"/>
  <c r="E69" i="22"/>
  <c r="E72" i="22"/>
  <c r="E70" i="22"/>
  <c r="C31" i="22"/>
  <c r="C22" i="22"/>
  <c r="D47" i="22" l="1"/>
  <c r="D56" i="22"/>
  <c r="C69" i="22"/>
  <c r="F56" i="22"/>
  <c r="E56" i="22"/>
  <c r="F47" i="22"/>
  <c r="E47" i="22"/>
  <c r="C72" i="22"/>
  <c r="E53" i="22" s="1"/>
  <c r="C71" i="22"/>
  <c r="C70" i="22"/>
  <c r="E51" i="22" s="1"/>
  <c r="F7" i="6"/>
  <c r="G7" i="6"/>
  <c r="H7" i="6"/>
  <c r="I7" i="6"/>
  <c r="J7" i="6"/>
  <c r="K7" i="6"/>
  <c r="L7" i="6"/>
  <c r="M7" i="6"/>
  <c r="F8" i="6"/>
  <c r="G8" i="6"/>
  <c r="H8" i="6"/>
  <c r="I8" i="6"/>
  <c r="J8" i="6"/>
  <c r="K8" i="6"/>
  <c r="L8" i="6"/>
  <c r="M8" i="6"/>
  <c r="E9" i="6"/>
  <c r="F11" i="6"/>
  <c r="G11" i="6"/>
  <c r="H11" i="6"/>
  <c r="I11" i="6"/>
  <c r="J11" i="6"/>
  <c r="K11" i="6"/>
  <c r="L11" i="6"/>
  <c r="M11" i="6"/>
  <c r="E12" i="6"/>
  <c r="F15" i="6"/>
  <c r="F16" i="6" s="1"/>
  <c r="G15" i="6"/>
  <c r="G16" i="6" s="1"/>
  <c r="H15" i="6"/>
  <c r="H16" i="6" s="1"/>
  <c r="I15" i="6"/>
  <c r="I16" i="6" s="1"/>
  <c r="J15" i="6"/>
  <c r="J16" i="6" s="1"/>
  <c r="K15" i="6"/>
  <c r="K16" i="6" s="1"/>
  <c r="L15" i="6"/>
  <c r="L16" i="6" s="1"/>
  <c r="M15" i="6"/>
  <c r="M16" i="6" s="1"/>
  <c r="E16" i="6"/>
  <c r="F19" i="6"/>
  <c r="G19" i="6"/>
  <c r="H19" i="6"/>
  <c r="I19" i="6"/>
  <c r="J19" i="6"/>
  <c r="K19" i="6"/>
  <c r="L19" i="6"/>
  <c r="M19" i="6"/>
  <c r="F20" i="6"/>
  <c r="G20" i="6"/>
  <c r="H20" i="6"/>
  <c r="I20" i="6"/>
  <c r="J20" i="6"/>
  <c r="K20" i="6"/>
  <c r="L20" i="6"/>
  <c r="M20" i="6"/>
  <c r="E21" i="6"/>
  <c r="F23" i="6"/>
  <c r="G23" i="6"/>
  <c r="H23" i="6"/>
  <c r="I23" i="6"/>
  <c r="J23" i="6"/>
  <c r="K23" i="6"/>
  <c r="L23" i="6"/>
  <c r="M23" i="6"/>
  <c r="E24" i="6"/>
  <c r="F30" i="6"/>
  <c r="G30" i="6"/>
  <c r="H30" i="6"/>
  <c r="I30" i="6"/>
  <c r="J30" i="6"/>
  <c r="K30" i="6"/>
  <c r="L30" i="6"/>
  <c r="M30" i="6"/>
  <c r="F31" i="6"/>
  <c r="G31" i="6"/>
  <c r="H31" i="6"/>
  <c r="I31" i="6"/>
  <c r="J31" i="6"/>
  <c r="K31" i="6"/>
  <c r="L31" i="6"/>
  <c r="M31" i="6"/>
  <c r="E35" i="6"/>
  <c r="F38" i="6"/>
  <c r="G38" i="6"/>
  <c r="H38" i="6"/>
  <c r="I38" i="6"/>
  <c r="J38" i="6"/>
  <c r="K38" i="6"/>
  <c r="L38" i="6"/>
  <c r="M38" i="6"/>
  <c r="F39" i="6"/>
  <c r="G39" i="6"/>
  <c r="H39" i="6"/>
  <c r="J39" i="6"/>
  <c r="K39" i="6"/>
  <c r="F40" i="6"/>
  <c r="G40" i="6"/>
  <c r="H40" i="6"/>
  <c r="I40" i="6"/>
  <c r="J40" i="6"/>
  <c r="K40" i="6"/>
  <c r="L40" i="6"/>
  <c r="M40" i="6"/>
  <c r="F41" i="6"/>
  <c r="G41" i="6"/>
  <c r="H41" i="6"/>
  <c r="J41" i="6"/>
  <c r="K41" i="6"/>
  <c r="L41" i="6"/>
  <c r="E43" i="6"/>
  <c r="F47" i="6"/>
  <c r="G47" i="6"/>
  <c r="H47" i="6"/>
  <c r="J47" i="6"/>
  <c r="K47" i="6"/>
  <c r="L47" i="6"/>
  <c r="F48" i="6"/>
  <c r="G48" i="6"/>
  <c r="H48" i="6"/>
  <c r="I48" i="6"/>
  <c r="J48" i="6"/>
  <c r="K48" i="6"/>
  <c r="L48" i="6"/>
  <c r="M48" i="6"/>
  <c r="F49" i="6"/>
  <c r="G49" i="6"/>
  <c r="H49" i="6"/>
  <c r="I49" i="6"/>
  <c r="J49" i="6"/>
  <c r="K49" i="6"/>
  <c r="L49" i="6"/>
  <c r="M49" i="6"/>
  <c r="F50" i="6"/>
  <c r="G50" i="6"/>
  <c r="H50" i="6"/>
  <c r="I50" i="6"/>
  <c r="J50" i="6"/>
  <c r="K50" i="6"/>
  <c r="L50" i="6"/>
  <c r="M50" i="6"/>
  <c r="E51" i="6"/>
  <c r="F54" i="6"/>
  <c r="G54" i="6"/>
  <c r="H54" i="6"/>
  <c r="I54" i="6"/>
  <c r="J54" i="6"/>
  <c r="K54" i="6"/>
  <c r="L54" i="6"/>
  <c r="M54" i="6"/>
  <c r="F55" i="6"/>
  <c r="G55" i="6"/>
  <c r="H55" i="6"/>
  <c r="I55" i="6"/>
  <c r="J55" i="6"/>
  <c r="K55" i="6"/>
  <c r="L55" i="6"/>
  <c r="M55" i="6"/>
  <c r="F56" i="6"/>
  <c r="G56" i="6"/>
  <c r="H56" i="6"/>
  <c r="I56" i="6"/>
  <c r="J56" i="6"/>
  <c r="K56" i="6"/>
  <c r="L56" i="6"/>
  <c r="M56" i="6"/>
  <c r="E57" i="6"/>
  <c r="F60" i="6"/>
  <c r="G60" i="6"/>
  <c r="H60" i="6"/>
  <c r="I60" i="6"/>
  <c r="J60" i="6"/>
  <c r="K60" i="6"/>
  <c r="L60" i="6"/>
  <c r="M60" i="6"/>
  <c r="F61" i="6"/>
  <c r="G61" i="6"/>
  <c r="H61" i="6"/>
  <c r="I61" i="6"/>
  <c r="J61" i="6"/>
  <c r="K61" i="6"/>
  <c r="L61" i="6"/>
  <c r="M61" i="6"/>
  <c r="E62" i="6"/>
  <c r="E72" i="6"/>
  <c r="E76" i="6"/>
  <c r="E79" i="6" s="1"/>
  <c r="A7" i="5"/>
  <c r="A8" i="5" s="1"/>
  <c r="A9" i="5" s="1"/>
  <c r="A10" i="5" s="1"/>
  <c r="A11" i="5" s="1"/>
  <c r="A12" i="5" s="1"/>
  <c r="A13" i="5" s="1"/>
  <c r="A14" i="5" s="1"/>
  <c r="A15" i="5" s="1"/>
  <c r="J10" i="5"/>
  <c r="K10" i="5"/>
  <c r="T184" i="4"/>
  <c r="A124" i="2"/>
  <c r="A125" i="2" s="1"/>
  <c r="A126" i="2" s="1"/>
  <c r="A127" i="2" s="1"/>
  <c r="A128" i="2" s="1"/>
  <c r="A129" i="2" s="1"/>
  <c r="A133" i="2" s="1"/>
  <c r="A134" i="2" s="1"/>
  <c r="A135" i="2" s="1"/>
  <c r="A136" i="2" s="1"/>
  <c r="A137" i="2" s="1"/>
  <c r="A138" i="2" s="1"/>
  <c r="A139" i="2" s="1"/>
  <c r="A140" i="2" s="1"/>
  <c r="A141" i="2" s="1"/>
  <c r="A142" i="2" s="1"/>
  <c r="A144" i="2" s="1"/>
  <c r="A145" i="2" s="1"/>
  <c r="A146" i="2" s="1"/>
  <c r="A147" i="2" s="1"/>
  <c r="A148" i="2" s="1"/>
  <c r="A149" i="2" s="1"/>
  <c r="A150" i="2" s="1"/>
  <c r="A151" i="2" s="1"/>
  <c r="A152" i="2" s="1"/>
  <c r="A153" i="2" s="1"/>
  <c r="A156" i="2" s="1"/>
  <c r="A157" i="2" s="1"/>
  <c r="A158" i="2" s="1"/>
  <c r="A159" i="2" s="1"/>
  <c r="A160" i="2" s="1"/>
  <c r="A161" i="2" s="1"/>
  <c r="A162" i="2" s="1"/>
  <c r="A165" i="2" s="1"/>
  <c r="A166" i="2" s="1"/>
  <c r="A167" i="2" s="1"/>
  <c r="A168" i="2" s="1"/>
  <c r="A171" i="2" s="1"/>
  <c r="A172" i="2" s="1"/>
  <c r="A173" i="2" s="1"/>
  <c r="A177" i="2" s="1"/>
  <c r="A178" i="2" s="1"/>
  <c r="A179" i="2" s="1"/>
  <c r="A180" i="2" s="1"/>
  <c r="A181" i="2" s="1"/>
  <c r="A182" i="2" s="1"/>
  <c r="A183" i="2" s="1"/>
  <c r="A184" i="2" s="1"/>
  <c r="A185" i="2" s="1"/>
  <c r="A186" i="2" s="1"/>
  <c r="A187" i="2" s="1"/>
  <c r="A189" i="2" s="1"/>
  <c r="A190" i="2" s="1"/>
  <c r="A192" i="2" s="1"/>
  <c r="A194" i="2" s="1"/>
  <c r="A196" i="2" s="1"/>
  <c r="A201" i="2" s="1"/>
  <c r="A202" i="2" s="1"/>
  <c r="A203" i="2" s="1"/>
  <c r="A204" i="2" s="1"/>
  <c r="A205" i="2" s="1"/>
  <c r="A206" i="2" s="1"/>
  <c r="A207" i="2" s="1"/>
  <c r="A208" i="2" s="1"/>
  <c r="A211" i="2" s="1"/>
  <c r="A212" i="2" s="1"/>
  <c r="A213" i="2" s="1"/>
  <c r="A214" i="2" s="1"/>
  <c r="A215" i="2" s="1"/>
  <c r="A217" i="2" s="1"/>
  <c r="A222" i="2" s="1"/>
  <c r="A223" i="2" s="1"/>
  <c r="A224" i="2" s="1"/>
  <c r="A227" i="2" s="1"/>
  <c r="A228" i="2" s="1"/>
  <c r="A229" i="2" s="1"/>
  <c r="A230" i="2" s="1"/>
  <c r="A231" i="2" s="1"/>
  <c r="A232" i="2" s="1"/>
  <c r="A233" i="2" s="1"/>
  <c r="A234" i="2" s="1"/>
  <c r="A235" i="2" s="1"/>
  <c r="A236" i="2" s="1"/>
  <c r="I13" i="2"/>
  <c r="H10" i="4" s="1"/>
  <c r="I14" i="2"/>
  <c r="H11" i="4" s="1"/>
  <c r="I17" i="2"/>
  <c r="H14" i="4" s="1"/>
  <c r="I18" i="2"/>
  <c r="H15" i="4" s="1"/>
  <c r="Q19" i="2"/>
  <c r="R19" i="2"/>
  <c r="S19" i="2"/>
  <c r="T19" i="2"/>
  <c r="U19" i="2"/>
  <c r="V19" i="2"/>
  <c r="X19" i="2"/>
  <c r="W19" i="2"/>
  <c r="Y19" i="2"/>
  <c r="Z19" i="2"/>
  <c r="AA19" i="2"/>
  <c r="AB19" i="2"/>
  <c r="AE19" i="2"/>
  <c r="I31" i="2"/>
  <c r="I34" i="2"/>
  <c r="I37" i="2"/>
  <c r="H34" i="4" s="1"/>
  <c r="I38" i="2"/>
  <c r="H35" i="4" s="1"/>
  <c r="I39" i="2"/>
  <c r="H36" i="4" s="1"/>
  <c r="I40" i="2"/>
  <c r="H37" i="4" s="1"/>
  <c r="I41" i="2"/>
  <c r="H38" i="4" s="1"/>
  <c r="I42" i="2"/>
  <c r="H39" i="4" s="1"/>
  <c r="I43" i="2"/>
  <c r="I44" i="2"/>
  <c r="I45" i="2"/>
  <c r="H46" i="2"/>
  <c r="Q46" i="2"/>
  <c r="R46" i="2"/>
  <c r="S46" i="2"/>
  <c r="T46" i="2"/>
  <c r="U46" i="2"/>
  <c r="V46" i="2"/>
  <c r="X46" i="2"/>
  <c r="W46" i="2"/>
  <c r="Y46" i="2"/>
  <c r="Z46" i="2"/>
  <c r="AA46" i="2"/>
  <c r="AB46" i="2"/>
  <c r="AE46" i="2"/>
  <c r="I49" i="2"/>
  <c r="H46" i="4" s="1"/>
  <c r="G50" i="2"/>
  <c r="G56" i="2" s="1"/>
  <c r="Q50" i="2"/>
  <c r="R50" i="2"/>
  <c r="S50" i="2"/>
  <c r="T50" i="2"/>
  <c r="U50" i="2"/>
  <c r="V50" i="2"/>
  <c r="X50" i="2"/>
  <c r="W50" i="2"/>
  <c r="Y50" i="2"/>
  <c r="Z50" i="2"/>
  <c r="AA50" i="2"/>
  <c r="AB50" i="2"/>
  <c r="AE50" i="2"/>
  <c r="I53" i="2"/>
  <c r="Q54" i="2"/>
  <c r="R54" i="2"/>
  <c r="S54" i="2"/>
  <c r="T54" i="2"/>
  <c r="U54" i="2"/>
  <c r="V54" i="2"/>
  <c r="X54" i="2"/>
  <c r="W54" i="2"/>
  <c r="Y54" i="2"/>
  <c r="Z54" i="2"/>
  <c r="AA54" i="2"/>
  <c r="AB54" i="2"/>
  <c r="AE54" i="2"/>
  <c r="I61" i="2"/>
  <c r="H57" i="4" s="1"/>
  <c r="I62" i="2"/>
  <c r="H58" i="4" s="1"/>
  <c r="I63" i="2"/>
  <c r="H59" i="4" s="1"/>
  <c r="I65" i="2"/>
  <c r="H61" i="4" s="1"/>
  <c r="Q66" i="2"/>
  <c r="Q68" i="2" s="1"/>
  <c r="R66" i="2"/>
  <c r="R68" i="2" s="1"/>
  <c r="S66" i="2"/>
  <c r="S68" i="2" s="1"/>
  <c r="T66" i="2"/>
  <c r="T68" i="2" s="1"/>
  <c r="U66" i="2"/>
  <c r="U68" i="2" s="1"/>
  <c r="V66" i="2"/>
  <c r="V68" i="2" s="1"/>
  <c r="X66" i="2"/>
  <c r="X68" i="2" s="1"/>
  <c r="W66" i="2"/>
  <c r="W68" i="2" s="1"/>
  <c r="Y66" i="2"/>
  <c r="Y68" i="2" s="1"/>
  <c r="Z66" i="2"/>
  <c r="Z68" i="2" s="1"/>
  <c r="AA66" i="2"/>
  <c r="AA68" i="2" s="1"/>
  <c r="AB66" i="2"/>
  <c r="AB68" i="2" s="1"/>
  <c r="AE66" i="2"/>
  <c r="AE68" i="2" s="1"/>
  <c r="I74" i="2"/>
  <c r="H70" i="4" s="1"/>
  <c r="I75" i="2"/>
  <c r="H71" i="4" s="1"/>
  <c r="I76" i="2"/>
  <c r="H72" i="4" s="1"/>
  <c r="Q78" i="2"/>
  <c r="R78" i="2"/>
  <c r="S78" i="2"/>
  <c r="T78" i="2"/>
  <c r="U78" i="2"/>
  <c r="V78" i="2"/>
  <c r="X78" i="2"/>
  <c r="W78" i="2"/>
  <c r="Y78" i="2"/>
  <c r="Z78" i="2"/>
  <c r="AA78" i="2"/>
  <c r="AB78" i="2"/>
  <c r="AE78" i="2"/>
  <c r="I80" i="2"/>
  <c r="H76" i="4" s="1"/>
  <c r="I82" i="2"/>
  <c r="H78" i="4" s="1"/>
  <c r="I83" i="2"/>
  <c r="H79" i="4" s="1"/>
  <c r="I84" i="2"/>
  <c r="H80" i="4" s="1"/>
  <c r="I85" i="2"/>
  <c r="H81" i="4" s="1"/>
  <c r="H86" i="2"/>
  <c r="Q86" i="2"/>
  <c r="R86" i="2"/>
  <c r="S86" i="2"/>
  <c r="T86" i="2"/>
  <c r="U86" i="2"/>
  <c r="V86" i="2"/>
  <c r="X86" i="2"/>
  <c r="W86" i="2"/>
  <c r="Y86" i="2"/>
  <c r="Z86" i="2"/>
  <c r="AA86" i="2"/>
  <c r="AB86" i="2"/>
  <c r="AE86" i="2"/>
  <c r="I97" i="2"/>
  <c r="I98" i="2"/>
  <c r="H94" i="4" s="1"/>
  <c r="I99" i="2"/>
  <c r="H95" i="4" s="1"/>
  <c r="I100" i="2"/>
  <c r="H96" i="4" s="1"/>
  <c r="I101" i="2"/>
  <c r="H97" i="4" s="1"/>
  <c r="I102" i="2"/>
  <c r="H98" i="4" s="1"/>
  <c r="I104" i="2"/>
  <c r="I105" i="2"/>
  <c r="H101" i="4" s="1"/>
  <c r="I106" i="2"/>
  <c r="H102" i="4" s="1"/>
  <c r="I110" i="2"/>
  <c r="H106" i="4" s="1"/>
  <c r="I111" i="2"/>
  <c r="H107" i="4" s="1"/>
  <c r="Q112" i="2"/>
  <c r="R112" i="2"/>
  <c r="S112" i="2"/>
  <c r="T112" i="2"/>
  <c r="U112" i="2"/>
  <c r="V112" i="2"/>
  <c r="X112" i="2"/>
  <c r="W112" i="2"/>
  <c r="Y112" i="2"/>
  <c r="Z112" i="2"/>
  <c r="AA112" i="2"/>
  <c r="AB112" i="2"/>
  <c r="AE112" i="2"/>
  <c r="Q129" i="2"/>
  <c r="S129" i="2"/>
  <c r="T129" i="2"/>
  <c r="U129" i="2"/>
  <c r="V129" i="2"/>
  <c r="X129" i="2"/>
  <c r="W129" i="2"/>
  <c r="Y129" i="2"/>
  <c r="Z129" i="2"/>
  <c r="AA129" i="2"/>
  <c r="AB129" i="2"/>
  <c r="AE129" i="2"/>
  <c r="I133" i="2"/>
  <c r="H129" i="4" s="1"/>
  <c r="I134" i="2"/>
  <c r="H130" i="4" s="1"/>
  <c r="I135" i="2"/>
  <c r="H131" i="4" s="1"/>
  <c r="I136" i="2"/>
  <c r="H132" i="4" s="1"/>
  <c r="I137" i="2"/>
  <c r="H133" i="4" s="1"/>
  <c r="I138" i="2"/>
  <c r="H134" i="4" s="1"/>
  <c r="I139" i="2"/>
  <c r="H135" i="4" s="1"/>
  <c r="I140" i="2"/>
  <c r="H136" i="4" s="1"/>
  <c r="I141" i="2"/>
  <c r="H137" i="4" s="1"/>
  <c r="I142" i="2"/>
  <c r="H138" i="4" s="1"/>
  <c r="I144" i="2"/>
  <c r="H140" i="4" s="1"/>
  <c r="I145" i="2"/>
  <c r="H141" i="4" s="1"/>
  <c r="I146" i="2"/>
  <c r="H142" i="4" s="1"/>
  <c r="I147" i="2"/>
  <c r="H143" i="4" s="1"/>
  <c r="I148" i="2"/>
  <c r="H144" i="4" s="1"/>
  <c r="I149" i="2"/>
  <c r="H145" i="4" s="1"/>
  <c r="I150" i="2"/>
  <c r="H146" i="4" s="1"/>
  <c r="I151" i="2"/>
  <c r="H147" i="4" s="1"/>
  <c r="I152" i="2"/>
  <c r="H148" i="4" s="1"/>
  <c r="Q153" i="2"/>
  <c r="R153" i="2"/>
  <c r="S153" i="2"/>
  <c r="T153" i="2"/>
  <c r="U153" i="2"/>
  <c r="V153" i="2"/>
  <c r="X153" i="2"/>
  <c r="W153" i="2"/>
  <c r="Y153" i="2"/>
  <c r="Z153" i="2"/>
  <c r="AA153" i="2"/>
  <c r="AB153" i="2"/>
  <c r="AE153" i="2"/>
  <c r="I156" i="2"/>
  <c r="H152" i="4" s="1"/>
  <c r="I157" i="2"/>
  <c r="I158" i="2"/>
  <c r="I160" i="2"/>
  <c r="Q162" i="2"/>
  <c r="R162" i="2"/>
  <c r="S162" i="2"/>
  <c r="T162" i="2"/>
  <c r="U162" i="2"/>
  <c r="V162" i="2"/>
  <c r="X162" i="2"/>
  <c r="W162" i="2"/>
  <c r="Y162" i="2"/>
  <c r="Z162" i="2"/>
  <c r="AA162" i="2"/>
  <c r="AB162" i="2"/>
  <c r="AE162" i="2"/>
  <c r="I165" i="2"/>
  <c r="H161" i="4" s="1"/>
  <c r="I166" i="2"/>
  <c r="H162" i="4" s="1"/>
  <c r="I167" i="2"/>
  <c r="H163" i="4" s="1"/>
  <c r="Q168" i="2"/>
  <c r="R168" i="2"/>
  <c r="S168" i="2"/>
  <c r="T168" i="2"/>
  <c r="U168" i="2"/>
  <c r="V168" i="2"/>
  <c r="X168" i="2"/>
  <c r="W168" i="2"/>
  <c r="Y168" i="2"/>
  <c r="Z168" i="2"/>
  <c r="AA168" i="2"/>
  <c r="AB168" i="2"/>
  <c r="AE168" i="2"/>
  <c r="I171" i="2"/>
  <c r="H167" i="4" s="1"/>
  <c r="I172" i="2"/>
  <c r="H168" i="4" s="1"/>
  <c r="Q173" i="2"/>
  <c r="R173" i="2"/>
  <c r="S173" i="2"/>
  <c r="T173" i="2"/>
  <c r="U173" i="2"/>
  <c r="V173" i="2"/>
  <c r="X173" i="2"/>
  <c r="W173" i="2"/>
  <c r="Y173" i="2"/>
  <c r="Z173" i="2"/>
  <c r="AA173" i="2"/>
  <c r="AB173" i="2"/>
  <c r="AE173" i="2"/>
  <c r="I177" i="2"/>
  <c r="H173" i="4" s="1"/>
  <c r="I178" i="2"/>
  <c r="H174" i="4" s="1"/>
  <c r="I179" i="2"/>
  <c r="H175" i="4" s="1"/>
  <c r="I180" i="2"/>
  <c r="H176" i="4" s="1"/>
  <c r="I181" i="2"/>
  <c r="H177" i="4" s="1"/>
  <c r="I182" i="2"/>
  <c r="H178" i="4" s="1"/>
  <c r="I183" i="2"/>
  <c r="H179" i="4" s="1"/>
  <c r="I184" i="2"/>
  <c r="H180" i="4" s="1"/>
  <c r="I185" i="2"/>
  <c r="H181" i="4" s="1"/>
  <c r="I186" i="2"/>
  <c r="H182" i="4" s="1"/>
  <c r="I187" i="2"/>
  <c r="H183" i="4" s="1"/>
  <c r="I189" i="2"/>
  <c r="H185" i="4" s="1"/>
  <c r="Q190" i="2"/>
  <c r="R190" i="2"/>
  <c r="S190" i="2"/>
  <c r="T190" i="2"/>
  <c r="U190" i="2"/>
  <c r="V190" i="2"/>
  <c r="X190" i="2"/>
  <c r="W190" i="2"/>
  <c r="Y190" i="2"/>
  <c r="Z190" i="2"/>
  <c r="AA190" i="2"/>
  <c r="AB190" i="2"/>
  <c r="AE190" i="2"/>
  <c r="I201" i="2"/>
  <c r="H192" i="4" s="1"/>
  <c r="I202" i="2"/>
  <c r="H193" i="4" s="1"/>
  <c r="I203" i="2"/>
  <c r="H194" i="4" s="1"/>
  <c r="H195" i="4"/>
  <c r="I205" i="2"/>
  <c r="H196" i="4" s="1"/>
  <c r="I206" i="2"/>
  <c r="H197" i="4" s="1"/>
  <c r="I207" i="2"/>
  <c r="H198" i="4" s="1"/>
  <c r="Q208" i="2"/>
  <c r="R208" i="2"/>
  <c r="S208" i="2"/>
  <c r="U208" i="2"/>
  <c r="V208" i="2"/>
  <c r="X208" i="2"/>
  <c r="W208" i="2"/>
  <c r="Y208" i="2"/>
  <c r="Z208" i="2"/>
  <c r="AA208" i="2"/>
  <c r="AB208" i="2"/>
  <c r="AE208" i="2"/>
  <c r="I212" i="2"/>
  <c r="H203" i="4" s="1"/>
  <c r="I213" i="2"/>
  <c r="H204" i="4" s="1"/>
  <c r="I214" i="2"/>
  <c r="H205" i="4" s="1"/>
  <c r="G215" i="2"/>
  <c r="Q215" i="2"/>
  <c r="R215" i="2"/>
  <c r="S215" i="2"/>
  <c r="T215" i="2"/>
  <c r="U215" i="2"/>
  <c r="V215" i="2"/>
  <c r="X215" i="2"/>
  <c r="W215" i="2"/>
  <c r="Y215" i="2"/>
  <c r="Z215" i="2"/>
  <c r="AA215" i="2"/>
  <c r="AB215" i="2"/>
  <c r="AE215" i="2"/>
  <c r="I222" i="2"/>
  <c r="I224" i="2" s="1"/>
  <c r="Q236" i="2"/>
  <c r="R236" i="2"/>
  <c r="S236" i="2"/>
  <c r="T236" i="2"/>
  <c r="U236" i="2"/>
  <c r="V236" i="2"/>
  <c r="X236" i="2"/>
  <c r="W236" i="2"/>
  <c r="Y236" i="2"/>
  <c r="Z236" i="2"/>
  <c r="AA236" i="2"/>
  <c r="AB236" i="2"/>
  <c r="AE236" i="2"/>
  <c r="I248" i="2"/>
  <c r="H236" i="4" s="1"/>
  <c r="G250" i="2"/>
  <c r="Q250" i="2"/>
  <c r="R250" i="2"/>
  <c r="S250" i="2"/>
  <c r="T250" i="2"/>
  <c r="U250" i="2"/>
  <c r="V250" i="2"/>
  <c r="X250" i="2"/>
  <c r="W250" i="2"/>
  <c r="Y250" i="2"/>
  <c r="Z250" i="2"/>
  <c r="AA250" i="2"/>
  <c r="AB250" i="2"/>
  <c r="AE250" i="2"/>
  <c r="I264" i="2"/>
  <c r="H250" i="4" s="1"/>
  <c r="E83" i="6" l="1"/>
  <c r="A238" i="2"/>
  <c r="A241" i="2" s="1"/>
  <c r="A242" i="2" s="1"/>
  <c r="A243" i="2" s="1"/>
  <c r="A245" i="2" s="1"/>
  <c r="A248" i="2" s="1"/>
  <c r="A249" i="2" s="1"/>
  <c r="A250" i="2" s="1"/>
  <c r="A252" i="2" s="1"/>
  <c r="A258" i="2" s="1"/>
  <c r="A259" i="2" s="1"/>
  <c r="A260" i="2" s="1"/>
  <c r="A261" i="2" s="1"/>
  <c r="A262" i="2" s="1"/>
  <c r="A263" i="2" s="1"/>
  <c r="A264" i="2" s="1"/>
  <c r="A265" i="2" s="1"/>
  <c r="A267" i="2" s="1"/>
  <c r="A269" i="2" s="1"/>
  <c r="A271" i="2" s="1"/>
  <c r="A273" i="2" s="1"/>
  <c r="F51" i="22"/>
  <c r="E50" i="22"/>
  <c r="D50" i="22"/>
  <c r="E52" i="22"/>
  <c r="D52" i="22"/>
  <c r="E49" i="22"/>
  <c r="D49" i="22"/>
  <c r="L39" i="6"/>
  <c r="O10" i="5"/>
  <c r="A16" i="5"/>
  <c r="A17" i="5" s="1"/>
  <c r="A18" i="5" s="1"/>
  <c r="A19" i="5" s="1"/>
  <c r="A20" i="5" s="1"/>
  <c r="A21" i="5" s="1"/>
  <c r="A22" i="5" s="1"/>
  <c r="A23" i="5" s="1"/>
  <c r="A24" i="5" s="1"/>
  <c r="A25" i="5" s="1"/>
  <c r="A26" i="5" s="1"/>
  <c r="A27" i="5" s="1"/>
  <c r="A28" i="5" s="1"/>
  <c r="A29" i="5" s="1"/>
  <c r="R98" i="4"/>
  <c r="S98" i="4"/>
  <c r="R11" i="4"/>
  <c r="S11" i="4"/>
  <c r="R70" i="4"/>
  <c r="S70" i="4"/>
  <c r="R146" i="4"/>
  <c r="S146" i="4"/>
  <c r="R97" i="4"/>
  <c r="S97" i="4"/>
  <c r="R39" i="4"/>
  <c r="S39" i="4"/>
  <c r="S10" i="4"/>
  <c r="R10" i="4"/>
  <c r="R194" i="4"/>
  <c r="S194" i="4"/>
  <c r="S161" i="4"/>
  <c r="R161" i="4"/>
  <c r="R145" i="4"/>
  <c r="S145" i="4"/>
  <c r="R96" i="4"/>
  <c r="S96" i="4"/>
  <c r="S57" i="4"/>
  <c r="R57" i="4"/>
  <c r="R38" i="4"/>
  <c r="S38" i="4"/>
  <c r="R144" i="4"/>
  <c r="S144" i="4"/>
  <c r="R107" i="4"/>
  <c r="S107" i="4"/>
  <c r="R95" i="4"/>
  <c r="S95" i="4"/>
  <c r="S37" i="4"/>
  <c r="R37" i="4"/>
  <c r="R167" i="4"/>
  <c r="S167" i="4"/>
  <c r="R143" i="4"/>
  <c r="S143" i="4"/>
  <c r="R134" i="4"/>
  <c r="S134" i="4"/>
  <c r="R106" i="4"/>
  <c r="S106" i="4"/>
  <c r="R94" i="4"/>
  <c r="S94" i="4"/>
  <c r="R36" i="4"/>
  <c r="S36" i="4"/>
  <c r="R142" i="4"/>
  <c r="S142" i="4"/>
  <c r="R133" i="4"/>
  <c r="S133" i="4"/>
  <c r="R102" i="4"/>
  <c r="S102" i="4"/>
  <c r="R35" i="4"/>
  <c r="S35" i="4"/>
  <c r="S101" i="4"/>
  <c r="R101" i="4"/>
  <c r="R79" i="4"/>
  <c r="S79" i="4"/>
  <c r="R34" i="4"/>
  <c r="S34" i="4"/>
  <c r="R15" i="4"/>
  <c r="S15" i="4"/>
  <c r="R163" i="4"/>
  <c r="S163" i="4"/>
  <c r="R132" i="4"/>
  <c r="S132" i="4"/>
  <c r="R193" i="4"/>
  <c r="S193" i="4"/>
  <c r="R168" i="4"/>
  <c r="S168" i="4"/>
  <c r="R162" i="4"/>
  <c r="S162" i="4"/>
  <c r="R78" i="4"/>
  <c r="S78" i="4"/>
  <c r="R14" i="4"/>
  <c r="S14" i="4"/>
  <c r="C56" i="22"/>
  <c r="V88" i="2"/>
  <c r="F53" i="22"/>
  <c r="F52" i="22"/>
  <c r="D53" i="22"/>
  <c r="F50" i="22"/>
  <c r="D51" i="22"/>
  <c r="F49" i="22"/>
  <c r="Q95" i="4"/>
  <c r="Q79" i="4"/>
  <c r="Q70" i="4"/>
  <c r="Q39" i="4"/>
  <c r="Q21" i="5"/>
  <c r="Q37" i="4"/>
  <c r="Q20" i="5"/>
  <c r="Q35" i="4"/>
  <c r="Q15" i="4"/>
  <c r="Q11" i="4"/>
  <c r="Q144" i="4"/>
  <c r="Q133" i="4"/>
  <c r="Q106" i="4"/>
  <c r="Q96" i="4"/>
  <c r="Q78" i="4"/>
  <c r="Q57" i="4"/>
  <c r="Q38" i="4"/>
  <c r="Q36" i="4"/>
  <c r="Q34" i="4"/>
  <c r="Q14" i="4"/>
  <c r="Q10" i="4"/>
  <c r="Q194" i="4"/>
  <c r="Q193" i="4"/>
  <c r="Q168" i="4"/>
  <c r="Q167" i="4"/>
  <c r="Q163" i="4"/>
  <c r="Q162" i="4"/>
  <c r="Q161" i="4"/>
  <c r="Q146" i="4"/>
  <c r="Q145" i="4"/>
  <c r="Q143" i="4"/>
  <c r="Q142" i="4"/>
  <c r="Q134" i="4"/>
  <c r="Q132" i="4"/>
  <c r="Q107" i="4"/>
  <c r="Q102" i="4"/>
  <c r="Q101" i="4"/>
  <c r="Q98" i="4"/>
  <c r="Q97" i="4"/>
  <c r="Q94" i="4"/>
  <c r="J193" i="4"/>
  <c r="J167" i="4"/>
  <c r="J161" i="4"/>
  <c r="L146" i="4"/>
  <c r="P144" i="4"/>
  <c r="P142" i="4"/>
  <c r="P133" i="4"/>
  <c r="I106" i="4"/>
  <c r="I101" i="4"/>
  <c r="L98" i="4"/>
  <c r="L96" i="4"/>
  <c r="I94" i="4"/>
  <c r="I57" i="4"/>
  <c r="I38" i="4"/>
  <c r="I14" i="4"/>
  <c r="I10" i="4"/>
  <c r="J194" i="4"/>
  <c r="P162" i="4"/>
  <c r="L145" i="4"/>
  <c r="P143" i="4"/>
  <c r="P134" i="4"/>
  <c r="P132" i="4"/>
  <c r="I107" i="4"/>
  <c r="I102" i="4"/>
  <c r="L97" i="4"/>
  <c r="L95" i="4"/>
  <c r="J79" i="4"/>
  <c r="I70" i="4"/>
  <c r="P39" i="4"/>
  <c r="N39" i="4"/>
  <c r="L39" i="4"/>
  <c r="J39" i="4"/>
  <c r="O39" i="4"/>
  <c r="M39" i="4"/>
  <c r="K39" i="4"/>
  <c r="I39" i="4"/>
  <c r="I37" i="4"/>
  <c r="I15" i="4"/>
  <c r="I11" i="4"/>
  <c r="E78" i="6"/>
  <c r="E81" i="6" s="1"/>
  <c r="M47" i="6"/>
  <c r="I47" i="6"/>
  <c r="M41" i="6"/>
  <c r="I41" i="6"/>
  <c r="M39" i="6"/>
  <c r="I39" i="6"/>
  <c r="Q196" i="2"/>
  <c r="Q241" i="2" s="1"/>
  <c r="H100" i="4"/>
  <c r="K100" i="4" s="1"/>
  <c r="H93" i="4"/>
  <c r="H156" i="4"/>
  <c r="M156" i="4" s="1"/>
  <c r="H153" i="4"/>
  <c r="H157" i="4"/>
  <c r="K157" i="4" s="1"/>
  <c r="H154" i="4"/>
  <c r="K154" i="4" s="1"/>
  <c r="X196" i="2"/>
  <c r="X241" i="2" s="1"/>
  <c r="AE56" i="2"/>
  <c r="Y56" i="2"/>
  <c r="U56" i="2"/>
  <c r="AA196" i="2"/>
  <c r="AA241" i="2" s="1"/>
  <c r="S196" i="2"/>
  <c r="S241" i="2" s="1"/>
  <c r="H42" i="4"/>
  <c r="H40" i="4"/>
  <c r="M40" i="4" s="1"/>
  <c r="O34" i="4"/>
  <c r="M34" i="4"/>
  <c r="K34" i="4"/>
  <c r="I34" i="4"/>
  <c r="P34" i="4"/>
  <c r="N34" i="4"/>
  <c r="L34" i="4"/>
  <c r="J34" i="4"/>
  <c r="H31" i="4"/>
  <c r="P31" i="4" s="1"/>
  <c r="H41" i="4"/>
  <c r="AA217" i="2"/>
  <c r="AA242" i="2" s="1"/>
  <c r="AB196" i="2"/>
  <c r="AB241" i="2" s="1"/>
  <c r="Z196" i="2"/>
  <c r="Z241" i="2" s="1"/>
  <c r="AE88" i="2"/>
  <c r="U88" i="2"/>
  <c r="I81" i="2"/>
  <c r="H77" i="4" s="1"/>
  <c r="AB238" i="2"/>
  <c r="AA238" i="2"/>
  <c r="Y238" i="2"/>
  <c r="X238" i="2"/>
  <c r="U238" i="2"/>
  <c r="Q238" i="2"/>
  <c r="T238" i="2"/>
  <c r="Y88" i="2"/>
  <c r="S238" i="2"/>
  <c r="AE196" i="2"/>
  <c r="AE241" i="2" s="1"/>
  <c r="Y196" i="2"/>
  <c r="Y241" i="2" s="1"/>
  <c r="U196" i="2"/>
  <c r="U241" i="2" s="1"/>
  <c r="I108" i="2"/>
  <c r="H104" i="4" s="1"/>
  <c r="AA56" i="2"/>
  <c r="X56" i="2"/>
  <c r="S56" i="2"/>
  <c r="Q56" i="2"/>
  <c r="I35" i="2"/>
  <c r="H32" i="4" s="1"/>
  <c r="AB217" i="2"/>
  <c r="AB242" i="2" s="1"/>
  <c r="Z217" i="2"/>
  <c r="Z242" i="2" s="1"/>
  <c r="W217" i="2"/>
  <c r="W242" i="2" s="1"/>
  <c r="V217" i="2"/>
  <c r="V242" i="2" s="1"/>
  <c r="T217" i="2"/>
  <c r="T242" i="2" s="1"/>
  <c r="R217" i="2"/>
  <c r="R242" i="2" s="1"/>
  <c r="S217" i="2"/>
  <c r="S242" i="2" s="1"/>
  <c r="P122" i="4"/>
  <c r="P117" i="4"/>
  <c r="I118" i="2"/>
  <c r="H114" i="4" s="1"/>
  <c r="AB56" i="2"/>
  <c r="Z56" i="2"/>
  <c r="W56" i="2"/>
  <c r="V56" i="2"/>
  <c r="T56" i="2"/>
  <c r="R56" i="2"/>
  <c r="I128" i="2"/>
  <c r="I117" i="2"/>
  <c r="H113" i="4" s="1"/>
  <c r="H27" i="4"/>
  <c r="I54" i="2"/>
  <c r="H50" i="4"/>
  <c r="I50" i="2"/>
  <c r="I36" i="4"/>
  <c r="I35" i="4"/>
  <c r="P193" i="4"/>
  <c r="P70" i="4"/>
  <c r="P10" i="4"/>
  <c r="P194" i="4"/>
  <c r="L193" i="4"/>
  <c r="P167" i="4"/>
  <c r="P106" i="4"/>
  <c r="L106" i="4"/>
  <c r="P97" i="4"/>
  <c r="L70" i="4"/>
  <c r="L10" i="4"/>
  <c r="L194" i="4"/>
  <c r="N37" i="4"/>
  <c r="P107" i="4"/>
  <c r="P38" i="4"/>
  <c r="P37" i="4"/>
  <c r="L37" i="4"/>
  <c r="N10" i="4"/>
  <c r="J10" i="4"/>
  <c r="Q28" i="5"/>
  <c r="F9" i="6"/>
  <c r="P9" i="6"/>
  <c r="L9" i="6"/>
  <c r="J9" i="6"/>
  <c r="H9" i="6"/>
  <c r="M9" i="6"/>
  <c r="K9" i="6"/>
  <c r="I9" i="6"/>
  <c r="G9" i="6"/>
  <c r="M21" i="6"/>
  <c r="M12" i="6"/>
  <c r="G62" i="6"/>
  <c r="P24" i="6"/>
  <c r="L24" i="6"/>
  <c r="J24" i="6"/>
  <c r="H24" i="6"/>
  <c r="F24" i="6"/>
  <c r="L57" i="6"/>
  <c r="J57" i="6"/>
  <c r="H57" i="6"/>
  <c r="F57" i="6"/>
  <c r="M57" i="6"/>
  <c r="P21" i="6"/>
  <c r="L21" i="6"/>
  <c r="J21" i="6"/>
  <c r="H21" i="6"/>
  <c r="F21" i="6"/>
  <c r="I21" i="6"/>
  <c r="I12" i="6"/>
  <c r="P12" i="6"/>
  <c r="L12" i="6"/>
  <c r="J12" i="6"/>
  <c r="H12" i="6"/>
  <c r="F12" i="6"/>
  <c r="I24" i="6"/>
  <c r="M62" i="6"/>
  <c r="K62" i="6"/>
  <c r="I62" i="6"/>
  <c r="I57" i="6"/>
  <c r="G24" i="6"/>
  <c r="K21" i="6"/>
  <c r="G21" i="6"/>
  <c r="K12" i="6"/>
  <c r="G12" i="6"/>
  <c r="K57" i="6"/>
  <c r="G57" i="6"/>
  <c r="P62" i="6"/>
  <c r="L62" i="6"/>
  <c r="J62" i="6"/>
  <c r="H62" i="6"/>
  <c r="F62" i="6"/>
  <c r="M24" i="6"/>
  <c r="K24" i="6"/>
  <c r="P161" i="4"/>
  <c r="N106" i="4"/>
  <c r="J106" i="4"/>
  <c r="P94" i="4"/>
  <c r="P11" i="4"/>
  <c r="P145" i="4"/>
  <c r="L107" i="4"/>
  <c r="P95" i="4"/>
  <c r="L94" i="4"/>
  <c r="P79" i="4"/>
  <c r="L38" i="4"/>
  <c r="O37" i="4"/>
  <c r="M37" i="4"/>
  <c r="J37" i="4"/>
  <c r="P36" i="4"/>
  <c r="P35" i="4"/>
  <c r="L11" i="4"/>
  <c r="J168" i="4"/>
  <c r="P168" i="4"/>
  <c r="H169" i="4"/>
  <c r="I162" i="4"/>
  <c r="L162" i="4"/>
  <c r="I163" i="4"/>
  <c r="P163" i="4"/>
  <c r="N107" i="4"/>
  <c r="J107" i="4"/>
  <c r="O106" i="4"/>
  <c r="M106" i="4"/>
  <c r="K106" i="4"/>
  <c r="P102" i="4"/>
  <c r="P98" i="4"/>
  <c r="P96" i="4"/>
  <c r="L79" i="4"/>
  <c r="P57" i="4"/>
  <c r="L35" i="4"/>
  <c r="P15" i="4"/>
  <c r="N11" i="4"/>
  <c r="J11" i="4"/>
  <c r="H149" i="4"/>
  <c r="N194" i="4"/>
  <c r="N193" i="4"/>
  <c r="L168" i="4"/>
  <c r="L167" i="4"/>
  <c r="L163" i="4"/>
  <c r="N162" i="4"/>
  <c r="J162" i="4"/>
  <c r="I133" i="4"/>
  <c r="L133" i="4"/>
  <c r="I134" i="4"/>
  <c r="L134" i="4"/>
  <c r="I132" i="4"/>
  <c r="L132" i="4"/>
  <c r="O107" i="4"/>
  <c r="M107" i="4"/>
  <c r="K107" i="4"/>
  <c r="P101" i="4"/>
  <c r="N94" i="4"/>
  <c r="J94" i="4"/>
  <c r="N70" i="4"/>
  <c r="J70" i="4"/>
  <c r="L15" i="4"/>
  <c r="O14" i="4"/>
  <c r="O11" i="4"/>
  <c r="M11" i="4"/>
  <c r="K11" i="4"/>
  <c r="O10" i="4"/>
  <c r="M10" i="4"/>
  <c r="K10" i="4"/>
  <c r="N168" i="4"/>
  <c r="N167" i="4"/>
  <c r="H164" i="4"/>
  <c r="N163" i="4"/>
  <c r="J163" i="4"/>
  <c r="L161" i="4"/>
  <c r="P146" i="4"/>
  <c r="I143" i="4"/>
  <c r="L143" i="4"/>
  <c r="I144" i="4"/>
  <c r="L144" i="4"/>
  <c r="I142" i="4"/>
  <c r="L142" i="4"/>
  <c r="L102" i="4"/>
  <c r="L101" i="4"/>
  <c r="N79" i="4"/>
  <c r="L57" i="4"/>
  <c r="H47" i="4"/>
  <c r="N38" i="4"/>
  <c r="J38" i="4"/>
  <c r="J36" i="4"/>
  <c r="J35" i="4"/>
  <c r="N15" i="4"/>
  <c r="J15" i="4"/>
  <c r="L14" i="4"/>
  <c r="H186" i="4"/>
  <c r="O163" i="4"/>
  <c r="M163" i="4"/>
  <c r="K163" i="4"/>
  <c r="O162" i="4"/>
  <c r="M162" i="4"/>
  <c r="K162" i="4"/>
  <c r="N161" i="4"/>
  <c r="I161" i="4"/>
  <c r="K161" i="4"/>
  <c r="M161" i="4"/>
  <c r="O161" i="4"/>
  <c r="I146" i="4"/>
  <c r="J146" i="4"/>
  <c r="N146" i="4"/>
  <c r="I145" i="4"/>
  <c r="J145" i="4"/>
  <c r="N145" i="4"/>
  <c r="K37" i="4"/>
  <c r="O35" i="4"/>
  <c r="K35" i="4"/>
  <c r="H16" i="4"/>
  <c r="O15" i="4"/>
  <c r="M15" i="4"/>
  <c r="K15" i="4"/>
  <c r="P14" i="4"/>
  <c r="N14" i="4"/>
  <c r="J14" i="4"/>
  <c r="N144" i="4"/>
  <c r="J144" i="4"/>
  <c r="N143" i="4"/>
  <c r="J143" i="4"/>
  <c r="N142" i="4"/>
  <c r="J142" i="4"/>
  <c r="N134" i="4"/>
  <c r="J134" i="4"/>
  <c r="N133" i="4"/>
  <c r="J133" i="4"/>
  <c r="N132" i="4"/>
  <c r="J132" i="4"/>
  <c r="N102" i="4"/>
  <c r="J102" i="4"/>
  <c r="N101" i="4"/>
  <c r="J101" i="4"/>
  <c r="N57" i="4"/>
  <c r="J57" i="4"/>
  <c r="H199" i="4"/>
  <c r="I194" i="4"/>
  <c r="K194" i="4"/>
  <c r="M194" i="4"/>
  <c r="O194" i="4"/>
  <c r="I193" i="4"/>
  <c r="K193" i="4"/>
  <c r="M193" i="4"/>
  <c r="O193" i="4"/>
  <c r="I168" i="4"/>
  <c r="K168" i="4"/>
  <c r="M168" i="4"/>
  <c r="O168" i="4"/>
  <c r="I167" i="4"/>
  <c r="K167" i="4"/>
  <c r="M167" i="4"/>
  <c r="O167" i="4"/>
  <c r="O146" i="4"/>
  <c r="M146" i="4"/>
  <c r="K146" i="4"/>
  <c r="O145" i="4"/>
  <c r="M145" i="4"/>
  <c r="K145" i="4"/>
  <c r="O144" i="4"/>
  <c r="M144" i="4"/>
  <c r="K144" i="4"/>
  <c r="O143" i="4"/>
  <c r="M143" i="4"/>
  <c r="K143" i="4"/>
  <c r="O142" i="4"/>
  <c r="M142" i="4"/>
  <c r="K142" i="4"/>
  <c r="O134" i="4"/>
  <c r="M134" i="4"/>
  <c r="K134" i="4"/>
  <c r="O133" i="4"/>
  <c r="M133" i="4"/>
  <c r="K133" i="4"/>
  <c r="O132" i="4"/>
  <c r="M132" i="4"/>
  <c r="K132" i="4"/>
  <c r="I98" i="4"/>
  <c r="K98" i="4"/>
  <c r="M98" i="4"/>
  <c r="O98" i="4"/>
  <c r="I97" i="4"/>
  <c r="K97" i="4"/>
  <c r="M97" i="4"/>
  <c r="O97" i="4"/>
  <c r="I96" i="4"/>
  <c r="K96" i="4"/>
  <c r="M96" i="4"/>
  <c r="O96" i="4"/>
  <c r="I95" i="4"/>
  <c r="K95" i="4"/>
  <c r="M95" i="4"/>
  <c r="O95" i="4"/>
  <c r="O102" i="4"/>
  <c r="M102" i="4"/>
  <c r="K102" i="4"/>
  <c r="O101" i="4"/>
  <c r="M101" i="4"/>
  <c r="K101" i="4"/>
  <c r="N98" i="4"/>
  <c r="J98" i="4"/>
  <c r="N97" i="4"/>
  <c r="J97" i="4"/>
  <c r="N96" i="4"/>
  <c r="J96" i="4"/>
  <c r="N95" i="4"/>
  <c r="J95" i="4"/>
  <c r="O94" i="4"/>
  <c r="M94" i="4"/>
  <c r="K94" i="4"/>
  <c r="I79" i="4"/>
  <c r="K79" i="4"/>
  <c r="M79" i="4"/>
  <c r="O79" i="4"/>
  <c r="O70" i="4"/>
  <c r="M70" i="4"/>
  <c r="K70" i="4"/>
  <c r="O57" i="4"/>
  <c r="M57" i="4"/>
  <c r="K57" i="4"/>
  <c r="O38" i="4"/>
  <c r="M38" i="4"/>
  <c r="K38" i="4"/>
  <c r="M36" i="4"/>
  <c r="M14" i="4"/>
  <c r="K14" i="4"/>
  <c r="X217" i="2"/>
  <c r="X242" i="2" s="1"/>
  <c r="Q217" i="2"/>
  <c r="Q242" i="2" s="1"/>
  <c r="Z238" i="2"/>
  <c r="W238" i="2"/>
  <c r="V238" i="2"/>
  <c r="R238" i="2"/>
  <c r="I77" i="2"/>
  <c r="H73" i="4" s="1"/>
  <c r="I73" i="2"/>
  <c r="H69" i="4" s="1"/>
  <c r="I249" i="2"/>
  <c r="H237" i="4" s="1"/>
  <c r="I211" i="2"/>
  <c r="H202" i="4" s="1"/>
  <c r="H215" i="2"/>
  <c r="AE217" i="2"/>
  <c r="AE242" i="2" s="1"/>
  <c r="Y217" i="2"/>
  <c r="Y242" i="2" s="1"/>
  <c r="U217" i="2"/>
  <c r="U242" i="2" s="1"/>
  <c r="G217" i="2"/>
  <c r="G242" i="2" s="1"/>
  <c r="W196" i="2"/>
  <c r="W241" i="2" s="1"/>
  <c r="V196" i="2"/>
  <c r="V241" i="2" s="1"/>
  <c r="T196" i="2"/>
  <c r="T241" i="2" s="1"/>
  <c r="H173" i="2"/>
  <c r="H162" i="2"/>
  <c r="AB88" i="2"/>
  <c r="Z88" i="2"/>
  <c r="W88" i="2"/>
  <c r="T88" i="2"/>
  <c r="R88" i="2"/>
  <c r="AA88" i="2"/>
  <c r="X88" i="2"/>
  <c r="S88" i="2"/>
  <c r="Q88" i="2"/>
  <c r="H78" i="2"/>
  <c r="H88" i="2" s="1"/>
  <c r="I263" i="2"/>
  <c r="H249" i="4" s="1"/>
  <c r="R129" i="2"/>
  <c r="R196" i="2" s="1"/>
  <c r="R241" i="2" s="1"/>
  <c r="R243" i="2" s="1"/>
  <c r="H54" i="2"/>
  <c r="I173" i="2"/>
  <c r="I162" i="2"/>
  <c r="G66" i="2"/>
  <c r="G68" i="2" s="1"/>
  <c r="G90" i="2" s="1"/>
  <c r="H250" i="2"/>
  <c r="I208" i="2"/>
  <c r="I190" i="2"/>
  <c r="I168" i="2"/>
  <c r="I153" i="2"/>
  <c r="H208" i="2"/>
  <c r="H190" i="2"/>
  <c r="H168" i="2"/>
  <c r="H153" i="2"/>
  <c r="H112" i="2"/>
  <c r="I64" i="2"/>
  <c r="H66" i="2"/>
  <c r="H68" i="2" s="1"/>
  <c r="I19" i="2"/>
  <c r="H50" i="2"/>
  <c r="H19" i="2"/>
  <c r="H217" i="2" l="1"/>
  <c r="H242" i="2" s="1"/>
  <c r="X243" i="2"/>
  <c r="Z243" i="2"/>
  <c r="AA243" i="2"/>
  <c r="K40" i="4"/>
  <c r="N154" i="4"/>
  <c r="V243" i="2"/>
  <c r="V245" i="2" s="1"/>
  <c r="V252" i="2" s="1"/>
  <c r="V258" i="2" s="1"/>
  <c r="V265" i="2" s="1"/>
  <c r="V267" i="2" s="1"/>
  <c r="V269" i="2" s="1"/>
  <c r="V90" i="2"/>
  <c r="H212" i="4"/>
  <c r="M27" i="4"/>
  <c r="M28" i="4" s="1"/>
  <c r="R27" i="4"/>
  <c r="R28" i="4" s="1"/>
  <c r="S27" i="4"/>
  <c r="S28" i="4" s="1"/>
  <c r="J40" i="4"/>
  <c r="R40" i="4"/>
  <c r="S40" i="4"/>
  <c r="L154" i="4"/>
  <c r="R154" i="4"/>
  <c r="S154" i="4"/>
  <c r="R32" i="4"/>
  <c r="S32" i="4"/>
  <c r="R113" i="4"/>
  <c r="S113" i="4"/>
  <c r="R42" i="4"/>
  <c r="S42" i="4"/>
  <c r="L157" i="4"/>
  <c r="S157" i="4"/>
  <c r="R157" i="4"/>
  <c r="S104" i="4"/>
  <c r="R104" i="4"/>
  <c r="I153" i="4"/>
  <c r="S153" i="4"/>
  <c r="R153" i="4"/>
  <c r="R16" i="4"/>
  <c r="R114" i="4"/>
  <c r="S114" i="4"/>
  <c r="L156" i="4"/>
  <c r="R156" i="4"/>
  <c r="S156" i="4"/>
  <c r="S16" i="4"/>
  <c r="S93" i="4"/>
  <c r="R93" i="4"/>
  <c r="M100" i="4"/>
  <c r="S100" i="4"/>
  <c r="R100" i="4"/>
  <c r="R169" i="4"/>
  <c r="S69" i="4"/>
  <c r="R69" i="4"/>
  <c r="R41" i="4"/>
  <c r="S41" i="4"/>
  <c r="M21" i="5"/>
  <c r="M20" i="5"/>
  <c r="R164" i="4"/>
  <c r="J31" i="4"/>
  <c r="S31" i="4"/>
  <c r="R31" i="4"/>
  <c r="H56" i="2"/>
  <c r="H90" i="2" s="1"/>
  <c r="M157" i="4"/>
  <c r="O40" i="4"/>
  <c r="O157" i="4"/>
  <c r="I157" i="4"/>
  <c r="N40" i="4"/>
  <c r="P93" i="4"/>
  <c r="N157" i="4"/>
  <c r="J157" i="4"/>
  <c r="Y90" i="2"/>
  <c r="N27" i="4"/>
  <c r="N28" i="4" s="1"/>
  <c r="O100" i="4"/>
  <c r="J100" i="4"/>
  <c r="L100" i="4"/>
  <c r="N100" i="4"/>
  <c r="O27" i="4"/>
  <c r="O28" i="4" s="1"/>
  <c r="AE90" i="2"/>
  <c r="I46" i="2"/>
  <c r="I56" i="2" s="1"/>
  <c r="G243" i="2"/>
  <c r="O156" i="4"/>
  <c r="N31" i="4"/>
  <c r="M31" i="4"/>
  <c r="J156" i="4"/>
  <c r="K156" i="4"/>
  <c r="H43" i="4"/>
  <c r="Q19" i="5" s="1"/>
  <c r="I156" i="4"/>
  <c r="N156" i="4"/>
  <c r="Q169" i="4"/>
  <c r="N20" i="5"/>
  <c r="S164" i="4"/>
  <c r="Q22" i="5"/>
  <c r="Q69" i="4"/>
  <c r="L40" i="4"/>
  <c r="Q27" i="4"/>
  <c r="Q28" i="4" s="1"/>
  <c r="Q23" i="5"/>
  <c r="Q32" i="4"/>
  <c r="O31" i="4"/>
  <c r="Q31" i="4"/>
  <c r="Q42" i="4"/>
  <c r="Q157" i="4"/>
  <c r="P100" i="4"/>
  <c r="Q100" i="4"/>
  <c r="N21" i="5"/>
  <c r="Q41" i="4"/>
  <c r="P40" i="4"/>
  <c r="Q40" i="4"/>
  <c r="Q93" i="4"/>
  <c r="L21" i="5"/>
  <c r="L20" i="5"/>
  <c r="Q156" i="4"/>
  <c r="Q154" i="4"/>
  <c r="Q153" i="4"/>
  <c r="Q114" i="4"/>
  <c r="Q113" i="4"/>
  <c r="Q104" i="4"/>
  <c r="E20" i="5"/>
  <c r="G29" i="6" s="1"/>
  <c r="E21" i="5"/>
  <c r="J136" i="4" s="1"/>
  <c r="J20" i="5"/>
  <c r="L29" i="6" s="1"/>
  <c r="J21" i="5"/>
  <c r="G20" i="5"/>
  <c r="G21" i="5"/>
  <c r="L136" i="4" s="1"/>
  <c r="F20" i="5"/>
  <c r="F21" i="5"/>
  <c r="K136" i="4" s="1"/>
  <c r="H20" i="5"/>
  <c r="J29" i="6" s="1"/>
  <c r="H21" i="5"/>
  <c r="M136" i="4" s="1"/>
  <c r="K20" i="5"/>
  <c r="P131" i="4" s="1"/>
  <c r="K21" i="5"/>
  <c r="I20" i="5"/>
  <c r="K29" i="6" s="1"/>
  <c r="I21" i="5"/>
  <c r="D21" i="5"/>
  <c r="D20" i="5"/>
  <c r="O164" i="4"/>
  <c r="K164" i="4"/>
  <c r="I16" i="4"/>
  <c r="J169" i="4"/>
  <c r="T39" i="4"/>
  <c r="H206" i="4"/>
  <c r="L27" i="4"/>
  <c r="L28" i="4" s="1"/>
  <c r="I114" i="4"/>
  <c r="I41" i="4"/>
  <c r="I42" i="4"/>
  <c r="P154" i="4"/>
  <c r="J153" i="4"/>
  <c r="I93" i="4"/>
  <c r="H51" i="4"/>
  <c r="I113" i="4"/>
  <c r="I104" i="4"/>
  <c r="H82" i="4"/>
  <c r="I31" i="4"/>
  <c r="I40" i="4"/>
  <c r="P157" i="4"/>
  <c r="P156" i="4"/>
  <c r="I100" i="4"/>
  <c r="Q16" i="4"/>
  <c r="Q164" i="4"/>
  <c r="U90" i="2"/>
  <c r="I86" i="2"/>
  <c r="Q90" i="2"/>
  <c r="X90" i="2"/>
  <c r="U243" i="2"/>
  <c r="U245" i="2" s="1"/>
  <c r="U252" i="2" s="1"/>
  <c r="U258" i="2" s="1"/>
  <c r="U265" i="2" s="1"/>
  <c r="U267" i="2" s="1"/>
  <c r="U269" i="2" s="1"/>
  <c r="AE243" i="2"/>
  <c r="Q243" i="2"/>
  <c r="K41" i="4"/>
  <c r="M153" i="4"/>
  <c r="O154" i="4"/>
  <c r="J41" i="4"/>
  <c r="K42" i="4"/>
  <c r="L93" i="4"/>
  <c r="O93" i="4"/>
  <c r="H158" i="4"/>
  <c r="M93" i="4"/>
  <c r="P153" i="4"/>
  <c r="Q29" i="5"/>
  <c r="M104" i="4"/>
  <c r="X245" i="2"/>
  <c r="X252" i="2" s="1"/>
  <c r="X258" i="2" s="1"/>
  <c r="X265" i="2" s="1"/>
  <c r="X267" i="2" s="1"/>
  <c r="X269" i="2" s="1"/>
  <c r="O41" i="4"/>
  <c r="O153" i="4"/>
  <c r="K153" i="4"/>
  <c r="M154" i="4"/>
  <c r="I154" i="4"/>
  <c r="O42" i="4"/>
  <c r="J93" i="4"/>
  <c r="N93" i="4"/>
  <c r="J42" i="4"/>
  <c r="K93" i="4"/>
  <c r="N153" i="4"/>
  <c r="L42" i="4"/>
  <c r="L153" i="4"/>
  <c r="J154" i="4"/>
  <c r="N104" i="4"/>
  <c r="L41" i="4"/>
  <c r="P123" i="4"/>
  <c r="H124" i="4"/>
  <c r="I116" i="2"/>
  <c r="H112" i="4" s="1"/>
  <c r="H192" i="2"/>
  <c r="AB243" i="2"/>
  <c r="AB245" i="2" s="1"/>
  <c r="AB252" i="2" s="1"/>
  <c r="AB258" i="2" s="1"/>
  <c r="AB265" i="2" s="1"/>
  <c r="AB267" i="2" s="1"/>
  <c r="AB269" i="2" s="1"/>
  <c r="I120" i="2"/>
  <c r="H194" i="2"/>
  <c r="S243" i="2"/>
  <c r="S245" i="2" s="1"/>
  <c r="S252" i="2" s="1"/>
  <c r="S258" i="2" s="1"/>
  <c r="S265" i="2" s="1"/>
  <c r="S267" i="2" s="1"/>
  <c r="S269" i="2" s="1"/>
  <c r="M164" i="4"/>
  <c r="M41" i="4"/>
  <c r="P41" i="4"/>
  <c r="M42" i="4"/>
  <c r="N41" i="4"/>
  <c r="N42" i="4"/>
  <c r="P42" i="4"/>
  <c r="T90" i="2"/>
  <c r="W90" i="2"/>
  <c r="AB90" i="2"/>
  <c r="O32" i="4"/>
  <c r="M32" i="4"/>
  <c r="K32" i="4"/>
  <c r="I32" i="4"/>
  <c r="P32" i="4"/>
  <c r="N32" i="4"/>
  <c r="L32" i="4"/>
  <c r="J32" i="4"/>
  <c r="T34" i="4"/>
  <c r="I27" i="4"/>
  <c r="I28" i="4" s="1"/>
  <c r="H28" i="4"/>
  <c r="R245" i="2"/>
  <c r="R252" i="2" s="1"/>
  <c r="R258" i="2" s="1"/>
  <c r="S90" i="2"/>
  <c r="AA90" i="2"/>
  <c r="T243" i="2"/>
  <c r="T245" i="2" s="1"/>
  <c r="T252" i="2" s="1"/>
  <c r="T258" i="2" s="1"/>
  <c r="T265" i="2" s="1"/>
  <c r="T267" i="2" s="1"/>
  <c r="T269" i="2" s="1"/>
  <c r="W243" i="2"/>
  <c r="W245" i="2" s="1"/>
  <c r="W252" i="2" s="1"/>
  <c r="W258" i="2" s="1"/>
  <c r="W265" i="2" s="1"/>
  <c r="W267" i="2" s="1"/>
  <c r="W269" i="2" s="1"/>
  <c r="Y243" i="2"/>
  <c r="Y245" i="2" s="1"/>
  <c r="Y252" i="2" s="1"/>
  <c r="Y258" i="2" s="1"/>
  <c r="Y265" i="2" s="1"/>
  <c r="Y267" i="2" s="1"/>
  <c r="Y269" i="2" s="1"/>
  <c r="K27" i="4"/>
  <c r="K28" i="4" s="1"/>
  <c r="K36" i="4"/>
  <c r="O36" i="4"/>
  <c r="J27" i="4"/>
  <c r="J28" i="4" s="1"/>
  <c r="P27" i="4"/>
  <c r="P28" i="4" s="1"/>
  <c r="N36" i="4"/>
  <c r="P169" i="4"/>
  <c r="K104" i="4"/>
  <c r="O104" i="4"/>
  <c r="J104" i="4"/>
  <c r="L104" i="4"/>
  <c r="P104" i="4"/>
  <c r="R90" i="2"/>
  <c r="Z90" i="2"/>
  <c r="Z245" i="2"/>
  <c r="Z252" i="2" s="1"/>
  <c r="I215" i="2"/>
  <c r="I217" i="2" s="1"/>
  <c r="I242" i="2" s="1"/>
  <c r="M35" i="4"/>
  <c r="N35" i="4"/>
  <c r="L36" i="4"/>
  <c r="C53" i="22"/>
  <c r="P164" i="4"/>
  <c r="I78" i="2"/>
  <c r="I66" i="2"/>
  <c r="I68" i="2" s="1"/>
  <c r="H60" i="4"/>
  <c r="I112" i="2"/>
  <c r="H105" i="4"/>
  <c r="I250" i="2"/>
  <c r="H74" i="4"/>
  <c r="K117" i="4"/>
  <c r="O117" i="4"/>
  <c r="K122" i="4"/>
  <c r="O122" i="4"/>
  <c r="K123" i="4"/>
  <c r="O123" i="4"/>
  <c r="J117" i="4"/>
  <c r="J122" i="4"/>
  <c r="J123" i="4"/>
  <c r="I117" i="4"/>
  <c r="I122" i="4"/>
  <c r="L123" i="4"/>
  <c r="M113" i="4"/>
  <c r="J69" i="4"/>
  <c r="N113" i="4"/>
  <c r="M114" i="4"/>
  <c r="L113" i="4"/>
  <c r="N114" i="4"/>
  <c r="P113" i="4"/>
  <c r="L114" i="4"/>
  <c r="P114" i="4"/>
  <c r="M117" i="4"/>
  <c r="M122" i="4"/>
  <c r="M123" i="4"/>
  <c r="N117" i="4"/>
  <c r="N122" i="4"/>
  <c r="N123" i="4"/>
  <c r="L117" i="4"/>
  <c r="L122" i="4"/>
  <c r="I123" i="4"/>
  <c r="K113" i="4"/>
  <c r="O113" i="4"/>
  <c r="J113" i="4"/>
  <c r="K114" i="4"/>
  <c r="O114" i="4"/>
  <c r="J114" i="4"/>
  <c r="T37" i="4"/>
  <c r="K16" i="4"/>
  <c r="L164" i="4"/>
  <c r="I69" i="4"/>
  <c r="O16" i="4"/>
  <c r="J16" i="4"/>
  <c r="P16" i="4"/>
  <c r="L16" i="4"/>
  <c r="N164" i="4"/>
  <c r="J164" i="4"/>
  <c r="T106" i="4"/>
  <c r="M16" i="4"/>
  <c r="N16" i="4"/>
  <c r="T94" i="4"/>
  <c r="T162" i="4"/>
  <c r="T10" i="4"/>
  <c r="T11" i="4"/>
  <c r="T107" i="4"/>
  <c r="L169" i="4"/>
  <c r="S169" i="4"/>
  <c r="M169" i="4"/>
  <c r="T70" i="4"/>
  <c r="T57" i="4"/>
  <c r="T101" i="4"/>
  <c r="T102" i="4"/>
  <c r="T14" i="4"/>
  <c r="T15" i="4"/>
  <c r="T38" i="4"/>
  <c r="T163" i="4"/>
  <c r="T96" i="4"/>
  <c r="T98" i="4"/>
  <c r="O169" i="4"/>
  <c r="K169" i="4"/>
  <c r="T168" i="4"/>
  <c r="T194" i="4"/>
  <c r="T145" i="4"/>
  <c r="I164" i="4"/>
  <c r="T161" i="4"/>
  <c r="T142" i="4"/>
  <c r="T144" i="4"/>
  <c r="T143" i="4"/>
  <c r="T132" i="4"/>
  <c r="T79" i="4"/>
  <c r="T95" i="4"/>
  <c r="T97" i="4"/>
  <c r="T167" i="4"/>
  <c r="T193" i="4"/>
  <c r="T146" i="4"/>
  <c r="T133" i="4"/>
  <c r="N169" i="4"/>
  <c r="I169" i="4"/>
  <c r="H129" i="2"/>
  <c r="AE238" i="2"/>
  <c r="H53" i="4" l="1"/>
  <c r="Z258" i="2"/>
  <c r="Z265" i="2" s="1"/>
  <c r="Z267" i="2" s="1"/>
  <c r="Z269" i="2" s="1"/>
  <c r="F22" i="5"/>
  <c r="K147" i="4" s="1"/>
  <c r="O20" i="5"/>
  <c r="O21" i="5"/>
  <c r="F29" i="6"/>
  <c r="I136" i="4"/>
  <c r="M22" i="5"/>
  <c r="R135" i="4" s="1"/>
  <c r="G29" i="5"/>
  <c r="I46" i="6" s="1"/>
  <c r="I51" i="6" s="1"/>
  <c r="R43" i="4"/>
  <c r="M19" i="5" s="1"/>
  <c r="O34" i="6" s="1"/>
  <c r="L124" i="4"/>
  <c r="R124" i="4"/>
  <c r="S124" i="4"/>
  <c r="R105" i="4"/>
  <c r="R108" i="4" s="1"/>
  <c r="S105" i="4"/>
  <c r="S108" i="4" s="1"/>
  <c r="O29" i="6"/>
  <c r="R131" i="4"/>
  <c r="R76" i="4"/>
  <c r="R136" i="4"/>
  <c r="O33" i="6"/>
  <c r="M29" i="5"/>
  <c r="M23" i="5"/>
  <c r="R141" i="4" s="1"/>
  <c r="K112" i="4"/>
  <c r="S112" i="4"/>
  <c r="R112" i="4"/>
  <c r="S131" i="4"/>
  <c r="P29" i="6"/>
  <c r="S136" i="4"/>
  <c r="P33" i="6"/>
  <c r="S76" i="4"/>
  <c r="I192" i="2"/>
  <c r="K23" i="5"/>
  <c r="P141" i="4" s="1"/>
  <c r="Q245" i="2"/>
  <c r="Q252" i="2" s="1"/>
  <c r="Q258" i="2" s="1"/>
  <c r="L29" i="5"/>
  <c r="N46" i="6" s="1"/>
  <c r="H196" i="2"/>
  <c r="H241" i="2" s="1"/>
  <c r="H243" i="2" s="1"/>
  <c r="I22" i="5"/>
  <c r="K32" i="6" s="1"/>
  <c r="P112" i="4"/>
  <c r="L112" i="4"/>
  <c r="J112" i="4"/>
  <c r="AA245" i="2"/>
  <c r="AA252" i="2" s="1"/>
  <c r="AA258" i="2" s="1"/>
  <c r="AA265" i="2" s="1"/>
  <c r="AA267" i="2" s="1"/>
  <c r="AA269" i="2" s="1"/>
  <c r="R265" i="2"/>
  <c r="R267" i="2" s="1"/>
  <c r="R269" i="2" s="1"/>
  <c r="N112" i="4"/>
  <c r="O112" i="4"/>
  <c r="F29" i="5"/>
  <c r="H46" i="6" s="1"/>
  <c r="H51" i="6" s="1"/>
  <c r="AE245" i="2"/>
  <c r="AE252" i="2" s="1"/>
  <c r="AE258" i="2" s="1"/>
  <c r="AE265" i="2" s="1"/>
  <c r="AE267" i="2" s="1"/>
  <c r="AE269" i="2" s="1"/>
  <c r="M112" i="4"/>
  <c r="E23" i="5"/>
  <c r="J141" i="4" s="1"/>
  <c r="D23" i="5"/>
  <c r="H22" i="5"/>
  <c r="M147" i="4" s="1"/>
  <c r="I29" i="5"/>
  <c r="K46" i="6" s="1"/>
  <c r="K51" i="6" s="1"/>
  <c r="J22" i="5"/>
  <c r="L32" i="6" s="1"/>
  <c r="E22" i="5"/>
  <c r="J147" i="4" s="1"/>
  <c r="I88" i="2"/>
  <c r="I90" i="2" s="1"/>
  <c r="D29" i="5"/>
  <c r="N23" i="5"/>
  <c r="S141" i="4" s="1"/>
  <c r="G22" i="5"/>
  <c r="I32" i="6" s="1"/>
  <c r="L23" i="5"/>
  <c r="Q141" i="4" s="1"/>
  <c r="N29" i="5"/>
  <c r="L22" i="5"/>
  <c r="Q147" i="4" s="1"/>
  <c r="N22" i="5"/>
  <c r="Q76" i="4"/>
  <c r="N29" i="6"/>
  <c r="Q131" i="4"/>
  <c r="N33" i="6"/>
  <c r="Q136" i="4"/>
  <c r="Q124" i="4"/>
  <c r="Q112" i="4"/>
  <c r="Q105" i="4"/>
  <c r="Q108" i="4" s="1"/>
  <c r="P76" i="4"/>
  <c r="M29" i="6"/>
  <c r="K131" i="4"/>
  <c r="H29" i="6"/>
  <c r="L131" i="4"/>
  <c r="I29" i="6"/>
  <c r="G23" i="5"/>
  <c r="L141" i="4" s="1"/>
  <c r="F23" i="5"/>
  <c r="K141" i="4" s="1"/>
  <c r="I23" i="5"/>
  <c r="N141" i="4" s="1"/>
  <c r="H23" i="5"/>
  <c r="M141" i="4" s="1"/>
  <c r="J23" i="5"/>
  <c r="O141" i="4" s="1"/>
  <c r="G33" i="6"/>
  <c r="J33" i="6"/>
  <c r="I33" i="6"/>
  <c r="H33" i="6"/>
  <c r="K22" i="5"/>
  <c r="M32" i="6" s="1"/>
  <c r="D22" i="5"/>
  <c r="N76" i="4"/>
  <c r="N131" i="4"/>
  <c r="M131" i="4"/>
  <c r="M76" i="4"/>
  <c r="O131" i="4"/>
  <c r="O76" i="4"/>
  <c r="J76" i="4"/>
  <c r="J131" i="4"/>
  <c r="I131" i="4"/>
  <c r="I76" i="4"/>
  <c r="H208" i="4"/>
  <c r="T100" i="4"/>
  <c r="T157" i="4"/>
  <c r="T40" i="4"/>
  <c r="J43" i="4"/>
  <c r="E19" i="5" s="1"/>
  <c r="G28" i="6" s="1"/>
  <c r="E29" i="5"/>
  <c r="G46" i="6" s="1"/>
  <c r="G51" i="6" s="1"/>
  <c r="K29" i="5"/>
  <c r="M46" i="6" s="1"/>
  <c r="M51" i="6" s="1"/>
  <c r="T156" i="4"/>
  <c r="H84" i="4"/>
  <c r="I43" i="4"/>
  <c r="D19" i="5" s="1"/>
  <c r="H238" i="4"/>
  <c r="H108" i="4"/>
  <c r="I112" i="4"/>
  <c r="Q43" i="4"/>
  <c r="L19" i="5" s="1"/>
  <c r="N28" i="6" s="1"/>
  <c r="T153" i="4"/>
  <c r="T154" i="4"/>
  <c r="J29" i="5"/>
  <c r="L46" i="6" s="1"/>
  <c r="L51" i="6" s="1"/>
  <c r="I129" i="2"/>
  <c r="I196" i="2" s="1"/>
  <c r="I241" i="2" s="1"/>
  <c r="I243" i="2" s="1"/>
  <c r="T93" i="4"/>
  <c r="H29" i="5"/>
  <c r="J46" i="6" s="1"/>
  <c r="J51" i="6" s="1"/>
  <c r="H116" i="4"/>
  <c r="I194" i="2"/>
  <c r="P124" i="4"/>
  <c r="T42" i="4"/>
  <c r="T41" i="4"/>
  <c r="M43" i="4"/>
  <c r="S43" i="4"/>
  <c r="I124" i="4"/>
  <c r="T32" i="4"/>
  <c r="N43" i="4"/>
  <c r="T104" i="4"/>
  <c r="P43" i="4"/>
  <c r="K19" i="5" s="1"/>
  <c r="M28" i="6" s="1"/>
  <c r="O43" i="4"/>
  <c r="T36" i="4"/>
  <c r="T27" i="4"/>
  <c r="T28" i="4" s="1"/>
  <c r="N124" i="4"/>
  <c r="M124" i="4"/>
  <c r="J124" i="4"/>
  <c r="K124" i="4"/>
  <c r="O124" i="4"/>
  <c r="T35" i="4"/>
  <c r="T117" i="4"/>
  <c r="T113" i="4"/>
  <c r="T122" i="4"/>
  <c r="T114" i="4"/>
  <c r="I105" i="4"/>
  <c r="P105" i="4"/>
  <c r="P108" i="4" s="1"/>
  <c r="J105" i="4"/>
  <c r="J108" i="4" s="1"/>
  <c r="O105" i="4"/>
  <c r="O108" i="4" s="1"/>
  <c r="K105" i="4"/>
  <c r="K108" i="4" s="1"/>
  <c r="L105" i="4"/>
  <c r="L108" i="4" s="1"/>
  <c r="N105" i="4"/>
  <c r="N108" i="4" s="1"/>
  <c r="M105" i="4"/>
  <c r="M108" i="4" s="1"/>
  <c r="H62" i="4"/>
  <c r="H64" i="4"/>
  <c r="T164" i="4"/>
  <c r="T16" i="4"/>
  <c r="T169" i="4"/>
  <c r="K135" i="4" l="1"/>
  <c r="H32" i="6"/>
  <c r="O22" i="5"/>
  <c r="O32" i="6"/>
  <c r="O29" i="5"/>
  <c r="O23" i="5"/>
  <c r="R195" i="4"/>
  <c r="F46" i="6"/>
  <c r="F51" i="6" s="1"/>
  <c r="F28" i="6"/>
  <c r="I141" i="4"/>
  <c r="T141" i="4" s="1"/>
  <c r="R147" i="4"/>
  <c r="O28" i="6"/>
  <c r="R130" i="4"/>
  <c r="R71" i="4"/>
  <c r="R138" i="4"/>
  <c r="R137" i="4"/>
  <c r="O42" i="6"/>
  <c r="R148" i="4"/>
  <c r="R152" i="4"/>
  <c r="R158" i="4" s="1"/>
  <c r="O46" i="6"/>
  <c r="O51" i="6" s="1"/>
  <c r="S116" i="4"/>
  <c r="S125" i="4" s="1"/>
  <c r="R116" i="4"/>
  <c r="R125" i="4" s="1"/>
  <c r="S152" i="4"/>
  <c r="S158" i="4" s="1"/>
  <c r="P46" i="6"/>
  <c r="S147" i="4"/>
  <c r="P32" i="6"/>
  <c r="S135" i="4"/>
  <c r="Q25" i="5"/>
  <c r="Q15" i="5"/>
  <c r="N147" i="4"/>
  <c r="N135" i="4"/>
  <c r="Q265" i="2"/>
  <c r="Q267" i="2" s="1"/>
  <c r="Q269" i="2" s="1"/>
  <c r="J32" i="6"/>
  <c r="M135" i="4"/>
  <c r="O147" i="4"/>
  <c r="L147" i="4"/>
  <c r="O135" i="4"/>
  <c r="G32" i="6"/>
  <c r="J135" i="4"/>
  <c r="N32" i="6"/>
  <c r="L135" i="4"/>
  <c r="Q135" i="4"/>
  <c r="Q116" i="4"/>
  <c r="Q125" i="4" s="1"/>
  <c r="I147" i="4"/>
  <c r="F32" i="6"/>
  <c r="Q195" i="4"/>
  <c r="N42" i="6"/>
  <c r="N34" i="6"/>
  <c r="I130" i="4"/>
  <c r="I195" i="4"/>
  <c r="P130" i="4"/>
  <c r="P195" i="4"/>
  <c r="J130" i="4"/>
  <c r="J195" i="4"/>
  <c r="P135" i="4"/>
  <c r="P147" i="4"/>
  <c r="F33" i="6"/>
  <c r="I135" i="4"/>
  <c r="T131" i="4"/>
  <c r="Q138" i="4"/>
  <c r="Q148" i="4"/>
  <c r="Q130" i="4"/>
  <c r="Q137" i="4"/>
  <c r="Q152" i="4"/>
  <c r="Q158" i="4" s="1"/>
  <c r="Q71" i="4"/>
  <c r="H230" i="4"/>
  <c r="P71" i="4"/>
  <c r="F42" i="6"/>
  <c r="I71" i="4"/>
  <c r="G34" i="6"/>
  <c r="J71" i="4"/>
  <c r="G42" i="6"/>
  <c r="N51" i="6"/>
  <c r="T112" i="4"/>
  <c r="F34" i="6"/>
  <c r="H125" i="4"/>
  <c r="H189" i="4" s="1"/>
  <c r="I19" i="5"/>
  <c r="K28" i="6" s="1"/>
  <c r="I116" i="4"/>
  <c r="I125" i="4" s="1"/>
  <c r="M116" i="4"/>
  <c r="M125" i="4" s="1"/>
  <c r="L116" i="4"/>
  <c r="L125" i="4" s="1"/>
  <c r="P116" i="4"/>
  <c r="P125" i="4" s="1"/>
  <c r="K116" i="4"/>
  <c r="K125" i="4" s="1"/>
  <c r="O116" i="4"/>
  <c r="O125" i="4" s="1"/>
  <c r="J116" i="4"/>
  <c r="J125" i="4" s="1"/>
  <c r="N116" i="4"/>
  <c r="N125" i="4" s="1"/>
  <c r="J19" i="5"/>
  <c r="L28" i="6" s="1"/>
  <c r="H19" i="5"/>
  <c r="J28" i="6" s="1"/>
  <c r="L33" i="6"/>
  <c r="Q24" i="5"/>
  <c r="H86" i="4"/>
  <c r="N19" i="5"/>
  <c r="P42" i="6" s="1"/>
  <c r="K33" i="6"/>
  <c r="T124" i="4"/>
  <c r="T105" i="4"/>
  <c r="I108" i="4"/>
  <c r="T108" i="4" s="1"/>
  <c r="M42" i="6"/>
  <c r="M34" i="6"/>
  <c r="H259" i="4" l="1"/>
  <c r="E17" i="1"/>
  <c r="M28" i="5"/>
  <c r="O37" i="6" s="1"/>
  <c r="O43" i="6" s="1"/>
  <c r="P28" i="6"/>
  <c r="P34" i="6"/>
  <c r="S148" i="4"/>
  <c r="S195" i="4"/>
  <c r="S130" i="4"/>
  <c r="S138" i="4"/>
  <c r="S137" i="4"/>
  <c r="S71" i="4"/>
  <c r="H188" i="4"/>
  <c r="P51" i="6"/>
  <c r="T147" i="4"/>
  <c r="N130" i="4"/>
  <c r="N195" i="4"/>
  <c r="M130" i="4"/>
  <c r="M195" i="4"/>
  <c r="O130" i="4"/>
  <c r="O195" i="4"/>
  <c r="T135" i="4"/>
  <c r="L28" i="5"/>
  <c r="N37" i="6" s="1"/>
  <c r="J34" i="6"/>
  <c r="M71" i="4"/>
  <c r="L42" i="6"/>
  <c r="O71" i="4"/>
  <c r="K34" i="6"/>
  <c r="N71" i="4"/>
  <c r="K42" i="6"/>
  <c r="M33" i="6"/>
  <c r="L34" i="6"/>
  <c r="T116" i="4"/>
  <c r="T125" i="4"/>
  <c r="J42" i="6"/>
  <c r="I235" i="2"/>
  <c r="H223" i="4" s="1"/>
  <c r="I234" i="2"/>
  <c r="H222" i="4" s="1"/>
  <c r="I233" i="2"/>
  <c r="H221" i="4" s="1"/>
  <c r="I231" i="2"/>
  <c r="H219" i="4" s="1"/>
  <c r="I230" i="2"/>
  <c r="H218" i="4" s="1"/>
  <c r="I229" i="2"/>
  <c r="H217" i="4" s="1"/>
  <c r="O27" i="6" l="1"/>
  <c r="O35" i="6" s="1"/>
  <c r="R140" i="4"/>
  <c r="R129" i="4"/>
  <c r="R217" i="4"/>
  <c r="S217" i="4"/>
  <c r="R219" i="4"/>
  <c r="S219" i="4"/>
  <c r="R218" i="4"/>
  <c r="S218" i="4"/>
  <c r="Q217" i="4"/>
  <c r="Q219" i="4"/>
  <c r="Q218" i="4"/>
  <c r="N27" i="6"/>
  <c r="Q129" i="4"/>
  <c r="Q140" i="4"/>
  <c r="Q16" i="5"/>
  <c r="Q17" i="5"/>
  <c r="Q18" i="5"/>
  <c r="H229" i="4"/>
  <c r="H231" i="4" s="1"/>
  <c r="J218" i="4"/>
  <c r="N218" i="4"/>
  <c r="P218" i="4"/>
  <c r="L218" i="4"/>
  <c r="K218" i="4"/>
  <c r="O218" i="4"/>
  <c r="I218" i="4"/>
  <c r="M218" i="4"/>
  <c r="J217" i="4"/>
  <c r="P217" i="4"/>
  <c r="I217" i="4"/>
  <c r="M217" i="4"/>
  <c r="L217" i="4"/>
  <c r="N217" i="4"/>
  <c r="K217" i="4"/>
  <c r="O217" i="4"/>
  <c r="J219" i="4"/>
  <c r="L219" i="4"/>
  <c r="N219" i="4"/>
  <c r="I219" i="4"/>
  <c r="M219" i="4"/>
  <c r="P219" i="4"/>
  <c r="K219" i="4"/>
  <c r="O219" i="4"/>
  <c r="G236" i="2"/>
  <c r="G238" i="2" s="1"/>
  <c r="I227" i="2"/>
  <c r="H215" i="4" s="1"/>
  <c r="I228" i="2"/>
  <c r="R149" i="4" l="1"/>
  <c r="R189" i="4" s="1"/>
  <c r="M16" i="5" s="1"/>
  <c r="G245" i="2"/>
  <c r="G252" i="2" s="1"/>
  <c r="G258" i="2" s="1"/>
  <c r="R215" i="4"/>
  <c r="S215" i="4"/>
  <c r="Q215" i="4"/>
  <c r="Q149" i="4"/>
  <c r="T218" i="4"/>
  <c r="T219" i="4"/>
  <c r="T217" i="4"/>
  <c r="H216" i="4"/>
  <c r="I215" i="4"/>
  <c r="P215" i="4"/>
  <c r="N215" i="4"/>
  <c r="M215" i="4"/>
  <c r="L215" i="4"/>
  <c r="J215" i="4"/>
  <c r="O215" i="4"/>
  <c r="K215" i="4"/>
  <c r="I260" i="2" l="1"/>
  <c r="H246" i="4" s="1"/>
  <c r="R216" i="4"/>
  <c r="S216" i="4"/>
  <c r="O75" i="6"/>
  <c r="O74" i="6"/>
  <c r="R182" i="4"/>
  <c r="R173" i="4"/>
  <c r="R178" i="4"/>
  <c r="R50" i="4"/>
  <c r="R51" i="4" s="1"/>
  <c r="O71" i="6"/>
  <c r="R183" i="4"/>
  <c r="R176" i="4"/>
  <c r="R46" i="4"/>
  <c r="R47" i="4" s="1"/>
  <c r="O65" i="6"/>
  <c r="R174" i="4"/>
  <c r="R185" i="4"/>
  <c r="O66" i="6"/>
  <c r="R72" i="4"/>
  <c r="O68" i="6"/>
  <c r="R73" i="4"/>
  <c r="R192" i="4"/>
  <c r="R175" i="4"/>
  <c r="R196" i="4"/>
  <c r="R181" i="4"/>
  <c r="Q189" i="4"/>
  <c r="L16" i="5" s="1"/>
  <c r="N66" i="6" s="1"/>
  <c r="Q216" i="4"/>
  <c r="T215" i="4"/>
  <c r="G265" i="2" l="1"/>
  <c r="G267" i="2" s="1"/>
  <c r="G269" i="2" s="1"/>
  <c r="O76" i="6"/>
  <c r="R53" i="4"/>
  <c r="R74" i="4"/>
  <c r="Q185" i="4"/>
  <c r="Q50" i="4"/>
  <c r="Q182" i="4"/>
  <c r="N74" i="6"/>
  <c r="Q73" i="4"/>
  <c r="Q181" i="4"/>
  <c r="N68" i="6"/>
  <c r="N71" i="6"/>
  <c r="Q183" i="4"/>
  <c r="Q175" i="4"/>
  <c r="Q196" i="4"/>
  <c r="Q174" i="4"/>
  <c r="Q192" i="4"/>
  <c r="Q173" i="4"/>
  <c r="Q72" i="4"/>
  <c r="N75" i="6"/>
  <c r="Q178" i="4"/>
  <c r="N65" i="6"/>
  <c r="Q46" i="4"/>
  <c r="Q176" i="4"/>
  <c r="H255" i="4"/>
  <c r="R255" i="4" s="1"/>
  <c r="Q27" i="5"/>
  <c r="Q26" i="5"/>
  <c r="M15" i="5" l="1"/>
  <c r="M24" i="5"/>
  <c r="M25" i="5"/>
  <c r="Q255" i="4"/>
  <c r="M255" i="4"/>
  <c r="K255" i="4"/>
  <c r="L255" i="4"/>
  <c r="N255" i="4"/>
  <c r="P255" i="4"/>
  <c r="I255" i="4"/>
  <c r="S255" i="4"/>
  <c r="T255" i="4"/>
  <c r="O255" i="4"/>
  <c r="J255" i="4"/>
  <c r="R80" i="4" l="1"/>
  <c r="R246" i="4"/>
  <c r="O70" i="6"/>
  <c r="R236" i="4"/>
  <c r="R248" i="4"/>
  <c r="O67" i="6"/>
  <c r="O79" i="6" s="1"/>
  <c r="O83" i="6" s="1"/>
  <c r="O84" i="6" s="1"/>
  <c r="M27" i="5" s="1"/>
  <c r="O69" i="6" s="1"/>
  <c r="R221" i="4"/>
  <c r="R250" i="4"/>
  <c r="R245" i="4"/>
  <c r="R197" i="4"/>
  <c r="R177" i="4"/>
  <c r="R198" i="4"/>
  <c r="R77" i="4"/>
  <c r="R180" i="4"/>
  <c r="R237" i="4"/>
  <c r="R249" i="4"/>
  <c r="R58" i="4"/>
  <c r="R203" i="4"/>
  <c r="R222" i="4"/>
  <c r="R204" i="4"/>
  <c r="R223" i="4"/>
  <c r="R59" i="4"/>
  <c r="R205" i="4"/>
  <c r="K152" i="4"/>
  <c r="K158" i="4" s="1"/>
  <c r="J152" i="4"/>
  <c r="J158" i="4" s="1"/>
  <c r="L152" i="4"/>
  <c r="L158" i="4" s="1"/>
  <c r="N152" i="4"/>
  <c r="N158" i="4" s="1"/>
  <c r="I152" i="4"/>
  <c r="P152" i="4"/>
  <c r="P158" i="4" s="1"/>
  <c r="M152" i="4"/>
  <c r="M158" i="4" s="1"/>
  <c r="O152" i="4"/>
  <c r="O158" i="4" s="1"/>
  <c r="O72" i="6" l="1"/>
  <c r="O78" i="6" s="1"/>
  <c r="O81" i="6" s="1"/>
  <c r="O82" i="6" s="1"/>
  <c r="M26" i="5" s="1"/>
  <c r="R81" i="4" s="1"/>
  <c r="R82" i="4" s="1"/>
  <c r="R84" i="4" s="1"/>
  <c r="R199" i="4"/>
  <c r="R238" i="4"/>
  <c r="T152" i="4"/>
  <c r="I158" i="4"/>
  <c r="T158" i="4" s="1"/>
  <c r="R179" i="4" l="1"/>
  <c r="R186" i="4" s="1"/>
  <c r="R188" i="4" s="1"/>
  <c r="O10" i="1" s="1"/>
  <c r="R202" i="4"/>
  <c r="R206" i="4" s="1"/>
  <c r="M17" i="5" s="1"/>
  <c r="R61" i="4" s="1"/>
  <c r="E10" i="1"/>
  <c r="R229" i="4" l="1"/>
  <c r="R208" i="4"/>
  <c r="M18" i="5" s="1"/>
  <c r="R60" i="4" s="1"/>
  <c r="R62" i="4" s="1"/>
  <c r="O12" i="1" l="1"/>
  <c r="R230" i="4"/>
  <c r="R231" i="4" s="1"/>
  <c r="R64" i="4"/>
  <c r="R86" i="4" s="1"/>
  <c r="R259" i="4" s="1"/>
  <c r="K31" i="4"/>
  <c r="K76" i="4"/>
  <c r="L31" i="4"/>
  <c r="L43" i="4" s="1"/>
  <c r="L76" i="4"/>
  <c r="P136" i="4"/>
  <c r="O136" i="4"/>
  <c r="N136" i="4"/>
  <c r="E12" i="1"/>
  <c r="O17" i="1" l="1"/>
  <c r="O29" i="1" s="1"/>
  <c r="G19" i="5"/>
  <c r="T31" i="4"/>
  <c r="T136" i="4"/>
  <c r="T76" i="4"/>
  <c r="I137" i="4"/>
  <c r="I138" i="4"/>
  <c r="I148" i="4"/>
  <c r="N148" i="4"/>
  <c r="N137" i="4"/>
  <c r="N138" i="4"/>
  <c r="J148" i="4"/>
  <c r="J137" i="4"/>
  <c r="J138" i="4"/>
  <c r="O137" i="4"/>
  <c r="O138" i="4"/>
  <c r="O148" i="4"/>
  <c r="M137" i="4"/>
  <c r="M138" i="4"/>
  <c r="M148" i="4"/>
  <c r="P148" i="4"/>
  <c r="P137" i="4"/>
  <c r="P138" i="4"/>
  <c r="K43" i="4"/>
  <c r="L195" i="4" l="1"/>
  <c r="I28" i="6"/>
  <c r="L71" i="4"/>
  <c r="L130" i="4"/>
  <c r="L138" i="4"/>
  <c r="L148" i="4"/>
  <c r="I28" i="5"/>
  <c r="K37" i="6" s="1"/>
  <c r="L137" i="4"/>
  <c r="I34" i="6"/>
  <c r="I42" i="6"/>
  <c r="K28" i="5"/>
  <c r="M37" i="6" s="1"/>
  <c r="E28" i="5"/>
  <c r="G37" i="6" s="1"/>
  <c r="J28" i="5"/>
  <c r="L37" i="6" s="1"/>
  <c r="F19" i="5"/>
  <c r="O19" i="5" s="1"/>
  <c r="N28" i="5"/>
  <c r="P37" i="6" s="1"/>
  <c r="P43" i="6" s="1"/>
  <c r="H28" i="5"/>
  <c r="J37" i="6" s="1"/>
  <c r="D28" i="5"/>
  <c r="T43" i="4"/>
  <c r="F37" i="6" l="1"/>
  <c r="S140" i="4"/>
  <c r="P27" i="6"/>
  <c r="P35" i="6" s="1"/>
  <c r="S129" i="4"/>
  <c r="K195" i="4"/>
  <c r="H28" i="6"/>
  <c r="K71" i="4"/>
  <c r="T71" i="4" s="1"/>
  <c r="K130" i="4"/>
  <c r="T130" i="4" s="1"/>
  <c r="N43" i="6"/>
  <c r="N35" i="6"/>
  <c r="G28" i="5"/>
  <c r="M69" i="4"/>
  <c r="O69" i="4"/>
  <c r="N69" i="4"/>
  <c r="L69" i="4"/>
  <c r="J43" i="6"/>
  <c r="J27" i="6"/>
  <c r="J35" i="6" s="1"/>
  <c r="F27" i="6"/>
  <c r="H34" i="6"/>
  <c r="H42" i="6"/>
  <c r="K27" i="6"/>
  <c r="K35" i="6" s="1"/>
  <c r="K43" i="6"/>
  <c r="L43" i="6"/>
  <c r="L27" i="6"/>
  <c r="L35" i="6" s="1"/>
  <c r="G27" i="6"/>
  <c r="G35" i="6" s="1"/>
  <c r="G43" i="6"/>
  <c r="M27" i="6"/>
  <c r="M35" i="6" s="1"/>
  <c r="M43" i="6"/>
  <c r="P129" i="4"/>
  <c r="P140" i="4"/>
  <c r="I129" i="4"/>
  <c r="I140" i="4"/>
  <c r="M129" i="4"/>
  <c r="M140" i="4"/>
  <c r="O140" i="4"/>
  <c r="O129" i="4"/>
  <c r="N129" i="4"/>
  <c r="N140" i="4"/>
  <c r="J129" i="4"/>
  <c r="J140" i="4"/>
  <c r="K137" i="4"/>
  <c r="K138" i="4"/>
  <c r="T138" i="4" s="1"/>
  <c r="K148" i="4"/>
  <c r="T148" i="4" s="1"/>
  <c r="S149" i="4" l="1"/>
  <c r="L140" i="4"/>
  <c r="I37" i="6"/>
  <c r="I43" i="6" s="1"/>
  <c r="F43" i="6"/>
  <c r="F35" i="6"/>
  <c r="P69" i="4"/>
  <c r="I27" i="6"/>
  <c r="I35" i="6" s="1"/>
  <c r="L129" i="4"/>
  <c r="T137" i="4"/>
  <c r="F28" i="5"/>
  <c r="O28" i="5" s="1"/>
  <c r="K69" i="4"/>
  <c r="P149" i="4"/>
  <c r="P189" i="4" s="1"/>
  <c r="O149" i="4"/>
  <c r="J149" i="4"/>
  <c r="N149" i="4"/>
  <c r="M149" i="4"/>
  <c r="I149" i="4"/>
  <c r="H37" i="6" l="1"/>
  <c r="L149" i="4"/>
  <c r="L189" i="4" s="1"/>
  <c r="K16" i="5"/>
  <c r="T69" i="4"/>
  <c r="M189" i="4"/>
  <c r="O189" i="4"/>
  <c r="I189" i="4"/>
  <c r="N189" i="4"/>
  <c r="S189" i="4"/>
  <c r="J189" i="4"/>
  <c r="H27" i="6"/>
  <c r="K140" i="4"/>
  <c r="T140" i="4" s="1"/>
  <c r="K129" i="4"/>
  <c r="T129" i="4" s="1"/>
  <c r="H43" i="6" l="1"/>
  <c r="H35" i="6"/>
  <c r="P185" i="4"/>
  <c r="P196" i="4"/>
  <c r="P192" i="4"/>
  <c r="P73" i="4"/>
  <c r="P183" i="4"/>
  <c r="Q74" i="4"/>
  <c r="P72" i="4"/>
  <c r="Q51" i="4"/>
  <c r="M74" i="6"/>
  <c r="M75" i="6"/>
  <c r="P50" i="4"/>
  <c r="P51" i="4" s="1"/>
  <c r="E16" i="5"/>
  <c r="G16" i="5"/>
  <c r="N16" i="5"/>
  <c r="I16" i="5"/>
  <c r="J16" i="5"/>
  <c r="H16" i="5"/>
  <c r="Q47" i="4"/>
  <c r="P46" i="4"/>
  <c r="P47" i="4" s="1"/>
  <c r="D16" i="5"/>
  <c r="P176" i="4"/>
  <c r="P182" i="4"/>
  <c r="M65" i="6"/>
  <c r="M66" i="6"/>
  <c r="M71" i="6"/>
  <c r="M68" i="6"/>
  <c r="P175" i="4"/>
  <c r="P178" i="4"/>
  <c r="P181" i="4"/>
  <c r="P174" i="4"/>
  <c r="P173" i="4"/>
  <c r="K149" i="4"/>
  <c r="P74" i="6" l="1"/>
  <c r="P75" i="6"/>
  <c r="P65" i="6"/>
  <c r="P66" i="6"/>
  <c r="P71" i="6"/>
  <c r="P68" i="6"/>
  <c r="S192" i="4"/>
  <c r="S196" i="4"/>
  <c r="S173" i="4"/>
  <c r="S174" i="4"/>
  <c r="S178" i="4"/>
  <c r="S182" i="4"/>
  <c r="S181" i="4"/>
  <c r="S175" i="4"/>
  <c r="S183" i="4"/>
  <c r="S176" i="4"/>
  <c r="S185" i="4"/>
  <c r="S72" i="4"/>
  <c r="S73" i="4"/>
  <c r="S46" i="4"/>
  <c r="S47" i="4" s="1"/>
  <c r="S50" i="4"/>
  <c r="S51" i="4" s="1"/>
  <c r="J66" i="6"/>
  <c r="K65" i="6"/>
  <c r="I196" i="4"/>
  <c r="O196" i="4"/>
  <c r="J196" i="4"/>
  <c r="G68" i="6"/>
  <c r="J174" i="4"/>
  <c r="L66" i="6"/>
  <c r="I65" i="6"/>
  <c r="J181" i="4"/>
  <c r="O173" i="4"/>
  <c r="O174" i="4"/>
  <c r="J176" i="4"/>
  <c r="I173" i="4"/>
  <c r="L71" i="6"/>
  <c r="I71" i="6"/>
  <c r="I66" i="6"/>
  <c r="I68" i="6"/>
  <c r="N50" i="4"/>
  <c r="N51" i="4" s="1"/>
  <c r="K66" i="6"/>
  <c r="K68" i="6"/>
  <c r="J68" i="6"/>
  <c r="J65" i="6"/>
  <c r="K71" i="6"/>
  <c r="J71" i="6"/>
  <c r="I178" i="4"/>
  <c r="L68" i="6"/>
  <c r="L65" i="6"/>
  <c r="F68" i="6"/>
  <c r="G65" i="6"/>
  <c r="G71" i="6"/>
  <c r="F71" i="6"/>
  <c r="I182" i="4"/>
  <c r="I175" i="4"/>
  <c r="F65" i="6"/>
  <c r="N76" i="6"/>
  <c r="G66" i="6"/>
  <c r="F66" i="6"/>
  <c r="J182" i="4"/>
  <c r="J178" i="4"/>
  <c r="J175" i="4"/>
  <c r="J173" i="4"/>
  <c r="O178" i="4"/>
  <c r="I181" i="4"/>
  <c r="I176" i="4"/>
  <c r="I174" i="4"/>
  <c r="O182" i="4"/>
  <c r="O175" i="4"/>
  <c r="M192" i="4"/>
  <c r="M196" i="4"/>
  <c r="N192" i="4"/>
  <c r="N196" i="4"/>
  <c r="L192" i="4"/>
  <c r="L196" i="4"/>
  <c r="I185" i="4"/>
  <c r="I192" i="4"/>
  <c r="O185" i="4"/>
  <c r="O192" i="4"/>
  <c r="J185" i="4"/>
  <c r="J192" i="4"/>
  <c r="M183" i="4"/>
  <c r="M185" i="4"/>
  <c r="N183" i="4"/>
  <c r="N185" i="4"/>
  <c r="L183" i="4"/>
  <c r="L185" i="4"/>
  <c r="O181" i="4"/>
  <c r="O183" i="4"/>
  <c r="J73" i="4"/>
  <c r="J183" i="4"/>
  <c r="P74" i="4"/>
  <c r="I73" i="4"/>
  <c r="I183" i="4"/>
  <c r="M181" i="4"/>
  <c r="M182" i="4"/>
  <c r="N181" i="4"/>
  <c r="N182" i="4"/>
  <c r="L181" i="4"/>
  <c r="L182" i="4"/>
  <c r="M176" i="4"/>
  <c r="M178" i="4"/>
  <c r="N176" i="4"/>
  <c r="N178" i="4"/>
  <c r="L176" i="4"/>
  <c r="L178" i="4"/>
  <c r="O73" i="4"/>
  <c r="O176" i="4"/>
  <c r="M174" i="4"/>
  <c r="M175" i="4"/>
  <c r="N174" i="4"/>
  <c r="N175" i="4"/>
  <c r="L174" i="4"/>
  <c r="L175" i="4"/>
  <c r="M73" i="4"/>
  <c r="M173" i="4"/>
  <c r="N73" i="4"/>
  <c r="N173" i="4"/>
  <c r="L73" i="4"/>
  <c r="L173" i="4"/>
  <c r="G75" i="6"/>
  <c r="J74" i="6"/>
  <c r="I74" i="6"/>
  <c r="K75" i="6"/>
  <c r="M50" i="4"/>
  <c r="M51" i="4" s="1"/>
  <c r="O50" i="4"/>
  <c r="O51" i="4" s="1"/>
  <c r="O72" i="4"/>
  <c r="J46" i="4"/>
  <c r="J47" i="4" s="1"/>
  <c r="J72" i="4"/>
  <c r="F74" i="6"/>
  <c r="I72" i="4"/>
  <c r="M46" i="4"/>
  <c r="M47" i="4" s="1"/>
  <c r="M72" i="4"/>
  <c r="N46" i="4"/>
  <c r="N47" i="4" s="1"/>
  <c r="N72" i="4"/>
  <c r="L46" i="4"/>
  <c r="L47" i="4" s="1"/>
  <c r="L72" i="4"/>
  <c r="P53" i="4"/>
  <c r="K24" i="5" s="1"/>
  <c r="J75" i="6"/>
  <c r="K74" i="6"/>
  <c r="I75" i="6"/>
  <c r="L50" i="4"/>
  <c r="L51" i="4" s="1"/>
  <c r="L74" i="6"/>
  <c r="L75" i="6"/>
  <c r="G74" i="6"/>
  <c r="Q53" i="4"/>
  <c r="O46" i="4"/>
  <c r="O47" i="4" s="1"/>
  <c r="J50" i="4"/>
  <c r="J51" i="4" s="1"/>
  <c r="M76" i="6"/>
  <c r="I46" i="4"/>
  <c r="I47" i="4" s="1"/>
  <c r="I50" i="4"/>
  <c r="F75" i="6"/>
  <c r="K189" i="4"/>
  <c r="T149" i="4"/>
  <c r="T189" i="4" s="1"/>
  <c r="M78" i="4"/>
  <c r="P78" i="4"/>
  <c r="N78" i="4"/>
  <c r="K76" i="6" l="1"/>
  <c r="I76" i="6"/>
  <c r="N53" i="4"/>
  <c r="I24" i="5" s="1"/>
  <c r="N58" i="4" s="1"/>
  <c r="J74" i="4"/>
  <c r="P76" i="6"/>
  <c r="O53" i="4"/>
  <c r="J24" i="5" s="1"/>
  <c r="O58" i="4" s="1"/>
  <c r="G76" i="6"/>
  <c r="I74" i="4"/>
  <c r="O74" i="4"/>
  <c r="L74" i="4"/>
  <c r="N74" i="4"/>
  <c r="M74" i="4"/>
  <c r="S53" i="4"/>
  <c r="S74" i="4"/>
  <c r="J76" i="6"/>
  <c r="M53" i="4"/>
  <c r="H15" i="5" s="1"/>
  <c r="M223" i="4" s="1"/>
  <c r="F76" i="6"/>
  <c r="K15" i="5"/>
  <c r="P223" i="4" s="1"/>
  <c r="L53" i="4"/>
  <c r="G15" i="5" s="1"/>
  <c r="L223" i="4" s="1"/>
  <c r="K25" i="5"/>
  <c r="J53" i="4"/>
  <c r="E24" i="5" s="1"/>
  <c r="J58" i="4" s="1"/>
  <c r="L76" i="6"/>
  <c r="L15" i="5"/>
  <c r="L24" i="5"/>
  <c r="L25" i="5"/>
  <c r="F16" i="5"/>
  <c r="O16" i="5" s="1"/>
  <c r="I51" i="4"/>
  <c r="I53" i="4" s="1"/>
  <c r="K78" i="4"/>
  <c r="L78" i="4"/>
  <c r="I78" i="4"/>
  <c r="O78" i="4"/>
  <c r="J78" i="4"/>
  <c r="P58" i="4"/>
  <c r="I15" i="5" l="1"/>
  <c r="N223" i="4" s="1"/>
  <c r="N70" i="6"/>
  <c r="Q248" i="4"/>
  <c r="M70" i="6"/>
  <c r="P248" i="4"/>
  <c r="P180" i="4"/>
  <c r="P246" i="4"/>
  <c r="N67" i="6"/>
  <c r="N79" i="6" s="1"/>
  <c r="N83" i="6" s="1"/>
  <c r="N84" i="6" s="1"/>
  <c r="Q246" i="4"/>
  <c r="H66" i="6"/>
  <c r="I25" i="5"/>
  <c r="N248" i="4" s="1"/>
  <c r="J15" i="5"/>
  <c r="O223" i="4" s="1"/>
  <c r="J25" i="5"/>
  <c r="H71" i="6"/>
  <c r="H68" i="6"/>
  <c r="P205" i="4"/>
  <c r="H65" i="6"/>
  <c r="K176" i="4"/>
  <c r="T176" i="4" s="1"/>
  <c r="H25" i="5"/>
  <c r="P222" i="4"/>
  <c r="Q250" i="4"/>
  <c r="Q245" i="4"/>
  <c r="Q236" i="4"/>
  <c r="Q249" i="4"/>
  <c r="Q237" i="4"/>
  <c r="Q221" i="4"/>
  <c r="Q222" i="4"/>
  <c r="Q223" i="4"/>
  <c r="P198" i="4"/>
  <c r="P245" i="4"/>
  <c r="P221" i="4"/>
  <c r="Q204" i="4"/>
  <c r="Q205" i="4"/>
  <c r="L59" i="4"/>
  <c r="L204" i="4"/>
  <c r="P59" i="4"/>
  <c r="P204" i="4"/>
  <c r="M59" i="4"/>
  <c r="M204" i="4"/>
  <c r="Q58" i="4"/>
  <c r="Q203" i="4"/>
  <c r="P177" i="4"/>
  <c r="P77" i="4"/>
  <c r="Q197" i="4"/>
  <c r="Q198" i="4"/>
  <c r="P80" i="4"/>
  <c r="P197" i="4"/>
  <c r="K178" i="4"/>
  <c r="T178" i="4" s="1"/>
  <c r="K196" i="4"/>
  <c r="K185" i="4"/>
  <c r="T185" i="4" s="1"/>
  <c r="K192" i="4"/>
  <c r="K174" i="4"/>
  <c r="T174" i="4" s="1"/>
  <c r="K182" i="4"/>
  <c r="T182" i="4" s="1"/>
  <c r="K181" i="4"/>
  <c r="T181" i="4" s="1"/>
  <c r="Q177" i="4"/>
  <c r="Q180" i="4"/>
  <c r="K175" i="4"/>
  <c r="T175" i="4" s="1"/>
  <c r="K183" i="4"/>
  <c r="T183" i="4" s="1"/>
  <c r="K73" i="4"/>
  <c r="T73" i="4" s="1"/>
  <c r="K173" i="4"/>
  <c r="T173" i="4" s="1"/>
  <c r="N25" i="5"/>
  <c r="N15" i="5"/>
  <c r="N24" i="5"/>
  <c r="E25" i="5"/>
  <c r="Q80" i="4"/>
  <c r="Q77" i="4"/>
  <c r="Q59" i="4"/>
  <c r="G24" i="5"/>
  <c r="L58" i="4" s="1"/>
  <c r="K50" i="4"/>
  <c r="H24" i="5"/>
  <c r="M58" i="4" s="1"/>
  <c r="E15" i="5"/>
  <c r="J222" i="4" s="1"/>
  <c r="G25" i="5"/>
  <c r="K46" i="4"/>
  <c r="T46" i="4" s="1"/>
  <c r="K72" i="4"/>
  <c r="H74" i="6"/>
  <c r="H75" i="6"/>
  <c r="D24" i="5"/>
  <c r="D15" i="5"/>
  <c r="D25" i="5"/>
  <c r="I237" i="4" s="1"/>
  <c r="T78" i="4"/>
  <c r="M222" i="4"/>
  <c r="M205" i="4"/>
  <c r="P237" i="4"/>
  <c r="P236" i="4"/>
  <c r="P249" i="4"/>
  <c r="P250" i="4"/>
  <c r="L205" i="4"/>
  <c r="L222" i="4"/>
  <c r="I58" i="4" l="1"/>
  <c r="P70" i="6"/>
  <c r="P67" i="6"/>
  <c r="P79" i="6" s="1"/>
  <c r="P83" i="6" s="1"/>
  <c r="P84" i="6" s="1"/>
  <c r="N205" i="4"/>
  <c r="N59" i="4"/>
  <c r="N222" i="4"/>
  <c r="N204" i="4"/>
  <c r="S222" i="4"/>
  <c r="S223" i="4"/>
  <c r="S245" i="4"/>
  <c r="S236" i="4"/>
  <c r="S249" i="4"/>
  <c r="S246" i="4"/>
  <c r="S221" i="4"/>
  <c r="S250" i="4"/>
  <c r="S248" i="4"/>
  <c r="S237" i="4"/>
  <c r="S59" i="4"/>
  <c r="S204" i="4"/>
  <c r="S205" i="4"/>
  <c r="S58" i="4"/>
  <c r="S203" i="4"/>
  <c r="S197" i="4"/>
  <c r="S198" i="4"/>
  <c r="S177" i="4"/>
  <c r="S180" i="4"/>
  <c r="S77" i="4"/>
  <c r="S80" i="4"/>
  <c r="I223" i="4"/>
  <c r="L70" i="6"/>
  <c r="O248" i="4"/>
  <c r="J70" i="6"/>
  <c r="M248" i="4"/>
  <c r="F70" i="6"/>
  <c r="I246" i="4"/>
  <c r="I248" i="4"/>
  <c r="I70" i="6"/>
  <c r="L248" i="4"/>
  <c r="G70" i="6"/>
  <c r="J246" i="4"/>
  <c r="J248" i="4"/>
  <c r="N249" i="4"/>
  <c r="K70" i="6"/>
  <c r="M221" i="4"/>
  <c r="M246" i="4"/>
  <c r="O245" i="4"/>
  <c r="O246" i="4"/>
  <c r="I249" i="4"/>
  <c r="L180" i="4"/>
  <c r="L246" i="4"/>
  <c r="J250" i="4"/>
  <c r="N245" i="4"/>
  <c r="N246" i="4"/>
  <c r="N77" i="4"/>
  <c r="N236" i="4"/>
  <c r="N80" i="4"/>
  <c r="N180" i="4"/>
  <c r="N250" i="4"/>
  <c r="N177" i="4"/>
  <c r="N237" i="4"/>
  <c r="N198" i="4"/>
  <c r="M245" i="4"/>
  <c r="N197" i="4"/>
  <c r="N221" i="4"/>
  <c r="I180" i="4"/>
  <c r="I222" i="4"/>
  <c r="O77" i="4"/>
  <c r="O198" i="4"/>
  <c r="O250" i="4"/>
  <c r="O177" i="4"/>
  <c r="O249" i="4"/>
  <c r="O180" i="4"/>
  <c r="O237" i="4"/>
  <c r="O236" i="4"/>
  <c r="O80" i="4"/>
  <c r="O197" i="4"/>
  <c r="M237" i="4"/>
  <c r="M177" i="4"/>
  <c r="M80" i="4"/>
  <c r="O205" i="4"/>
  <c r="O204" i="4"/>
  <c r="I236" i="4"/>
  <c r="O222" i="4"/>
  <c r="M198" i="4"/>
  <c r="O59" i="4"/>
  <c r="P199" i="4"/>
  <c r="M249" i="4"/>
  <c r="M250" i="4"/>
  <c r="M236" i="4"/>
  <c r="M180" i="4"/>
  <c r="M77" i="4"/>
  <c r="M197" i="4"/>
  <c r="O221" i="4"/>
  <c r="K47" i="4"/>
  <c r="T47" i="4" s="1"/>
  <c r="J236" i="4"/>
  <c r="J237" i="4"/>
  <c r="I205" i="4"/>
  <c r="I250" i="4"/>
  <c r="J249" i="4"/>
  <c r="J205" i="4"/>
  <c r="J223" i="4"/>
  <c r="Q238" i="4"/>
  <c r="I198" i="4"/>
  <c r="I245" i="4"/>
  <c r="I221" i="4"/>
  <c r="L198" i="4"/>
  <c r="L245" i="4"/>
  <c r="L221" i="4"/>
  <c r="L236" i="4"/>
  <c r="L249" i="4"/>
  <c r="L237" i="4"/>
  <c r="L250" i="4"/>
  <c r="J198" i="4"/>
  <c r="J245" i="4"/>
  <c r="J221" i="4"/>
  <c r="I59" i="4"/>
  <c r="I204" i="4"/>
  <c r="J59" i="4"/>
  <c r="J204" i="4"/>
  <c r="Q199" i="4"/>
  <c r="I177" i="4"/>
  <c r="I197" i="4"/>
  <c r="L177" i="4"/>
  <c r="L197" i="4"/>
  <c r="J177" i="4"/>
  <c r="J197" i="4"/>
  <c r="P238" i="4"/>
  <c r="J180" i="4"/>
  <c r="T192" i="4"/>
  <c r="J77" i="4"/>
  <c r="J80" i="4"/>
  <c r="I77" i="4"/>
  <c r="I80" i="4"/>
  <c r="L77" i="4"/>
  <c r="L80" i="4"/>
  <c r="K51" i="4"/>
  <c r="T51" i="4" s="1"/>
  <c r="T50" i="4"/>
  <c r="T72" i="4"/>
  <c r="K74" i="4"/>
  <c r="T74" i="4" s="1"/>
  <c r="H76" i="6"/>
  <c r="P203" i="4"/>
  <c r="S199" i="4" l="1"/>
  <c r="N199" i="4"/>
  <c r="N238" i="4"/>
  <c r="O199" i="4"/>
  <c r="I238" i="4"/>
  <c r="M238" i="4"/>
  <c r="S238" i="4"/>
  <c r="O238" i="4"/>
  <c r="M199" i="4"/>
  <c r="J199" i="4"/>
  <c r="L199" i="4"/>
  <c r="L238" i="4"/>
  <c r="J238" i="4"/>
  <c r="I199" i="4"/>
  <c r="K53" i="4"/>
  <c r="T53" i="4" s="1"/>
  <c r="P216" i="4"/>
  <c r="L203" i="4"/>
  <c r="N203" i="4"/>
  <c r="J203" i="4"/>
  <c r="M203" i="4"/>
  <c r="O203" i="4"/>
  <c r="M216" i="4"/>
  <c r="N216" i="4"/>
  <c r="F24" i="5" l="1"/>
  <c r="O24" i="5" s="1"/>
  <c r="F25" i="5"/>
  <c r="O25" i="5" s="1"/>
  <c r="F15" i="5"/>
  <c r="O15" i="5" s="1"/>
  <c r="K216" i="4"/>
  <c r="O216" i="4"/>
  <c r="I203" i="4"/>
  <c r="I216" i="4"/>
  <c r="K248" i="4" l="1"/>
  <c r="T248" i="4" s="1"/>
  <c r="K203" i="4"/>
  <c r="T203" i="4" s="1"/>
  <c r="K246" i="4"/>
  <c r="T246" i="4" s="1"/>
  <c r="H70" i="6"/>
  <c r="K198" i="4"/>
  <c r="T198" i="4" s="1"/>
  <c r="K245" i="4"/>
  <c r="T245" i="4" s="1"/>
  <c r="K221" i="4"/>
  <c r="T221" i="4" s="1"/>
  <c r="K236" i="4"/>
  <c r="K237" i="4"/>
  <c r="T237" i="4" s="1"/>
  <c r="K250" i="4"/>
  <c r="T250" i="4" s="1"/>
  <c r="K249" i="4"/>
  <c r="T249" i="4" s="1"/>
  <c r="K223" i="4"/>
  <c r="T223" i="4" s="1"/>
  <c r="K222" i="4"/>
  <c r="T222" i="4" s="1"/>
  <c r="K204" i="4"/>
  <c r="T204" i="4" s="1"/>
  <c r="K205" i="4"/>
  <c r="T205" i="4" s="1"/>
  <c r="K180" i="4"/>
  <c r="T180" i="4" s="1"/>
  <c r="K197" i="4"/>
  <c r="K80" i="4"/>
  <c r="T80" i="4" s="1"/>
  <c r="K177" i="4"/>
  <c r="T177" i="4" s="1"/>
  <c r="K58" i="4"/>
  <c r="T58" i="4" s="1"/>
  <c r="K77" i="4"/>
  <c r="T77" i="4" s="1"/>
  <c r="K59" i="4"/>
  <c r="T59" i="4" s="1"/>
  <c r="T236" i="4" l="1"/>
  <c r="K238" i="4"/>
  <c r="K199" i="4"/>
  <c r="T199" i="4" s="1"/>
  <c r="T197" i="4"/>
  <c r="T238" i="4" l="1"/>
  <c r="C50" i="22" l="1"/>
  <c r="C52" i="22" l="1"/>
  <c r="C47" i="22"/>
  <c r="C51" i="22" l="1"/>
  <c r="C48" i="22" l="1"/>
  <c r="G273" i="2" l="1"/>
  <c r="J216" i="4" l="1"/>
  <c r="L216" i="4"/>
  <c r="H67" i="6"/>
  <c r="H79" i="6" s="1"/>
  <c r="F67" i="6"/>
  <c r="F79" i="6" s="1"/>
  <c r="F83" i="6" s="1"/>
  <c r="L67" i="6"/>
  <c r="L79" i="6" s="1"/>
  <c r="I67" i="6"/>
  <c r="I79" i="6" s="1"/>
  <c r="M67" i="6"/>
  <c r="M79" i="6" s="1"/>
  <c r="K67" i="6"/>
  <c r="K79" i="6" s="1"/>
  <c r="G67" i="6"/>
  <c r="G79" i="6" s="1"/>
  <c r="J67" i="6"/>
  <c r="J79" i="6" s="1"/>
  <c r="J83" i="6" l="1"/>
  <c r="J84" i="6" s="1"/>
  <c r="K83" i="6"/>
  <c r="K84" i="6" s="1"/>
  <c r="I83" i="6"/>
  <c r="I84" i="6" s="1"/>
  <c r="G83" i="6"/>
  <c r="G84" i="6" s="1"/>
  <c r="M83" i="6"/>
  <c r="M84" i="6" s="1"/>
  <c r="L83" i="6"/>
  <c r="L84" i="6" s="1"/>
  <c r="H83" i="6"/>
  <c r="H84" i="6" s="1"/>
  <c r="F84" i="6"/>
  <c r="T216" i="4"/>
  <c r="H27" i="5" l="1"/>
  <c r="J69" i="6" s="1"/>
  <c r="J72" i="6" s="1"/>
  <c r="J78" i="6" s="1"/>
  <c r="J81" i="6" s="1"/>
  <c r="F27" i="5"/>
  <c r="H69" i="6" s="1"/>
  <c r="H72" i="6" s="1"/>
  <c r="H78" i="6" s="1"/>
  <c r="H81" i="6" s="1"/>
  <c r="N27" i="5"/>
  <c r="J27" i="5"/>
  <c r="L69" i="6" s="1"/>
  <c r="L72" i="6" s="1"/>
  <c r="L78" i="6" s="1"/>
  <c r="E27" i="5"/>
  <c r="G69" i="6" s="1"/>
  <c r="G72" i="6" s="1"/>
  <c r="G78" i="6" s="1"/>
  <c r="K27" i="5"/>
  <c r="M69" i="6" s="1"/>
  <c r="M72" i="6" s="1"/>
  <c r="M78" i="6" s="1"/>
  <c r="I27" i="5"/>
  <c r="K69" i="6" s="1"/>
  <c r="K72" i="6" s="1"/>
  <c r="K78" i="6" s="1"/>
  <c r="G27" i="5"/>
  <c r="I69" i="6" s="1"/>
  <c r="I72" i="6" s="1"/>
  <c r="I78" i="6" s="1"/>
  <c r="I81" i="6" s="1"/>
  <c r="L27" i="5"/>
  <c r="N69" i="6" s="1"/>
  <c r="N72" i="6" s="1"/>
  <c r="N78" i="6" s="1"/>
  <c r="P69" i="6" l="1"/>
  <c r="P72" i="6" s="1"/>
  <c r="P78" i="6" s="1"/>
  <c r="P81" i="6" s="1"/>
  <c r="P82" i="6" s="1"/>
  <c r="N26" i="5" s="1"/>
  <c r="S202" i="4" s="1"/>
  <c r="M81" i="6"/>
  <c r="M82" i="6" s="1"/>
  <c r="K26" i="5" s="1"/>
  <c r="L81" i="6"/>
  <c r="L82" i="6" s="1"/>
  <c r="J26" i="5" s="1"/>
  <c r="N81" i="6"/>
  <c r="K81" i="6"/>
  <c r="K82" i="6" s="1"/>
  <c r="I26" i="5" s="1"/>
  <c r="G81" i="6"/>
  <c r="G82" i="6" s="1"/>
  <c r="E26" i="5" s="1"/>
  <c r="J81" i="4" s="1"/>
  <c r="J82" i="4" s="1"/>
  <c r="J84" i="4" s="1"/>
  <c r="I82" i="6"/>
  <c r="G26" i="5" s="1"/>
  <c r="H82" i="6"/>
  <c r="F26" i="5" s="1"/>
  <c r="J82" i="6"/>
  <c r="H26" i="5" s="1"/>
  <c r="N82" i="6" l="1"/>
  <c r="L26" i="5" s="1"/>
  <c r="Q202" i="4" s="1"/>
  <c r="Q206" i="4" s="1"/>
  <c r="Q208" i="4" s="1"/>
  <c r="S81" i="4"/>
  <c r="S82" i="4" s="1"/>
  <c r="S84" i="4" s="1"/>
  <c r="S179" i="4"/>
  <c r="S186" i="4" s="1"/>
  <c r="S188" i="4" s="1"/>
  <c r="S229" i="4" s="1"/>
  <c r="N81" i="4"/>
  <c r="N82" i="4" s="1"/>
  <c r="N84" i="4" s="1"/>
  <c r="N202" i="4"/>
  <c r="N206" i="4" s="1"/>
  <c r="N208" i="4" s="1"/>
  <c r="O81" i="4"/>
  <c r="O82" i="4" s="1"/>
  <c r="O84" i="4" s="1"/>
  <c r="O179" i="4"/>
  <c r="O186" i="4" s="1"/>
  <c r="O188" i="4" s="1"/>
  <c r="L10" i="1" s="1"/>
  <c r="O202" i="4"/>
  <c r="O206" i="4" s="1"/>
  <c r="J17" i="5" s="1"/>
  <c r="O61" i="4" s="1"/>
  <c r="P202" i="4"/>
  <c r="P206" i="4" s="1"/>
  <c r="P179" i="4"/>
  <c r="P186" i="4" s="1"/>
  <c r="P188" i="4" s="1"/>
  <c r="P229" i="4" s="1"/>
  <c r="J202" i="4"/>
  <c r="J206" i="4" s="1"/>
  <c r="E17" i="5" s="1"/>
  <c r="J61" i="4" s="1"/>
  <c r="P81" i="4"/>
  <c r="P82" i="4" s="1"/>
  <c r="P84" i="4" s="1"/>
  <c r="J179" i="4"/>
  <c r="J186" i="4" s="1"/>
  <c r="J188" i="4" s="1"/>
  <c r="G10" i="1" s="1"/>
  <c r="N179" i="4"/>
  <c r="N186" i="4" s="1"/>
  <c r="N188" i="4" s="1"/>
  <c r="N229" i="4" s="1"/>
  <c r="M81" i="4"/>
  <c r="M82" i="4" s="1"/>
  <c r="M84" i="4" s="1"/>
  <c r="M202" i="4"/>
  <c r="M206" i="4" s="1"/>
  <c r="H17" i="5" s="1"/>
  <c r="M61" i="4" s="1"/>
  <c r="M179" i="4"/>
  <c r="M186" i="4" s="1"/>
  <c r="M188" i="4" s="1"/>
  <c r="M229" i="4" s="1"/>
  <c r="K202" i="4"/>
  <c r="K206" i="4" s="1"/>
  <c r="F17" i="5" s="1"/>
  <c r="K61" i="4" s="1"/>
  <c r="K81" i="4"/>
  <c r="K82" i="4" s="1"/>
  <c r="K84" i="4" s="1"/>
  <c r="S206" i="4"/>
  <c r="N17" i="5" s="1"/>
  <c r="S61" i="4" s="1"/>
  <c r="L202" i="4"/>
  <c r="L206" i="4" s="1"/>
  <c r="L179" i="4"/>
  <c r="L186" i="4" s="1"/>
  <c r="L188" i="4" s="1"/>
  <c r="L229" i="4" s="1"/>
  <c r="K179" i="4"/>
  <c r="K186" i="4" s="1"/>
  <c r="K188" i="4" s="1"/>
  <c r="L81" i="4"/>
  <c r="L82" i="4" s="1"/>
  <c r="L84" i="4" s="1"/>
  <c r="E84" i="6"/>
  <c r="D27" i="5"/>
  <c r="O27" i="5" s="1"/>
  <c r="Q179" i="4" l="1"/>
  <c r="Q186" i="4" s="1"/>
  <c r="Q188" i="4" s="1"/>
  <c r="Q229" i="4" s="1"/>
  <c r="Q81" i="4"/>
  <c r="Q82" i="4" s="1"/>
  <c r="Q84" i="4" s="1"/>
  <c r="J229" i="4"/>
  <c r="O208" i="4"/>
  <c r="J18" i="5" s="1"/>
  <c r="O60" i="4" s="1"/>
  <c r="M10" i="1"/>
  <c r="I17" i="5"/>
  <c r="N61" i="4" s="1"/>
  <c r="J208" i="4"/>
  <c r="G12" i="1" s="1"/>
  <c r="L17" i="5"/>
  <c r="Q61" i="4" s="1"/>
  <c r="O229" i="4"/>
  <c r="K10" i="1"/>
  <c r="S208" i="4"/>
  <c r="K208" i="4"/>
  <c r="F18" i="5" s="1"/>
  <c r="K60" i="4" s="1"/>
  <c r="K64" i="4" s="1"/>
  <c r="K86" i="4" s="1"/>
  <c r="I10" i="1"/>
  <c r="K229" i="4"/>
  <c r="J10" i="1"/>
  <c r="P10" i="1"/>
  <c r="H10" i="1"/>
  <c r="M208" i="4"/>
  <c r="H18" i="5" s="1"/>
  <c r="M60" i="4" s="1"/>
  <c r="M64" i="4" s="1"/>
  <c r="M86" i="4" s="1"/>
  <c r="L208" i="4"/>
  <c r="G17" i="5"/>
  <c r="L61" i="4" s="1"/>
  <c r="F69" i="6"/>
  <c r="Q230" i="4"/>
  <c r="N12" i="1"/>
  <c r="K12" i="1"/>
  <c r="N230" i="4"/>
  <c r="N231" i="4" s="1"/>
  <c r="I18" i="5"/>
  <c r="N60" i="4" s="1"/>
  <c r="K17" i="5"/>
  <c r="P61" i="4" s="1"/>
  <c r="P208" i="4"/>
  <c r="N18" i="5" l="1"/>
  <c r="S60" i="4" s="1"/>
  <c r="S62" i="4" s="1"/>
  <c r="S230" i="4"/>
  <c r="S231" i="4" s="1"/>
  <c r="L18" i="5"/>
  <c r="Q60" i="4" s="1"/>
  <c r="Q64" i="4" s="1"/>
  <c r="Q86" i="4" s="1"/>
  <c r="N10" i="1"/>
  <c r="L12" i="1"/>
  <c r="J230" i="4"/>
  <c r="J231" i="4" s="1"/>
  <c r="O64" i="4"/>
  <c r="O86" i="4" s="1"/>
  <c r="O62" i="4"/>
  <c r="O230" i="4"/>
  <c r="O231" i="4" s="1"/>
  <c r="E18" i="5"/>
  <c r="J60" i="4" s="1"/>
  <c r="J62" i="4" s="1"/>
  <c r="Q231" i="4"/>
  <c r="K62" i="4"/>
  <c r="P12" i="1"/>
  <c r="H12" i="1"/>
  <c r="K230" i="4"/>
  <c r="K231" i="4" s="1"/>
  <c r="M62" i="4"/>
  <c r="M230" i="4"/>
  <c r="M231" i="4" s="1"/>
  <c r="L230" i="4"/>
  <c r="L231" i="4" s="1"/>
  <c r="I12" i="1"/>
  <c r="G18" i="5"/>
  <c r="L60" i="4" s="1"/>
  <c r="J12" i="1"/>
  <c r="F72" i="6"/>
  <c r="F78" i="6" s="1"/>
  <c r="F81" i="6" s="1"/>
  <c r="K259" i="4"/>
  <c r="H17" i="1"/>
  <c r="H29" i="1" s="1"/>
  <c r="M259" i="4"/>
  <c r="J17" i="1"/>
  <c r="J29" i="1" s="1"/>
  <c r="N62" i="4"/>
  <c r="N64" i="4"/>
  <c r="N86" i="4" s="1"/>
  <c r="P230" i="4"/>
  <c r="P231" i="4" s="1"/>
  <c r="M12" i="1"/>
  <c r="K18" i="5"/>
  <c r="P60" i="4" s="1"/>
  <c r="S64" i="4" l="1"/>
  <c r="S86" i="4" s="1"/>
  <c r="S259" i="4" s="1"/>
  <c r="Q62" i="4"/>
  <c r="N17" i="1"/>
  <c r="N29" i="1" s="1"/>
  <c r="O259" i="4"/>
  <c r="L17" i="1"/>
  <c r="L29" i="1" s="1"/>
  <c r="J64" i="4"/>
  <c r="J86" i="4" s="1"/>
  <c r="G17" i="1" s="1"/>
  <c r="G29" i="1" s="1"/>
  <c r="Q259" i="4"/>
  <c r="L64" i="4"/>
  <c r="L86" i="4" s="1"/>
  <c r="L62" i="4"/>
  <c r="N259" i="4"/>
  <c r="K17" i="1"/>
  <c r="K29" i="1" s="1"/>
  <c r="P62" i="4"/>
  <c r="P64" i="4"/>
  <c r="P86" i="4" s="1"/>
  <c r="P17" i="1" l="1"/>
  <c r="P29" i="1" s="1"/>
  <c r="J259" i="4"/>
  <c r="I17" i="1"/>
  <c r="I29" i="1" s="1"/>
  <c r="L259" i="4"/>
  <c r="F82" i="6"/>
  <c r="P259" i="4"/>
  <c r="M17" i="1"/>
  <c r="M29" i="1" s="1"/>
  <c r="E82" i="6" l="1"/>
  <c r="D26" i="5"/>
  <c r="O26" i="5" s="1"/>
  <c r="I81" i="4" l="1"/>
  <c r="I202" i="4"/>
  <c r="I179" i="4"/>
  <c r="T179" i="4" s="1"/>
  <c r="T202" i="4" l="1"/>
  <c r="I206" i="4"/>
  <c r="I186" i="4"/>
  <c r="T81" i="4"/>
  <c r="I82" i="4"/>
  <c r="T82" i="4" l="1"/>
  <c r="I84" i="4"/>
  <c r="T84" i="4" s="1"/>
  <c r="D17" i="5"/>
  <c r="O17" i="5" s="1"/>
  <c r="T206" i="4"/>
  <c r="I208" i="4"/>
  <c r="T186" i="4"/>
  <c r="I188" i="4"/>
  <c r="T188" i="4" s="1"/>
  <c r="I61" i="4" l="1"/>
  <c r="T61" i="4" s="1"/>
  <c r="I230" i="4"/>
  <c r="T230" i="4" s="1"/>
  <c r="F12" i="1"/>
  <c r="Q12" i="1" s="1"/>
  <c r="T208" i="4"/>
  <c r="I229" i="4"/>
  <c r="F10" i="1"/>
  <c r="Q10" i="1" s="1"/>
  <c r="D18" i="5"/>
  <c r="O18" i="5" s="1"/>
  <c r="I60" i="4" l="1"/>
  <c r="T229" i="4"/>
  <c r="I231" i="4"/>
  <c r="T231" i="4" s="1"/>
  <c r="T60" i="4" l="1"/>
  <c r="I62" i="4"/>
  <c r="T62" i="4" s="1"/>
  <c r="I64" i="4"/>
  <c r="T64" i="4" l="1"/>
  <c r="I86" i="4"/>
  <c r="T86" i="4" l="1"/>
  <c r="F17" i="1"/>
  <c r="F29" i="1" s="1"/>
  <c r="E29" i="1" s="1"/>
  <c r="E27" i="1" s="1"/>
  <c r="I259" i="4"/>
  <c r="Q17" i="1" l="1"/>
  <c r="Q29" i="1" l="1"/>
  <c r="C46" i="22" l="1"/>
  <c r="C49" i="22"/>
  <c r="D61" i="38" l="1"/>
  <c r="M56" i="2" l="1"/>
  <c r="M90" i="2" s="1"/>
  <c r="B7" i="42" l="1"/>
  <c r="E44" i="38"/>
  <c r="H7" i="42" l="1"/>
  <c r="L7" i="42"/>
  <c r="H232" i="2"/>
  <c r="H236" i="2" s="1"/>
  <c r="H238" i="2" s="1"/>
  <c r="AD236" i="2"/>
  <c r="AD238" i="2" s="1"/>
  <c r="H245" i="2" l="1"/>
  <c r="H252" i="2" s="1"/>
  <c r="AD245" i="2"/>
  <c r="AD252" i="2" s="1"/>
  <c r="AD258" i="2" s="1"/>
  <c r="I232" i="2"/>
  <c r="I236" i="2" l="1"/>
  <c r="I238" i="2" s="1"/>
  <c r="H220" i="4"/>
  <c r="H258" i="2"/>
  <c r="AD265" i="2"/>
  <c r="AD267" i="2" s="1"/>
  <c r="AD269" i="2" s="1"/>
  <c r="H265" i="2" l="1"/>
  <c r="H267" i="2" s="1"/>
  <c r="H269" i="2" s="1"/>
  <c r="I258" i="2"/>
  <c r="H224" i="4"/>
  <c r="O220" i="4"/>
  <c r="O224" i="4" s="1"/>
  <c r="L24" i="1" s="1"/>
  <c r="K220" i="4"/>
  <c r="K224" i="4" s="1"/>
  <c r="H24" i="1" s="1"/>
  <c r="Q220" i="4"/>
  <c r="Q224" i="4" s="1"/>
  <c r="N24" i="1" s="1"/>
  <c r="S220" i="4"/>
  <c r="S224" i="4" s="1"/>
  <c r="P24" i="1" s="1"/>
  <c r="J220" i="4"/>
  <c r="J224" i="4" s="1"/>
  <c r="G24" i="1" s="1"/>
  <c r="R220" i="4"/>
  <c r="R224" i="4" s="1"/>
  <c r="O24" i="1" s="1"/>
  <c r="I220" i="4"/>
  <c r="L220" i="4"/>
  <c r="L224" i="4" s="1"/>
  <c r="I24" i="1" s="1"/>
  <c r="P220" i="4"/>
  <c r="P224" i="4" s="1"/>
  <c r="M24" i="1" s="1"/>
  <c r="M220" i="4"/>
  <c r="M224" i="4" s="1"/>
  <c r="J24" i="1" s="1"/>
  <c r="N220" i="4"/>
  <c r="N224" i="4" s="1"/>
  <c r="K24" i="1" s="1"/>
  <c r="I245" i="2"/>
  <c r="I252" i="2" s="1"/>
  <c r="H226" i="4" l="1"/>
  <c r="E24" i="1"/>
  <c r="T220" i="4"/>
  <c r="I224" i="4"/>
  <c r="I265" i="2"/>
  <c r="I267" i="2" s="1"/>
  <c r="I269" i="2" s="1"/>
  <c r="H244" i="4"/>
  <c r="H251" i="4" s="1"/>
  <c r="H253" i="4" s="1"/>
  <c r="E11" i="1" s="1"/>
  <c r="T224" i="4" l="1"/>
  <c r="F24" i="1"/>
  <c r="Q24" i="1" s="1"/>
  <c r="E13" i="1"/>
  <c r="I273" i="2"/>
  <c r="E7" i="1"/>
  <c r="H233" i="4"/>
  <c r="E15" i="1" l="1"/>
  <c r="E22" i="1"/>
  <c r="H257" i="4"/>
  <c r="H261" i="4" s="1"/>
  <c r="H240" i="4"/>
  <c r="Q212" i="4" l="1"/>
  <c r="Q226" i="4" s="1"/>
  <c r="R212" i="4"/>
  <c r="R226" i="4" s="1"/>
  <c r="S212" i="4"/>
  <c r="S226" i="4" s="1"/>
  <c r="O212" i="4"/>
  <c r="O226" i="4" s="1"/>
  <c r="P212" i="4"/>
  <c r="P226" i="4" s="1"/>
  <c r="L212" i="4"/>
  <c r="L226" i="4" s="1"/>
  <c r="K212" i="4"/>
  <c r="K226" i="4" s="1"/>
  <c r="M212" i="4"/>
  <c r="M226" i="4" s="1"/>
  <c r="N212" i="4"/>
  <c r="N226" i="4" s="1"/>
  <c r="J212" i="4"/>
  <c r="J226" i="4" s="1"/>
  <c r="I212" i="4"/>
  <c r="E23" i="1"/>
  <c r="E19" i="1"/>
  <c r="L233" i="4" l="1"/>
  <c r="I7" i="1"/>
  <c r="L7" i="1"/>
  <c r="O233" i="4"/>
  <c r="H7" i="1"/>
  <c r="K233" i="4"/>
  <c r="S233" i="4"/>
  <c r="P7" i="1"/>
  <c r="O7" i="1"/>
  <c r="R233" i="4"/>
  <c r="M233" i="4"/>
  <c r="J7" i="1"/>
  <c r="E25" i="1"/>
  <c r="P233" i="4"/>
  <c r="M7" i="1"/>
  <c r="T212" i="4"/>
  <c r="I226" i="4"/>
  <c r="G7" i="1"/>
  <c r="J233" i="4"/>
  <c r="K7" i="1"/>
  <c r="N233" i="4"/>
  <c r="N7" i="1"/>
  <c r="Q233" i="4"/>
  <c r="S240" i="4" l="1"/>
  <c r="S244" i="4" s="1"/>
  <c r="S251" i="4" s="1"/>
  <c r="S253" i="4" s="1"/>
  <c r="P11" i="1" s="1"/>
  <c r="P13" i="1" s="1"/>
  <c r="P22" i="1" s="1"/>
  <c r="R240" i="4"/>
  <c r="R244" i="4" s="1"/>
  <c r="R251" i="4" s="1"/>
  <c r="R253" i="4" s="1"/>
  <c r="O11" i="1" s="1"/>
  <c r="O13" i="1" s="1"/>
  <c r="O22" i="1" s="1"/>
  <c r="P240" i="4"/>
  <c r="P244" i="4" s="1"/>
  <c r="P251" i="4" s="1"/>
  <c r="P253" i="4" s="1"/>
  <c r="M11" i="1" s="1"/>
  <c r="M13" i="1" s="1"/>
  <c r="M22" i="1" s="1"/>
  <c r="K240" i="4"/>
  <c r="K244" i="4" s="1"/>
  <c r="K251" i="4" s="1"/>
  <c r="K253" i="4" s="1"/>
  <c r="H11" i="1" s="1"/>
  <c r="H13" i="1" s="1"/>
  <c r="H22" i="1" s="1"/>
  <c r="N240" i="4"/>
  <c r="N244" i="4" s="1"/>
  <c r="N251" i="4" s="1"/>
  <c r="N253" i="4" s="1"/>
  <c r="K11" i="1" s="1"/>
  <c r="K13" i="1" s="1"/>
  <c r="K22" i="1" s="1"/>
  <c r="J240" i="4"/>
  <c r="J244" i="4" s="1"/>
  <c r="J251" i="4" s="1"/>
  <c r="J253" i="4" s="1"/>
  <c r="G11" i="1" s="1"/>
  <c r="G13" i="1" s="1"/>
  <c r="G22" i="1" s="1"/>
  <c r="Q240" i="4"/>
  <c r="Q244" i="4" s="1"/>
  <c r="Q251" i="4" s="1"/>
  <c r="Q253" i="4" s="1"/>
  <c r="N11" i="1" s="1"/>
  <c r="N13" i="1" s="1"/>
  <c r="N22" i="1" s="1"/>
  <c r="O240" i="4"/>
  <c r="O244" i="4" s="1"/>
  <c r="O251" i="4" s="1"/>
  <c r="O253" i="4" s="1"/>
  <c r="L11" i="1" s="1"/>
  <c r="L13" i="1" s="1"/>
  <c r="L22" i="1" s="1"/>
  <c r="M240" i="4"/>
  <c r="M244" i="4" s="1"/>
  <c r="M251" i="4" s="1"/>
  <c r="M253" i="4" s="1"/>
  <c r="J11" i="1" s="1"/>
  <c r="J13" i="1" s="1"/>
  <c r="J22" i="1" s="1"/>
  <c r="T226" i="4"/>
  <c r="F7" i="1"/>
  <c r="I233" i="4"/>
  <c r="L240" i="4"/>
  <c r="L244" i="4" s="1"/>
  <c r="L251" i="4" s="1"/>
  <c r="L253" i="4" s="1"/>
  <c r="I11" i="1" s="1"/>
  <c r="I13" i="1" s="1"/>
  <c r="I22" i="1" s="1"/>
  <c r="P15" i="1" l="1"/>
  <c r="K257" i="4"/>
  <c r="K261" i="4" s="1"/>
  <c r="J257" i="4"/>
  <c r="J261" i="4" s="1"/>
  <c r="G15" i="1"/>
  <c r="G23" i="1" s="1"/>
  <c r="G25" i="1" s="1"/>
  <c r="J15" i="1"/>
  <c r="J19" i="1" s="1"/>
  <c r="M15" i="1"/>
  <c r="M23" i="1" s="1"/>
  <c r="M25" i="1" s="1"/>
  <c r="L15" i="1"/>
  <c r="L23" i="1" s="1"/>
  <c r="L25" i="1" s="1"/>
  <c r="O257" i="4"/>
  <c r="O261" i="4" s="1"/>
  <c r="O15" i="1"/>
  <c r="I240" i="4"/>
  <c r="T233" i="4"/>
  <c r="R257" i="4"/>
  <c r="R261" i="4" s="1"/>
  <c r="N257" i="4"/>
  <c r="N261" i="4" s="1"/>
  <c r="Q257" i="4"/>
  <c r="Q261" i="4" s="1"/>
  <c r="H15" i="1"/>
  <c r="K15" i="1"/>
  <c r="Q7" i="1"/>
  <c r="I15" i="1"/>
  <c r="L257" i="4"/>
  <c r="L261" i="4" s="1"/>
  <c r="M257" i="4"/>
  <c r="M261" i="4" s="1"/>
  <c r="P257" i="4"/>
  <c r="P261" i="4" s="1"/>
  <c r="P19" i="1"/>
  <c r="P23" i="1"/>
  <c r="P25" i="1" s="1"/>
  <c r="N15" i="1"/>
  <c r="S257" i="4"/>
  <c r="S261" i="4" s="1"/>
  <c r="J23" i="1" l="1"/>
  <c r="J25" i="1" s="1"/>
  <c r="J31" i="1" s="1"/>
  <c r="G19" i="1"/>
  <c r="L19" i="1"/>
  <c r="M19" i="1"/>
  <c r="L31" i="1"/>
  <c r="G31" i="1"/>
  <c r="M31" i="1"/>
  <c r="T240" i="4"/>
  <c r="I244" i="4"/>
  <c r="N19" i="1"/>
  <c r="N23" i="1"/>
  <c r="N25" i="1" s="1"/>
  <c r="K23" i="1"/>
  <c r="K25" i="1" s="1"/>
  <c r="K19" i="1"/>
  <c r="H23" i="1"/>
  <c r="H25" i="1" s="1"/>
  <c r="H19" i="1"/>
  <c r="P31" i="1"/>
  <c r="I23" i="1"/>
  <c r="I25" i="1" s="1"/>
  <c r="I19" i="1"/>
  <c r="O23" i="1"/>
  <c r="O25" i="1" s="1"/>
  <c r="O19" i="1"/>
  <c r="I251" i="4" l="1"/>
  <c r="T244" i="4"/>
  <c r="H31" i="1"/>
  <c r="K31" i="1"/>
  <c r="O31" i="1"/>
  <c r="N31" i="1"/>
  <c r="I31" i="1"/>
  <c r="I253" i="4" l="1"/>
  <c r="T251" i="4"/>
  <c r="F11" i="1" l="1"/>
  <c r="T253" i="4"/>
  <c r="I257" i="4"/>
  <c r="I261" i="4" s="1"/>
  <c r="F13" i="1" l="1"/>
  <c r="Q11" i="1"/>
  <c r="F22" i="1" l="1"/>
  <c r="Q13" i="1"/>
  <c r="F15" i="1"/>
  <c r="F19" i="1" l="1"/>
  <c r="F23" i="1"/>
  <c r="Q23" i="1" s="1"/>
  <c r="Q15" i="1"/>
  <c r="F25" i="1"/>
  <c r="Q22" i="1"/>
  <c r="F31" i="1" l="1"/>
  <c r="Q25" i="1"/>
  <c r="E31" i="1" l="1"/>
  <c r="F32" i="1" s="1"/>
  <c r="Q31" i="1" l="1"/>
  <c r="G34" i="1"/>
  <c r="G36" i="1" s="1"/>
  <c r="M34" i="1"/>
  <c r="M36" i="1" s="1"/>
  <c r="P32" i="1"/>
  <c r="J34" i="1"/>
  <c r="J36" i="1" s="1"/>
  <c r="P34" i="1"/>
  <c r="P36" i="1" s="1"/>
  <c r="J32" i="1"/>
  <c r="L32" i="1"/>
  <c r="L34" i="1"/>
  <c r="L36" i="1" s="1"/>
  <c r="M32" i="1"/>
  <c r="G32" i="1"/>
  <c r="O32" i="1"/>
  <c r="O34" i="1"/>
  <c r="O36" i="1" s="1"/>
  <c r="H34" i="1"/>
  <c r="H36" i="1" s="1"/>
  <c r="I32" i="1"/>
  <c r="H32" i="1"/>
  <c r="N32" i="1"/>
  <c r="I34" i="1"/>
  <c r="I36" i="1" s="1"/>
  <c r="K34" i="1"/>
  <c r="K36" i="1" s="1"/>
  <c r="N34" i="1"/>
  <c r="N36" i="1" s="1"/>
  <c r="K32" i="1"/>
  <c r="F34" i="1"/>
  <c r="E32" i="1" l="1"/>
  <c r="C17" i="22"/>
  <c r="P38" i="1"/>
  <c r="Q34" i="1"/>
  <c r="F36" i="1"/>
  <c r="C9" i="22"/>
  <c r="H38" i="1"/>
  <c r="C16" i="22"/>
  <c r="O38" i="1"/>
  <c r="C11" i="22"/>
  <c r="J38" i="1"/>
  <c r="C15" i="22"/>
  <c r="N38" i="1"/>
  <c r="C12" i="22"/>
  <c r="K38" i="1"/>
  <c r="C14" i="22"/>
  <c r="M38" i="1"/>
  <c r="C10" i="22"/>
  <c r="I38" i="1"/>
  <c r="C8" i="22"/>
  <c r="G38" i="1"/>
  <c r="C13" i="22"/>
  <c r="L38" i="1"/>
  <c r="D13" i="22" l="1"/>
  <c r="E13" i="22"/>
  <c r="F13" i="22"/>
  <c r="C7" i="22"/>
  <c r="D7" i="22" s="1"/>
  <c r="E36" i="1"/>
  <c r="F38" i="1"/>
  <c r="D14" i="22"/>
  <c r="F14" i="22"/>
  <c r="E14" i="22"/>
  <c r="F11" i="22"/>
  <c r="E189" i="41"/>
  <c r="E190" i="41" s="1"/>
  <c r="E11" i="22"/>
  <c r="D11" i="22"/>
  <c r="F15" i="22"/>
  <c r="E15" i="22"/>
  <c r="C39" i="22"/>
  <c r="D15" i="22"/>
  <c r="E9" i="22"/>
  <c r="D9" i="22"/>
  <c r="F9" i="22"/>
  <c r="D8" i="22"/>
  <c r="F8" i="22"/>
  <c r="E8" i="22"/>
  <c r="F12" i="22"/>
  <c r="D12" i="22"/>
  <c r="E12" i="22"/>
  <c r="E10" i="22"/>
  <c r="D10" i="22"/>
  <c r="F10" i="22"/>
  <c r="C38" i="22"/>
  <c r="D16" i="22"/>
  <c r="E16" i="22"/>
  <c r="F16" i="22"/>
  <c r="C40" i="22"/>
  <c r="F17" i="22"/>
  <c r="C16" i="40" s="1"/>
  <c r="D17" i="22"/>
  <c r="E17" i="22"/>
  <c r="C13" i="40" l="1"/>
  <c r="C15" i="40"/>
  <c r="C10" i="40"/>
  <c r="C11" i="40"/>
  <c r="C8" i="40"/>
  <c r="C9" i="40"/>
  <c r="C12" i="40"/>
  <c r="C14" i="40"/>
  <c r="F39" i="22"/>
  <c r="F38" i="22"/>
  <c r="C11" i="38"/>
  <c r="D40" i="22"/>
  <c r="C16" i="38"/>
  <c r="C38" i="38" s="1"/>
  <c r="C14" i="38"/>
  <c r="C17" i="39"/>
  <c r="C8" i="38"/>
  <c r="C17" i="38"/>
  <c r="E38" i="22"/>
  <c r="C10" i="39"/>
  <c r="C9" i="38"/>
  <c r="C8" i="39"/>
  <c r="E39" i="22"/>
  <c r="C15" i="39"/>
  <c r="C34" i="39" s="1"/>
  <c r="Q36" i="1"/>
  <c r="E38" i="1"/>
  <c r="C10" i="38"/>
  <c r="D38" i="22"/>
  <c r="C11" i="39"/>
  <c r="E183" i="41"/>
  <c r="E185" i="41"/>
  <c r="F185" i="41" s="1"/>
  <c r="E184" i="41"/>
  <c r="F184" i="41" s="1"/>
  <c r="E186" i="41"/>
  <c r="F186" i="41" s="1"/>
  <c r="F7" i="22"/>
  <c r="C41" i="22"/>
  <c r="C19" i="22"/>
  <c r="E7" i="22"/>
  <c r="C12" i="39"/>
  <c r="C9" i="39"/>
  <c r="C12" i="38"/>
  <c r="C15" i="38"/>
  <c r="C14" i="39"/>
  <c r="C13" i="39"/>
  <c r="C16" i="39"/>
  <c r="C35" i="39" s="1"/>
  <c r="E40" i="22"/>
  <c r="C13" i="38"/>
  <c r="C7" i="40" l="1"/>
  <c r="Q38" i="1"/>
  <c r="C7" i="38"/>
  <c r="D19" i="22"/>
  <c r="D23" i="22" s="1"/>
  <c r="D41" i="22"/>
  <c r="F183" i="41"/>
  <c r="E187" i="41"/>
  <c r="I187" i="41" s="1"/>
  <c r="C7" i="39"/>
  <c r="C19" i="39" s="1"/>
  <c r="E19" i="22"/>
  <c r="E41" i="22"/>
  <c r="C39" i="38"/>
  <c r="C36" i="39"/>
  <c r="F41" i="22"/>
  <c r="F19" i="22"/>
  <c r="C33" i="39"/>
  <c r="C36" i="38"/>
  <c r="E23" i="22" l="1"/>
  <c r="E42" i="22" s="1"/>
  <c r="F23" i="22"/>
  <c r="F24" i="22" s="1"/>
  <c r="D42" i="22"/>
  <c r="H195" i="41"/>
  <c r="C21" i="39" s="1"/>
  <c r="H194" i="41"/>
  <c r="H196" i="41"/>
  <c r="E24" i="22" l="1"/>
  <c r="F42" i="22"/>
  <c r="C23" i="22"/>
  <c r="C42" i="22" s="1"/>
  <c r="D24" i="22"/>
  <c r="H197" i="41"/>
  <c r="C22" i="38"/>
  <c r="C25" i="22" l="1"/>
  <c r="G51" i="44" s="1"/>
  <c r="C24" i="22"/>
  <c r="C26" i="22" s="1"/>
  <c r="G52" i="44"/>
  <c r="H51" i="44"/>
  <c r="C27" i="22"/>
  <c r="D26" i="22" l="1"/>
  <c r="E26" i="22"/>
  <c r="F26" i="22"/>
  <c r="G53" i="44"/>
  <c r="H52" i="44"/>
  <c r="D12" i="44"/>
  <c r="E11" i="44"/>
  <c r="E30" i="44" s="1"/>
  <c r="D30" i="44" s="1"/>
  <c r="G54" i="44" l="1"/>
  <c r="H54" i="44" s="1"/>
  <c r="H53" i="44"/>
  <c r="G30" i="44"/>
  <c r="B63" i="42"/>
  <c r="G11" i="44"/>
  <c r="B60" i="42"/>
  <c r="E12" i="44"/>
  <c r="E31" i="44" s="1"/>
  <c r="D31" i="44" s="1"/>
  <c r="G31" i="44" l="1"/>
  <c r="G32" i="44" s="1"/>
  <c r="G34" i="44" s="1"/>
  <c r="H56" i="44"/>
  <c r="E17" i="44" s="1"/>
  <c r="B64" i="42"/>
  <c r="L64" i="42" s="1"/>
  <c r="L63" i="42"/>
  <c r="H63" i="42"/>
  <c r="G12" i="44"/>
  <c r="G13" i="44" s="1"/>
  <c r="G15" i="44" s="1"/>
  <c r="B61" i="42"/>
  <c r="H60" i="42"/>
  <c r="L60" i="42"/>
  <c r="H64" i="42" l="1"/>
  <c r="H57" i="44"/>
  <c r="E18" i="44" s="1"/>
  <c r="E36" i="44"/>
  <c r="G36" i="44" s="1"/>
  <c r="G17" i="44"/>
  <c r="C35" i="40"/>
  <c r="C45" i="40"/>
  <c r="C47" i="40" s="1"/>
  <c r="L61" i="42"/>
  <c r="H61" i="42"/>
  <c r="H58" i="44" l="1"/>
  <c r="E37" i="44"/>
  <c r="G37" i="44" s="1"/>
  <c r="G38" i="44" s="1"/>
  <c r="G18" i="44"/>
  <c r="G19" i="44" s="1"/>
  <c r="G22" i="44" s="1"/>
  <c r="G24" i="44" s="1"/>
  <c r="L71" i="42" s="1"/>
  <c r="C34" i="40"/>
  <c r="C20" i="38"/>
  <c r="C48" i="40"/>
  <c r="C18" i="40"/>
  <c r="C36" i="40"/>
  <c r="C20" i="40"/>
  <c r="C49" i="40" l="1"/>
  <c r="C51" i="40" s="1"/>
  <c r="G41" i="44"/>
  <c r="G43" i="44" s="1"/>
  <c r="C20" i="22"/>
  <c r="E51" i="40" l="1"/>
  <c r="B36" i="42"/>
  <c r="C52" i="40"/>
  <c r="B37" i="42" s="1"/>
  <c r="E20" i="22"/>
  <c r="D20" i="22"/>
  <c r="F20" i="22"/>
  <c r="H36" i="42" l="1"/>
  <c r="L36" i="42"/>
  <c r="E52" i="40"/>
  <c r="E53" i="40" s="1"/>
  <c r="C24" i="38"/>
  <c r="D25" i="22"/>
  <c r="C22" i="40"/>
  <c r="F25" i="22"/>
  <c r="E25" i="22"/>
  <c r="C22" i="39"/>
  <c r="H37" i="42"/>
  <c r="L37" i="42"/>
  <c r="C65" i="38" l="1"/>
  <c r="C60" i="38"/>
  <c r="C59" i="38"/>
  <c r="D27" i="22"/>
  <c r="C23" i="39"/>
  <c r="E44" i="39" s="1"/>
  <c r="C48" i="39" s="1"/>
  <c r="E27" i="22"/>
  <c r="C66" i="40"/>
  <c r="F27" i="22"/>
  <c r="C65" i="40"/>
  <c r="B29" i="42" l="1"/>
  <c r="E48" i="39"/>
  <c r="E50" i="39" s="1"/>
  <c r="E52" i="39" s="1"/>
  <c r="B16" i="42"/>
  <c r="E59" i="38"/>
  <c r="B17" i="42"/>
  <c r="E60" i="38"/>
  <c r="E65" i="40"/>
  <c r="B41" i="42"/>
  <c r="B42" i="42"/>
  <c r="E66" i="40"/>
  <c r="E65" i="38"/>
  <c r="E66" i="38" s="1"/>
  <c r="B22" i="42"/>
  <c r="H17" i="42" l="1"/>
  <c r="L17" i="42"/>
  <c r="L16" i="42"/>
  <c r="H16" i="42"/>
  <c r="H42" i="42"/>
  <c r="L42" i="42"/>
  <c r="E61" i="38"/>
  <c r="C23" i="38" s="1"/>
  <c r="C25" i="38" s="1"/>
  <c r="H22" i="42"/>
  <c r="L22" i="42"/>
  <c r="H41" i="42"/>
  <c r="L41" i="42"/>
  <c r="E67" i="40"/>
  <c r="C21" i="40" s="1"/>
  <c r="C23" i="40" s="1"/>
  <c r="L29" i="42"/>
  <c r="H29" i="42"/>
  <c r="E48" i="38" l="1"/>
  <c r="C53" i="38" s="1"/>
  <c r="E57" i="40"/>
  <c r="C59" i="40" s="1"/>
  <c r="L30" i="42"/>
  <c r="L43" i="42"/>
  <c r="L18" i="42"/>
  <c r="L23" i="42"/>
  <c r="C54" i="38" l="1"/>
  <c r="B12" i="42" s="1"/>
  <c r="B11" i="42"/>
  <c r="E53" i="38"/>
  <c r="B35" i="42"/>
  <c r="E59" i="40"/>
  <c r="E61" i="40" s="1"/>
  <c r="E69" i="40" s="1"/>
  <c r="L11" i="42"/>
  <c r="E54" i="38" l="1"/>
  <c r="E55" i="38" s="1"/>
  <c r="E68" i="38" s="1"/>
  <c r="H35" i="42"/>
  <c r="L35" i="42"/>
  <c r="L38" i="42" s="1"/>
  <c r="H11" i="42"/>
  <c r="L12" i="42"/>
  <c r="L13" i="42" s="1"/>
  <c r="H12" i="42"/>
  <c r="L67" i="42" l="1"/>
  <c r="L69" i="42" l="1"/>
  <c r="L85" i="42" s="1"/>
</calcChain>
</file>

<file path=xl/sharedStrings.xml><?xml version="1.0" encoding="utf-8"?>
<sst xmlns="http://schemas.openxmlformats.org/spreadsheetml/2006/main" count="3241" uniqueCount="1205">
  <si>
    <t>Revenue Excess/(Deficiency)</t>
  </si>
  <si>
    <t>Total Desired Revenue</t>
  </si>
  <si>
    <t>Percentage of Total</t>
  </si>
  <si>
    <t>Desired Total Revenue Requirement</t>
  </si>
  <si>
    <t>Total Desired Operating Income</t>
  </si>
  <si>
    <t>Total Retail Revenue Requirement</t>
  </si>
  <si>
    <t>Other Operating Revenues</t>
  </si>
  <si>
    <t>Net Operating Income</t>
  </si>
  <si>
    <t>Total Expenses</t>
  </si>
  <si>
    <t>Retail Revenue Requirements</t>
  </si>
  <si>
    <t>Return on Rate Base</t>
  </si>
  <si>
    <t>Total Rate Base</t>
  </si>
  <si>
    <t>Other Expense</t>
  </si>
  <si>
    <t>Income Taxes</t>
  </si>
  <si>
    <t>O&amp;M Expense</t>
  </si>
  <si>
    <t>Total Operating Expenses</t>
  </si>
  <si>
    <t>Total Operating Revenues</t>
  </si>
  <si>
    <t>Variance</t>
  </si>
  <si>
    <t>Meters</t>
  </si>
  <si>
    <t>Services</t>
  </si>
  <si>
    <t>Test Year</t>
  </si>
  <si>
    <t>Description</t>
  </si>
  <si>
    <t>Customer</t>
  </si>
  <si>
    <t>Jurisdictional</t>
  </si>
  <si>
    <t>Line</t>
  </si>
  <si>
    <t>Functional Results</t>
  </si>
  <si>
    <t>(a)</t>
  </si>
  <si>
    <t>(b)</t>
  </si>
  <si>
    <t>(c)</t>
  </si>
  <si>
    <t>(d)</t>
  </si>
  <si>
    <t>(f)</t>
  </si>
  <si>
    <t>(g)</t>
  </si>
  <si>
    <t>(h)</t>
  </si>
  <si>
    <t>(i)</t>
  </si>
  <si>
    <t>(j)</t>
  </si>
  <si>
    <t>(k)</t>
  </si>
  <si>
    <t>(e)</t>
  </si>
  <si>
    <t>Sum of Lines 2-4</t>
  </si>
  <si>
    <t>Line 1 - Line 5</t>
  </si>
  <si>
    <t>Line 6 / Line 7</t>
  </si>
  <si>
    <t>Line 5</t>
  </si>
  <si>
    <t>Line 6</t>
  </si>
  <si>
    <t>Sum of Lines 9-11</t>
  </si>
  <si>
    <t>Line 7 multiplied by Line 13</t>
  </si>
  <si>
    <t>Source</t>
  </si>
  <si>
    <t>Sources:</t>
  </si>
  <si>
    <t>Destinations:</t>
  </si>
  <si>
    <t>------</t>
  </si>
  <si>
    <t>Operating Income</t>
  </si>
  <si>
    <t>Taxes</t>
  </si>
  <si>
    <t>Pre Tax Book Income</t>
  </si>
  <si>
    <t>Oth Adj (Accts 428, 429, 431, 432) EXCL 431131 - 431142</t>
  </si>
  <si>
    <t>Interest on LTD - Acct 427</t>
  </si>
  <si>
    <t>Adjustments to Taxable Income</t>
  </si>
  <si>
    <t xml:space="preserve"> </t>
  </si>
  <si>
    <t>Total Other Operating Revenues</t>
  </si>
  <si>
    <t>Miscellaneous Service Revenue</t>
  </si>
  <si>
    <t>Forfeited Discounts</t>
  </si>
  <si>
    <t>Interdepartmental Sales</t>
  </si>
  <si>
    <t>Total Retail Rate Revenues</t>
  </si>
  <si>
    <t>Industrial</t>
  </si>
  <si>
    <t>Commercial</t>
  </si>
  <si>
    <t>Residential</t>
  </si>
  <si>
    <t>Retail Rate Revenues</t>
  </si>
  <si>
    <t>Operating Revenues</t>
  </si>
  <si>
    <t>Other Expenses</t>
  </si>
  <si>
    <t>Total Taxes Other Than Income Taxes</t>
  </si>
  <si>
    <t>Other</t>
  </si>
  <si>
    <t>Taxes Other Than Income Taxes</t>
  </si>
  <si>
    <t>Total Depreciation and Amortization Expense</t>
  </si>
  <si>
    <t>403-404</t>
  </si>
  <si>
    <t>Depreciation and Amortization Expense</t>
  </si>
  <si>
    <t>Total O&amp;M Expense</t>
  </si>
  <si>
    <t>Total Maintenance Expense</t>
  </si>
  <si>
    <t>Total Operating Expense</t>
  </si>
  <si>
    <t>Total Administration and General Expense</t>
  </si>
  <si>
    <t>Total A&amp;G Maintenance</t>
  </si>
  <si>
    <t>Maintenance</t>
  </si>
  <si>
    <t>Rents</t>
  </si>
  <si>
    <t>Miscellaneous General Expense</t>
  </si>
  <si>
    <t>Duplicate Charges Credit</t>
  </si>
  <si>
    <t>Regulatory Commission Expense</t>
  </si>
  <si>
    <t>Pensions and Benefits</t>
  </si>
  <si>
    <t>Injuries and Damages</t>
  </si>
  <si>
    <t>Property Insurance</t>
  </si>
  <si>
    <t>Outside Services</t>
  </si>
  <si>
    <t>Admin Exp Transfer</t>
  </si>
  <si>
    <t>Office Supplies and Expense</t>
  </si>
  <si>
    <t>Admin and General Salaries</t>
  </si>
  <si>
    <t>Operation</t>
  </si>
  <si>
    <t>Administration and General Expense</t>
  </si>
  <si>
    <t>Total Sales Expense</t>
  </si>
  <si>
    <t>Miscellaneous Expense</t>
  </si>
  <si>
    <t>Demo/Selling Expense</t>
  </si>
  <si>
    <t>Sales Expense</t>
  </si>
  <si>
    <t>Total Customer Service and Information Expense</t>
  </si>
  <si>
    <t>Information / Inst Advertising</t>
  </si>
  <si>
    <t>Customer Assistance Expense</t>
  </si>
  <si>
    <t>Customer Service and Information Expense</t>
  </si>
  <si>
    <t>Total Customer Accounting Expense</t>
  </si>
  <si>
    <t>Uncollectible Accounts</t>
  </si>
  <si>
    <t>Records and Collection (Cust Serv)</t>
  </si>
  <si>
    <t>Meter Reading</t>
  </si>
  <si>
    <t>Supervision</t>
  </si>
  <si>
    <t>Customer Accounting Expense</t>
  </si>
  <si>
    <t>Supervision and Engineering</t>
  </si>
  <si>
    <t>Load Dispatching</t>
  </si>
  <si>
    <t>Distribution Expense</t>
  </si>
  <si>
    <t>Total Production Expense</t>
  </si>
  <si>
    <t>Other Power Supply Expense</t>
  </si>
  <si>
    <t>Miscellaneous</t>
  </si>
  <si>
    <t>Production Expense</t>
  </si>
  <si>
    <t>Total Deductions from Rate Base</t>
  </si>
  <si>
    <t>Total Other Deductions from Rate Base</t>
  </si>
  <si>
    <t>Reserve for Inj &amp; Damages/Misc/Pension</t>
  </si>
  <si>
    <t>Customer Deposits</t>
  </si>
  <si>
    <t>Accum Deferred Income Taxes</t>
  </si>
  <si>
    <t>Customer Advances</t>
  </si>
  <si>
    <t>389-398</t>
  </si>
  <si>
    <t>301-303</t>
  </si>
  <si>
    <t>Accumulated Provision for Deprec and Amort</t>
  </si>
  <si>
    <t>Deductions from Rate Base</t>
  </si>
  <si>
    <t>Total Additions to Rate Base</t>
  </si>
  <si>
    <t>Total Working Capital</t>
  </si>
  <si>
    <t>Prepayments</t>
  </si>
  <si>
    <t>Cash Working Capital</t>
  </si>
  <si>
    <t>Total Materials and Supplies</t>
  </si>
  <si>
    <t>Fuel Stocks</t>
  </si>
  <si>
    <t>Requirements for Working Capital</t>
  </si>
  <si>
    <t>Additions to Rate Base</t>
  </si>
  <si>
    <t>Total Intangible Plant</t>
  </si>
  <si>
    <t>Intangible Plant</t>
  </si>
  <si>
    <t>Total General Plant</t>
  </si>
  <si>
    <t>General Plant</t>
  </si>
  <si>
    <t>Total Distribution Plant</t>
  </si>
  <si>
    <t>Structures and Station Equipment</t>
  </si>
  <si>
    <t>Land and Land Rights</t>
  </si>
  <si>
    <t>Distribution Plant</t>
  </si>
  <si>
    <t>Total Production Plant</t>
  </si>
  <si>
    <t>Other Plant</t>
  </si>
  <si>
    <t>Hydro Plant</t>
  </si>
  <si>
    <t>Gross Plant</t>
  </si>
  <si>
    <t>Sales</t>
  </si>
  <si>
    <t>Revenue</t>
  </si>
  <si>
    <t>Expense</t>
  </si>
  <si>
    <t>Interest</t>
  </si>
  <si>
    <t>Transportation</t>
  </si>
  <si>
    <t>Adjustments</t>
  </si>
  <si>
    <t>Adjustment</t>
  </si>
  <si>
    <t>Synchronization</t>
  </si>
  <si>
    <t>Pro Forma</t>
  </si>
  <si>
    <t>Book Value</t>
  </si>
  <si>
    <t>Acct</t>
  </si>
  <si>
    <t>Rate Case</t>
  </si>
  <si>
    <t>Distribution</t>
  </si>
  <si>
    <t>Test Year Data</t>
  </si>
  <si>
    <t>Total Adjustments to Taxable Income</t>
  </si>
  <si>
    <t>(l)</t>
  </si>
  <si>
    <t>(m)</t>
  </si>
  <si>
    <t>(n)</t>
  </si>
  <si>
    <t>(o)</t>
  </si>
  <si>
    <t>(p)</t>
  </si>
  <si>
    <t>(q)</t>
  </si>
  <si>
    <t>(s)</t>
  </si>
  <si>
    <t>(t)</t>
  </si>
  <si>
    <t>(u)</t>
  </si>
  <si>
    <t>(v)</t>
  </si>
  <si>
    <t>(w)</t>
  </si>
  <si>
    <t>(x)</t>
  </si>
  <si>
    <t>(y)</t>
  </si>
  <si>
    <t>(z)</t>
  </si>
  <si>
    <t>(aa)</t>
  </si>
  <si>
    <t>Operating Income Before Taxes</t>
  </si>
  <si>
    <t>Total Income Taxes</t>
  </si>
  <si>
    <t>Amount</t>
  </si>
  <si>
    <t>Class</t>
  </si>
  <si>
    <t>Source:</t>
  </si>
  <si>
    <t>Total</t>
  </si>
  <si>
    <t>Rate Base</t>
  </si>
  <si>
    <t>Amortization of Invest Tax Credit</t>
  </si>
  <si>
    <t>Net Taxable Income</t>
  </si>
  <si>
    <t>Other Adjustments</t>
  </si>
  <si>
    <t>Operating Revenues and Income Taxes</t>
  </si>
  <si>
    <t>General</t>
  </si>
  <si>
    <t>Intangible</t>
  </si>
  <si>
    <t>Total Distribution Expense</t>
  </si>
  <si>
    <t>Expenses</t>
  </si>
  <si>
    <t>108-111</t>
  </si>
  <si>
    <t>Intangible Plant Total</t>
  </si>
  <si>
    <t>General Plant Total</t>
  </si>
  <si>
    <t>Distribution Plant Total</t>
  </si>
  <si>
    <t>310-346</t>
  </si>
  <si>
    <t>Code</t>
  </si>
  <si>
    <t>Alloc</t>
  </si>
  <si>
    <t>Customer Accounts less Supervision</t>
  </si>
  <si>
    <t>Distribution Expense less Supervision</t>
  </si>
  <si>
    <t>Total Payroll</t>
  </si>
  <si>
    <t>Net Plant</t>
  </si>
  <si>
    <t>Gross Plant less Intangible</t>
  </si>
  <si>
    <t>Gross Distribution Plant</t>
  </si>
  <si>
    <t>Total Allocated Gross Plant</t>
  </si>
  <si>
    <t>Self-Defined</t>
  </si>
  <si>
    <t>Allocators</t>
  </si>
  <si>
    <t>Function</t>
  </si>
  <si>
    <t>Payroll less Acct 926 to 'Allocators' tab</t>
  </si>
  <si>
    <t>Payroll Allocator to 'Allocators' tab</t>
  </si>
  <si>
    <t>Total Payroll Allocator</t>
  </si>
  <si>
    <t>TOTAL A&amp;G ALLOCATOR</t>
  </si>
  <si>
    <t>A&amp;G Maint</t>
  </si>
  <si>
    <t>935</t>
  </si>
  <si>
    <t>931</t>
  </si>
  <si>
    <t>Total A&amp;G Operation</t>
  </si>
  <si>
    <t>Gen Ad Exp</t>
  </si>
  <si>
    <t>930</t>
  </si>
  <si>
    <t>Emp pensions, benefits</t>
  </si>
  <si>
    <t>926</t>
  </si>
  <si>
    <t>Injuries &amp; Damages</t>
  </si>
  <si>
    <t>925</t>
  </si>
  <si>
    <t>Prop Insurance</t>
  </si>
  <si>
    <t>924</t>
  </si>
  <si>
    <t>Admin Exp (transfer)</t>
  </si>
  <si>
    <t>922</t>
  </si>
  <si>
    <t>A&amp;G Salaries</t>
  </si>
  <si>
    <t>920</t>
  </si>
  <si>
    <t>Administrative &amp; General</t>
  </si>
  <si>
    <t>Total Sales Exp</t>
  </si>
  <si>
    <t>Misc Sales Exp</t>
  </si>
  <si>
    <t>916</t>
  </si>
  <si>
    <t>912</t>
  </si>
  <si>
    <t>Total Customer Service &amp; Info Exp</t>
  </si>
  <si>
    <t>Misc Cust Service</t>
  </si>
  <si>
    <t>910</t>
  </si>
  <si>
    <t>Info, Instruction Ad Exp</t>
  </si>
  <si>
    <t>909</t>
  </si>
  <si>
    <t>Cust Assist Exp</t>
  </si>
  <si>
    <t>908</t>
  </si>
  <si>
    <t>Customer Service &amp; Information Expense</t>
  </si>
  <si>
    <t>Total Customer Accounts Exp</t>
  </si>
  <si>
    <t>905</t>
  </si>
  <si>
    <t>903</t>
  </si>
  <si>
    <t>902</t>
  </si>
  <si>
    <t>901</t>
  </si>
  <si>
    <t>Customer Accounts Expense</t>
  </si>
  <si>
    <t>Total Dist Maint Exp</t>
  </si>
  <si>
    <t>Total Dist Op Exp</t>
  </si>
  <si>
    <t>Functional Payroll Allocator</t>
  </si>
  <si>
    <t>Base</t>
  </si>
  <si>
    <t>Month</t>
  </si>
  <si>
    <t>(r)</t>
  </si>
  <si>
    <t>Rate</t>
  </si>
  <si>
    <t>Accounts</t>
  </si>
  <si>
    <t>Allocation percentages specified in Column (a) are found in</t>
  </si>
  <si>
    <t>Column (d) by the allocation percentages specified by the allocation</t>
  </si>
  <si>
    <t>by the allocation percentages specified by the allocator codes in Column (a).</t>
  </si>
  <si>
    <t>Allocation percentages referenced in Column (a) are found in</t>
  </si>
  <si>
    <t>---</t>
  </si>
  <si>
    <t>Wght. Cust. - Accounts</t>
  </si>
  <si>
    <t>Wght. Cust. - Meters</t>
  </si>
  <si>
    <t>Wght. Cust. - Services</t>
  </si>
  <si>
    <t>Assumed value of 1.0</t>
  </si>
  <si>
    <t>Weights - Accounts</t>
  </si>
  <si>
    <t>Company weighted meter cost study</t>
  </si>
  <si>
    <t>Weights - Meters</t>
  </si>
  <si>
    <t>Company weighted service cost study</t>
  </si>
  <si>
    <t>Weights - Services</t>
  </si>
  <si>
    <t>Allocators - Backup Data</t>
  </si>
  <si>
    <t>Allocator - Accounts</t>
  </si>
  <si>
    <t>Allocator - Meters</t>
  </si>
  <si>
    <t>Allocator - Services</t>
  </si>
  <si>
    <t>Fixed Charge ($/cust/month)</t>
  </si>
  <si>
    <t>Statistics</t>
  </si>
  <si>
    <t>Percentage Increase</t>
  </si>
  <si>
    <t>Difference</t>
  </si>
  <si>
    <t>Net Cost of Service</t>
  </si>
  <si>
    <t>Test Year Revenue</t>
  </si>
  <si>
    <t>Customer Accounts</t>
  </si>
  <si>
    <t>Class Cost of Service</t>
  </si>
  <si>
    <t>Total Sales</t>
  </si>
  <si>
    <t>This worksheet allocates unbilled sales to rate code based on the relative level of sales by rate code in each revenue class.</t>
  </si>
  <si>
    <t>Sales data is taken from Books and Records.</t>
  </si>
  <si>
    <t>Reallocation</t>
  </si>
  <si>
    <t>Jan &amp; Dec</t>
  </si>
  <si>
    <t>Reallocated</t>
  </si>
  <si>
    <t>Unbilled</t>
  </si>
  <si>
    <t>MidAmerican Energy Company</t>
  </si>
  <si>
    <t>Revenue data is taken from Books and Records.</t>
  </si>
  <si>
    <t>Subtotal</t>
  </si>
  <si>
    <t>Growth</t>
  </si>
  <si>
    <t>This worksheet allocates the following:</t>
  </si>
  <si>
    <t>P.F. - Industrial</t>
  </si>
  <si>
    <t>P.F. - Commercial</t>
  </si>
  <si>
    <t>P.F. - Residential</t>
  </si>
  <si>
    <t>Total Without Company Use</t>
  </si>
  <si>
    <t>Company Use</t>
  </si>
  <si>
    <t>Over/Under</t>
  </si>
  <si>
    <t>Rate Description</t>
  </si>
  <si>
    <t>Revenue Class</t>
  </si>
  <si>
    <t>Total Customers</t>
  </si>
  <si>
    <t>Spreadsheet</t>
  </si>
  <si>
    <t>Volume</t>
  </si>
  <si>
    <t>Charges</t>
  </si>
  <si>
    <t>Column (f) is taken from Tab FUN-2, Column (g).</t>
  </si>
  <si>
    <t>Peak Facilities</t>
  </si>
  <si>
    <t>Mains</t>
  </si>
  <si>
    <t>(Average)</t>
  </si>
  <si>
    <t>(Peaking)</t>
  </si>
  <si>
    <t>Regulators</t>
  </si>
  <si>
    <t>Administration</t>
  </si>
  <si>
    <t>Cost of Gas</t>
  </si>
  <si>
    <t>Structures and Improvements</t>
  </si>
  <si>
    <t>Boilers</t>
  </si>
  <si>
    <t>Other Power Equipment</t>
  </si>
  <si>
    <t>Other Storage Plant</t>
  </si>
  <si>
    <t>Gas Holders</t>
  </si>
  <si>
    <t>Purification Equipment</t>
  </si>
  <si>
    <t>Vaporizing Equipment</t>
  </si>
  <si>
    <t>Compressor Equipment</t>
  </si>
  <si>
    <t>Liquification Equipment</t>
  </si>
  <si>
    <t>Measuring and Regulating Equipment</t>
  </si>
  <si>
    <t>Other Equipment</t>
  </si>
  <si>
    <t>Other Storage Plant Total</t>
  </si>
  <si>
    <t>Compressor Station Equipment</t>
  </si>
  <si>
    <t>Meas &amp; Reg Station Equipment - Gen.</t>
  </si>
  <si>
    <t>Meas &amp; Reg Station Equipment - CG</t>
  </si>
  <si>
    <t>Meter Installations</t>
  </si>
  <si>
    <t>House Regulators</t>
  </si>
  <si>
    <t>House Regulator Installations</t>
  </si>
  <si>
    <t>Industrial Meas. &amp; Reg Station Equipment</t>
  </si>
  <si>
    <t>Other Working Capital</t>
  </si>
  <si>
    <t>Production</t>
  </si>
  <si>
    <t>MGP Plant</t>
  </si>
  <si>
    <t>Other Power Expenses</t>
  </si>
  <si>
    <t>Manufactured Gas Site Cleanup</t>
  </si>
  <si>
    <t>LPG Expense</t>
  </si>
  <si>
    <t>Liquified Petroleum Gas</t>
  </si>
  <si>
    <t>Structures &amp; Improvements</t>
  </si>
  <si>
    <t>Production Equipment</t>
  </si>
  <si>
    <t>Other Gas Supply Expense</t>
  </si>
  <si>
    <t>Purchased Gas</t>
  </si>
  <si>
    <t>Net Storage</t>
  </si>
  <si>
    <t>Gas Used for Other Utility Oper</t>
  </si>
  <si>
    <t>800-807</t>
  </si>
  <si>
    <t>Other Storage Expense</t>
  </si>
  <si>
    <t>Labor and Expenses</t>
  </si>
  <si>
    <t>Measuring and Regulating Equip</t>
  </si>
  <si>
    <t>Total Other Storage Expense</t>
  </si>
  <si>
    <t>Mains and Services</t>
  </si>
  <si>
    <t>Meas &amp; Reg Sta Equipment - Gen.</t>
  </si>
  <si>
    <t>Meas &amp; Reg Sta Equipment - Ind</t>
  </si>
  <si>
    <t>Meas &amp; Reg Sta Equipment - CG</t>
  </si>
  <si>
    <t>Meters and House Regulators</t>
  </si>
  <si>
    <t>Customer Installation Expenses</t>
  </si>
  <si>
    <t>Transportation Administration</t>
  </si>
  <si>
    <t>Production and Manufactured Gas</t>
  </si>
  <si>
    <t>408111-408131</t>
  </si>
  <si>
    <t>Payroll Taxes</t>
  </si>
  <si>
    <t>408141-408143</t>
  </si>
  <si>
    <t>Total Property Taxes</t>
  </si>
  <si>
    <t>408162-408163</t>
  </si>
  <si>
    <t>Illinois Public Utility Taxes</t>
  </si>
  <si>
    <t>Occupation Tax &amp; Other</t>
  </si>
  <si>
    <t>Retail Revenues</t>
  </si>
  <si>
    <t>480-481</t>
  </si>
  <si>
    <t>Negative Balancing Cashout</t>
  </si>
  <si>
    <t>Wholesale Sales</t>
  </si>
  <si>
    <t>Transportation Revenue</t>
  </si>
  <si>
    <t>Rental Income-Gas Prop</t>
  </si>
  <si>
    <t>Illinois Public Utility Tax</t>
  </si>
  <si>
    <t>Other Gas Revenues</t>
  </si>
  <si>
    <t>Deferred Income Tax - Net</t>
  </si>
  <si>
    <t>Weather</t>
  </si>
  <si>
    <t>Normalization</t>
  </si>
  <si>
    <t>Reclass</t>
  </si>
  <si>
    <t>Peak</t>
  </si>
  <si>
    <t>Transport.</t>
  </si>
  <si>
    <t>Admin.</t>
  </si>
  <si>
    <t>Peaking Facilities</t>
  </si>
  <si>
    <t>Industrial Meters</t>
  </si>
  <si>
    <t>Supervised O&amp;M</t>
  </si>
  <si>
    <t>Total Supervised O&amp;M Expense</t>
  </si>
  <si>
    <t>Supervised O&amp;M Plus Other Taxes</t>
  </si>
  <si>
    <t>Total O&amp;M Plus Other Taxes</t>
  </si>
  <si>
    <t>Gross Mains + Services Plant</t>
  </si>
  <si>
    <t>Gross Meters + Services Plant</t>
  </si>
  <si>
    <t>Gross Meters + Regulators Plant</t>
  </si>
  <si>
    <t>Gross Structures + Station Equipment Plant</t>
  </si>
  <si>
    <t>TOTAL A&amp;G ALLOCATOR LESS ACCT 926</t>
  </si>
  <si>
    <t>Total Payroll Allocator Less Acct 926</t>
  </si>
  <si>
    <t>Total Payroll less Acct. 926</t>
  </si>
  <si>
    <t>712</t>
  </si>
  <si>
    <t>735</t>
  </si>
  <si>
    <t>742</t>
  </si>
  <si>
    <t>Total MGP Plant Op Exp</t>
  </si>
  <si>
    <t>813</t>
  </si>
  <si>
    <t>Total Other Power Supply Exp</t>
  </si>
  <si>
    <t>843</t>
  </si>
  <si>
    <t>841</t>
  </si>
  <si>
    <t>Total MGP Plant Maint Exp</t>
  </si>
  <si>
    <t>885</t>
  </si>
  <si>
    <t>887</t>
  </si>
  <si>
    <t>889</t>
  </si>
  <si>
    <t>891</t>
  </si>
  <si>
    <t>892</t>
  </si>
  <si>
    <t>----</t>
  </si>
  <si>
    <t>South Dakota</t>
  </si>
  <si>
    <t>Payroll</t>
  </si>
  <si>
    <t>Retirement</t>
  </si>
  <si>
    <t>Plan</t>
  </si>
  <si>
    <t>Costs</t>
  </si>
  <si>
    <t>Late</t>
  </si>
  <si>
    <t>Payment</t>
  </si>
  <si>
    <t>LTIP</t>
  </si>
  <si>
    <t>PGA</t>
  </si>
  <si>
    <t>Costs &amp;</t>
  </si>
  <si>
    <t>Revenues</t>
  </si>
  <si>
    <t>Economic</t>
  </si>
  <si>
    <t>Development</t>
  </si>
  <si>
    <t>Small</t>
  </si>
  <si>
    <t>Medium</t>
  </si>
  <si>
    <t>Large</t>
  </si>
  <si>
    <t>Mains (Average)</t>
  </si>
  <si>
    <t>Mains (Peaking)</t>
  </si>
  <si>
    <t>Allocator - Peaking Facilities</t>
  </si>
  <si>
    <t>Allocator - Mains (Average)</t>
  </si>
  <si>
    <t>Allocator - Mains (Peaking)</t>
  </si>
  <si>
    <t>Allocator - Regulators</t>
  </si>
  <si>
    <t>Allocator - Industrial Meters</t>
  </si>
  <si>
    <t>Volumetric Charge ($/therm)</t>
  </si>
  <si>
    <t>Total Cost of Service ($/therm)</t>
  </si>
  <si>
    <t>Allocator - Cost of Gas</t>
  </si>
  <si>
    <t>Weights - Regulators</t>
  </si>
  <si>
    <t>Weights - Industrial Meters</t>
  </si>
  <si>
    <t>Wght. Cust. - Regulators</t>
  </si>
  <si>
    <t>Wght. Cust. - Industrial Meters</t>
  </si>
  <si>
    <t>LVI</t>
  </si>
  <si>
    <t>SSS</t>
  </si>
  <si>
    <t>SVI</t>
  </si>
  <si>
    <t>LSS</t>
  </si>
  <si>
    <t>MTM</t>
  </si>
  <si>
    <t>STM</t>
  </si>
  <si>
    <t>Industrial Customers</t>
  </si>
  <si>
    <t>Customer Type</t>
  </si>
  <si>
    <t>Company weighted regulator study</t>
  </si>
  <si>
    <t>Gas Customers by Rate Code</t>
  </si>
  <si>
    <t>per Books</t>
  </si>
  <si>
    <t>Customers - Total</t>
  </si>
  <si>
    <t>Throughput - Total</t>
  </si>
  <si>
    <t>Throughput - Sales Service</t>
  </si>
  <si>
    <t>Throughput - Transport</t>
  </si>
  <si>
    <t>Sales Service</t>
  </si>
  <si>
    <t>Transport</t>
  </si>
  <si>
    <t>Total Throughput</t>
  </si>
  <si>
    <t>Small - Total Billed Throughput</t>
  </si>
  <si>
    <t>Medium - Total Billed Throughput</t>
  </si>
  <si>
    <t>Large - Total Billed Throughput</t>
  </si>
  <si>
    <t>Small - Sales Service Billed Throughput</t>
  </si>
  <si>
    <t>Medium - Sales Service Billed Throughput</t>
  </si>
  <si>
    <t>Large - Sales Service Billed Throughput</t>
  </si>
  <si>
    <t>Peak Day Calculations Data</t>
  </si>
  <si>
    <t>Billed</t>
  </si>
  <si>
    <t>Calendar</t>
  </si>
  <si>
    <t>Slope</t>
  </si>
  <si>
    <t>Intercept</t>
  </si>
  <si>
    <t>Combined</t>
  </si>
  <si>
    <t>Manufactured Gas Plant</t>
  </si>
  <si>
    <t>District Regulator Stations</t>
  </si>
  <si>
    <t>Town Border Stations</t>
  </si>
  <si>
    <t>Total Other Storage Plant</t>
  </si>
  <si>
    <t>Storage Plant</t>
  </si>
  <si>
    <t>Compression Equipment</t>
  </si>
  <si>
    <t>Liquifaction Equipment</t>
  </si>
  <si>
    <t>Gross Plant in Service</t>
  </si>
  <si>
    <t>Accum Provision for Uncollectibles</t>
  </si>
  <si>
    <t>(Revenue)</t>
  </si>
  <si>
    <t>Projects in Svc</t>
  </si>
  <si>
    <t>Regulatory Comm</t>
  </si>
  <si>
    <t>South Dakota Rider Revenue</t>
  </si>
  <si>
    <t>408101-408131</t>
  </si>
  <si>
    <t>408145-408147</t>
  </si>
  <si>
    <t>Current Federal Income Tax</t>
  </si>
  <si>
    <t>Current Tax Expense</t>
  </si>
  <si>
    <t>Interest Synchronization</t>
  </si>
  <si>
    <t>410s less 411s</t>
  </si>
  <si>
    <t>P.F. - Company Use</t>
  </si>
  <si>
    <t>Transportation - Commercial</t>
  </si>
  <si>
    <t>P.F. - Transportation - Commercial</t>
  </si>
  <si>
    <t>Transportation - Industrial</t>
  </si>
  <si>
    <t>Transportation - Public Authority</t>
  </si>
  <si>
    <t>P.F. - Transportation - Industrial</t>
  </si>
  <si>
    <t>P.F. - Transportation - Public Authority</t>
  </si>
  <si>
    <t>PGA O/U</t>
  </si>
  <si>
    <t>PGA Allocated</t>
  </si>
  <si>
    <t>Gas Supply</t>
  </si>
  <si>
    <t>(Non PGA)</t>
  </si>
  <si>
    <t>Cost of Gas / Gas Supply Non-PGA</t>
  </si>
  <si>
    <t>Gas Supply (Non PGA)</t>
  </si>
  <si>
    <t>Unbilled/Estimate</t>
  </si>
  <si>
    <t>Average Daily Throughput</t>
  </si>
  <si>
    <t>Peak Throughput</t>
  </si>
  <si>
    <t>Load Factor</t>
  </si>
  <si>
    <t>Total Revenue</t>
  </si>
  <si>
    <t>Book</t>
  </si>
  <si>
    <t>1st 250</t>
  </si>
  <si>
    <t>Ovr 250</t>
  </si>
  <si>
    <t>Bills</t>
  </si>
  <si>
    <t>All</t>
  </si>
  <si>
    <t>Transport Bills</t>
  </si>
  <si>
    <t>Therms (1st 250 per Month)</t>
  </si>
  <si>
    <t>Therms (Over 250 per Month)</t>
  </si>
  <si>
    <t>Calculated Customer Charge</t>
  </si>
  <si>
    <t>Calculated Metering Charge</t>
  </si>
  <si>
    <t>Proposed Customer Charge</t>
  </si>
  <si>
    <t>Proposed Transport Admin Charge</t>
  </si>
  <si>
    <t>Charge</t>
  </si>
  <si>
    <t>Units</t>
  </si>
  <si>
    <t>Remaining Revenue</t>
  </si>
  <si>
    <t>Total Sales and Revenue</t>
  </si>
  <si>
    <t>Variance from COS</t>
  </si>
  <si>
    <t>Step</t>
  </si>
  <si>
    <t xml:space="preserve">----- </t>
  </si>
  <si>
    <t>Therms</t>
  </si>
  <si>
    <t>Average Load</t>
  </si>
  <si>
    <t>Peak Load</t>
  </si>
  <si>
    <t>Peak Allocator</t>
  </si>
  <si>
    <t>Class Load Factor</t>
  </si>
  <si>
    <t>Mains (Excess Above Average Load)</t>
  </si>
  <si>
    <t>Total MDR/MHQ Costs</t>
  </si>
  <si>
    <t>Total MDR</t>
  </si>
  <si>
    <t>Total MHQ</t>
  </si>
  <si>
    <t>Demand Revenue</t>
  </si>
  <si>
    <t>Customer Revenue</t>
  </si>
  <si>
    <t>Unit</t>
  </si>
  <si>
    <t>Installed</t>
  </si>
  <si>
    <t>Allocated</t>
  </si>
  <si>
    <t>Size</t>
  </si>
  <si>
    <t>Group</t>
  </si>
  <si>
    <t>Cost</t>
  </si>
  <si>
    <t>Metering Revenue Requirements</t>
  </si>
  <si>
    <t>Monthly Charge:</t>
  </si>
  <si>
    <t>Transport Admin Charge:</t>
  </si>
  <si>
    <t>Therms Charge (1st 250 per Month):</t>
  </si>
  <si>
    <t>Therms Charge (Over 250 per Month):</t>
  </si>
  <si>
    <t>Therms Charge:</t>
  </si>
  <si>
    <t>MDR Charge (per therm):</t>
  </si>
  <si>
    <t>MHQ Charge (per therm):</t>
  </si>
  <si>
    <t>Proposed Rates</t>
  </si>
  <si>
    <t>Meter Charges</t>
  </si>
  <si>
    <t>Class 1 (0-675)</t>
  </si>
  <si>
    <t>Class 2 (675-3000)</t>
  </si>
  <si>
    <t>Class 3 (3000-11000)</t>
  </si>
  <si>
    <t>Class 4 (over 11000)</t>
  </si>
  <si>
    <t>per month</t>
  </si>
  <si>
    <t>Billing Determinants</t>
  </si>
  <si>
    <t>MDR</t>
  </si>
  <si>
    <t>MHQ</t>
  </si>
  <si>
    <t>Range</t>
  </si>
  <si>
    <t>0-675</t>
  </si>
  <si>
    <t>675-3000</t>
  </si>
  <si>
    <t>3000-11000</t>
  </si>
  <si>
    <t>Over 11000</t>
  </si>
  <si>
    <t>Weight</t>
  </si>
  <si>
    <t>Gross Natural Gas Plant in Service</t>
  </si>
  <si>
    <t>Line 159 goes to Tab FUN-1, Line 1</t>
  </si>
  <si>
    <t>Tab FUN-3, Line 159</t>
  </si>
  <si>
    <t>Line 132 goes to Tab FUN-1, Line 2</t>
  </si>
  <si>
    <t>Tab FUN-3, Line 132</t>
  </si>
  <si>
    <t>Line 147 goes to Tab FUN-1, Line 4</t>
  </si>
  <si>
    <t>Tab FUN-3, Line 147</t>
  </si>
  <si>
    <t>Line 57 goes to Tab FUN-1, Line 7</t>
  </si>
  <si>
    <t>Tab FUN-3, Line 57</t>
  </si>
  <si>
    <t>Tab FUN-3, Line 158 multiplied by -1</t>
  </si>
  <si>
    <t>Federal Tax Rate</t>
  </si>
  <si>
    <t xml:space="preserve">            the relative amounts of Line 15 less Line 12 by function.</t>
  </si>
  <si>
    <t>Line 56 goes to Tab FUN-4, Line 21.</t>
  </si>
  <si>
    <t>Line 58 goes to Tab FUN-4, Line 22.</t>
  </si>
  <si>
    <t>Tab FUN-3, Line 35</t>
  </si>
  <si>
    <t>Tab FUN-3, Line 133</t>
  </si>
  <si>
    <t>Tab FUN-3, Line 133 + Line 146</t>
  </si>
  <si>
    <t>Tab FUN-3, Line 132 + Line 147</t>
  </si>
  <si>
    <t>Tab FUN-3, Line 20 + Line 24</t>
  </si>
  <si>
    <t>Tab FUN-3, Line 24 + Line 25 + Line 26</t>
  </si>
  <si>
    <t>Tab FUN-3, Line 25 + Line 26 + Line 27 + Line 28</t>
  </si>
  <si>
    <t>Tab FUN-3, Line 19 + Line 21 + Line 22 + Line 23</t>
  </si>
  <si>
    <t>Tab FUN-3, Line 35 less Line 34</t>
  </si>
  <si>
    <t>Tab FUN-3, Line 35 + Line 48</t>
  </si>
  <si>
    <t>Tab FUN-3, Lines 86-94 + Lines 96-103</t>
  </si>
  <si>
    <t>Tab FUN-3, Lines 106-110</t>
  </si>
  <si>
    <t>Peak Day Demand (Sales Service Only) - Tab ALO-1, Line 21, Columns (f)-(h)</t>
  </si>
  <si>
    <t>Peak Day Demand (All Throughput) - Tab ALO-1, Line 21, Columns (b)-(d)</t>
  </si>
  <si>
    <t>This worksheet adds the weather normalization pro forma by rate code.</t>
  </si>
  <si>
    <t>This worksheet reclassifies transport volumes to rate code.</t>
  </si>
  <si>
    <t>This worksheet does the following:</t>
  </si>
  <si>
    <t xml:space="preserve">Allocates sales growth pro forma revenues to residential and commercial </t>
  </si>
  <si>
    <t>by rate code in those revenue classes.</t>
  </si>
  <si>
    <t>Allocates unbilled revenue to rate class</t>
  </si>
  <si>
    <t>classes based on the relative level of total billed revenues</t>
  </si>
  <si>
    <t>Assigns weather normalization pro forma amounts to rate class</t>
  </si>
  <si>
    <t>This section sums the sales growth</t>
  </si>
  <si>
    <t>pro forma by rate class for use in</t>
  </si>
  <si>
    <t>rate design.</t>
  </si>
  <si>
    <t>Column (e) is the sum of Columns (b) through (d)</t>
  </si>
  <si>
    <t>Column (i) is the sum of Columns (f) through (h)</t>
  </si>
  <si>
    <t>Columns (j)-(k) are taken from weather normalization pro forma workpapers</t>
  </si>
  <si>
    <t>Sum of Lines 2-13 divided by 365 days</t>
  </si>
  <si>
    <t>Line 18</t>
  </si>
  <si>
    <t>Line 16 + Line 17</t>
  </si>
  <si>
    <t>Line 19 divided by Line 20</t>
  </si>
  <si>
    <t>Slope function in Excel for Columns (b)-(i) against Column (k)</t>
  </si>
  <si>
    <t>Intercept function in Excel for Columns (b)-(i) against Column (k)</t>
  </si>
  <si>
    <t>Sum of Lines 2 through 13</t>
  </si>
  <si>
    <t>Line 23 divided by 365 days</t>
  </si>
  <si>
    <t>Line 24 divided by Line 25</t>
  </si>
  <si>
    <t>Destination:</t>
  </si>
  <si>
    <t>Line 18 Columns (b)-(d) / Column (e) and Columns (f)-(h) / Column (i)</t>
  </si>
  <si>
    <t>Cost Category</t>
  </si>
  <si>
    <t>Value</t>
  </si>
  <si>
    <t>Small Volume Rate Design</t>
  </si>
  <si>
    <t>Rate Calculation</t>
  </si>
  <si>
    <t>Tab CLS1-1, Line 1, Column (c)</t>
  </si>
  <si>
    <t>Tab CLS1-1, Line 2, Column (c)</t>
  </si>
  <si>
    <t>Tab CLS1-1, Line 3, Column (c)</t>
  </si>
  <si>
    <t>Tab CLS1-1, Line 4, Column (c)</t>
  </si>
  <si>
    <t>Tab CLS1-1, Line 5, Column (c)</t>
  </si>
  <si>
    <t>Tab CLS1-1, Line 6, Column (c)</t>
  </si>
  <si>
    <t>Tab CLS1-1, Line 7, Column (c)</t>
  </si>
  <si>
    <t>Tab CLS1-1, Line 8, Column (c)</t>
  </si>
  <si>
    <t>Tab CLS1-1, Line 9, Column (c)</t>
  </si>
  <si>
    <t>Tab CLS1-1, Line 10, Column (c)</t>
  </si>
  <si>
    <t>weather normalization.</t>
  </si>
  <si>
    <t>Price is user defined</t>
  </si>
  <si>
    <t>Final Model</t>
  </si>
  <si>
    <t>Tab CLS1-1, Line 1, Column (d)</t>
  </si>
  <si>
    <t>Tab CLS1-1, Line 2, Column (d)</t>
  </si>
  <si>
    <t>Tab CLS1-1, Line 3, Column (d)</t>
  </si>
  <si>
    <t>Tab CLS1-1, Line 4, Column (d)</t>
  </si>
  <si>
    <t>Tab CLS1-1, Line 5, Column (d)</t>
  </si>
  <si>
    <t>Tab CLS1-1, Line 6, Column (d)</t>
  </si>
  <si>
    <t>Tab CLS1-1, Line 7, Column (d)</t>
  </si>
  <si>
    <t>Tab CLS1-1, Line 8, Column (d)</t>
  </si>
  <si>
    <t>Tab CLS1-1, Line 9, Column (d)</t>
  </si>
  <si>
    <t>Tab CLS1-1, Line 10, Column (d)</t>
  </si>
  <si>
    <t>Large Volume Rate Design</t>
  </si>
  <si>
    <t>Tab CLS1-1, Line 1, Column (e)</t>
  </si>
  <si>
    <t>Tab CLS1-1, Line 2, Column (e)</t>
  </si>
  <si>
    <t>Tab CLS1-1, Line 3, Column (e)</t>
  </si>
  <si>
    <t>Tab CLS1-1, Line 4, Column (e)</t>
  </si>
  <si>
    <t>Tab CLS1-1, Line 5, Column (e)</t>
  </si>
  <si>
    <t>Tab CLS1-1, Line 6, Column (e)</t>
  </si>
  <si>
    <t>Tab CLS1-1, Line 7, Column (e)</t>
  </si>
  <si>
    <t>Tab CLS1-1, Line 8, Column (e)</t>
  </si>
  <si>
    <t>Tab CLS1-1, Line 9, Column (e)</t>
  </si>
  <si>
    <t>Line 3</t>
  </si>
  <si>
    <t>Gas Revenues by Rate Code</t>
  </si>
  <si>
    <t>Gas Sales by Rate Code</t>
  </si>
  <si>
    <t>Metering Rate Design</t>
  </si>
  <si>
    <t>Group designations map meter types to Meter Class 1, 2, 3, and 4 based on meter size.</t>
  </si>
  <si>
    <t>Meter</t>
  </si>
  <si>
    <t>Column (g) is derived from the lookup table at Lines 1-25 based on the meter size in Column (c).</t>
  </si>
  <si>
    <t>Column (h) is Column (g) multiplied by Column (f).</t>
  </si>
  <si>
    <t>Tab CLS1-1, Line 5, Column (b)</t>
  </si>
  <si>
    <t>Calculation of Metering Charges</t>
  </si>
  <si>
    <t>Current Meter Installed Costs</t>
  </si>
  <si>
    <t>Metering Billing Units and Total Current Installed Cost</t>
  </si>
  <si>
    <t>metering revenue requirement by rate class in Tab CLS1-1</t>
  </si>
  <si>
    <t>Advanced Tax Collections</t>
  </si>
  <si>
    <t>LVT</t>
  </si>
  <si>
    <t>MVS</t>
  </si>
  <si>
    <t>MVT</t>
  </si>
  <si>
    <t>SVS</t>
  </si>
  <si>
    <t>SVT</t>
  </si>
  <si>
    <t>NFS</t>
  </si>
  <si>
    <t>CPT</t>
  </si>
  <si>
    <t>Farm Tap</t>
  </si>
  <si>
    <t>Class designations map "S" rates to Small, "M" rates to Medium, and "L" rates and CPT to Large</t>
  </si>
  <si>
    <t>928</t>
  </si>
  <si>
    <t>Annual Rev. Deficit</t>
  </si>
  <si>
    <t>HDD 65</t>
  </si>
  <si>
    <t>Line 15 divided by 30.42 days per month</t>
  </si>
  <si>
    <t>Second Step to First Step Ratio</t>
  </si>
  <si>
    <t>Meter Charge</t>
  </si>
  <si>
    <t>Current State Income Tax</t>
  </si>
  <si>
    <t>Calculated Transport Admin Charge</t>
  </si>
  <si>
    <t>System</t>
  </si>
  <si>
    <t>Reliability</t>
  </si>
  <si>
    <t>Integrity</t>
  </si>
  <si>
    <t>Management</t>
  </si>
  <si>
    <t>PGA Reallocation</t>
  </si>
  <si>
    <t>Season</t>
  </si>
  <si>
    <t>Summer</t>
  </si>
  <si>
    <t>Winter</t>
  </si>
  <si>
    <t xml:space="preserve">Value </t>
  </si>
  <si>
    <t>for the effects of unbilled sales and weather normalization.</t>
  </si>
  <si>
    <t>Rate Billing Determinants</t>
  </si>
  <si>
    <t>Volumetric Rates for SVS, SVT, and STM</t>
  </si>
  <si>
    <t>Therms (Summer)</t>
  </si>
  <si>
    <t>Therms (Winter)</t>
  </si>
  <si>
    <t>Rates for Rate SSS</t>
  </si>
  <si>
    <t>Rates for Rate SVI</t>
  </si>
  <si>
    <t>Small Volume (SVS, SVT, STM):</t>
  </si>
  <si>
    <t>Small Seasonal Service (SSS):</t>
  </si>
  <si>
    <t>Summer Therm Charge:</t>
  </si>
  <si>
    <t>Winter Therm Charge:</t>
  </si>
  <si>
    <t>Medium Volume (MVS, MVT, MTM):</t>
  </si>
  <si>
    <t>Small Volume Interruptible Service (SVI):</t>
  </si>
  <si>
    <t>Therm Charge:</t>
  </si>
  <si>
    <t>Large Volume (LVS, LVT, LVI):</t>
  </si>
  <si>
    <t>Large Seasonal Service (LSS):</t>
  </si>
  <si>
    <t>Total Operating Expenses:</t>
  </si>
  <si>
    <t>Lines 23-25 go to Tab ALO-1, Columns (b)-(d)</t>
  </si>
  <si>
    <t>Lines 26-28 go to Tab ALO-1, Columns (f)-(h)</t>
  </si>
  <si>
    <t>PGA O/U Reconciliation to rate code based on total PGA revenues by rate code in each revenue class.</t>
  </si>
  <si>
    <t>Column (g) goes to Tab SRC-2, Column (n)</t>
  </si>
  <si>
    <t>Column (h) goes to Tab SRC-2, Column (o)</t>
  </si>
  <si>
    <t>Daily</t>
  </si>
  <si>
    <t>Monthly</t>
  </si>
  <si>
    <t>Daily Transportation Admin</t>
  </si>
  <si>
    <t>Monthly Transportation Admin</t>
  </si>
  <si>
    <t>Wght. Cust. - Daily Transportation Customers</t>
  </si>
  <si>
    <t>Customers - Daily Transport</t>
  </si>
  <si>
    <t>Customers - Monthly Transport</t>
  </si>
  <si>
    <t>Wght. Cust. - Monthly Transportation Customers</t>
  </si>
  <si>
    <t>Allocator - Daily Transportation Admin.</t>
  </si>
  <si>
    <t>Allocator - Monthly Transportation Admin.</t>
  </si>
  <si>
    <t>Daily Transportation Administration</t>
  </si>
  <si>
    <t>Monthly Transportation Administration</t>
  </si>
  <si>
    <t>Daily Transport Bills</t>
  </si>
  <si>
    <t>Monthly Transport Bills</t>
  </si>
  <si>
    <t>Calculated Daily Transport Admin Charge</t>
  </si>
  <si>
    <t>Calculated Monthly Transport Admin Charge</t>
  </si>
  <si>
    <t>Proposed Daily Transport Admin Charge</t>
  </si>
  <si>
    <t>Proposed Monthly Transport Admin Charge</t>
  </si>
  <si>
    <t>Medium Volume Rate Design</t>
  </si>
  <si>
    <t>Weights - Monthly Transportation Customers</t>
  </si>
  <si>
    <t>Weights - Daily Transportation Customers</t>
  </si>
  <si>
    <t>Class designations map "S" rates to Small, "M" rates to Medium, and "L" rates</t>
  </si>
  <si>
    <t>Interval Meter, Assumed Average Plant Balance</t>
  </si>
  <si>
    <t>Rate of return</t>
  </si>
  <si>
    <t>Return</t>
  </si>
  <si>
    <t>Depreciation (10 years)</t>
  </si>
  <si>
    <t>Interval/Transportation Meters</t>
  </si>
  <si>
    <t>Allocated Cost</t>
  </si>
  <si>
    <t>Column (b) is taken from Company books and records</t>
  </si>
  <si>
    <t>Column (c) is Column (b), Lines 8-12 multiplied by Column (b), Line 7</t>
  </si>
  <si>
    <t>No. of Bills</t>
  </si>
  <si>
    <t>Interval/Transportation Metering Billing Units and Allocated Costs</t>
  </si>
  <si>
    <t>480-489</t>
  </si>
  <si>
    <t>Other Retail Revenues</t>
  </si>
  <si>
    <t>(ab)</t>
  </si>
  <si>
    <t>less Sales Growth</t>
  </si>
  <si>
    <t>less Meters</t>
  </si>
  <si>
    <t>less Farm Tap Revenue at Fully Phased-in (2028) Level</t>
  </si>
  <si>
    <t>less Rate LSS Non-meter Revenue Adjustment</t>
  </si>
  <si>
    <t>Net Rate Class Revenue</t>
  </si>
  <si>
    <t>Rates for Rate LSS</t>
  </si>
  <si>
    <t>Interval/Transportation Meter Charge:</t>
  </si>
  <si>
    <t>Daily Transport Admin Charge:</t>
  </si>
  <si>
    <t>Monthly Transport Admin Charge:</t>
  </si>
  <si>
    <t>Calculated</t>
  </si>
  <si>
    <t>Meters by Group</t>
  </si>
  <si>
    <t>Class Revenue</t>
  </si>
  <si>
    <t>Proposed</t>
  </si>
  <si>
    <t xml:space="preserve"> Unit</t>
  </si>
  <si>
    <t>at Proposed</t>
  </si>
  <si>
    <t>Distribution of Deficiency Recovery</t>
  </si>
  <si>
    <t>Ratio of Class Increase to Overall Increase</t>
  </si>
  <si>
    <t>Tab RD-5, Lines 13-15, Column (b)</t>
  </si>
  <si>
    <t>Sum of Lines 1 through 12</t>
  </si>
  <si>
    <t>Line 13</t>
  </si>
  <si>
    <t>Distribution calculated using Line 17</t>
  </si>
  <si>
    <t>Ratio calculated using Line 18</t>
  </si>
  <si>
    <t>Daily Transport Customers</t>
  </si>
  <si>
    <t>Monthly Transport Customers</t>
  </si>
  <si>
    <t>Tab SRC-1, Line 24, Columns (g)-(i)</t>
  </si>
  <si>
    <t>Sum of Lines 4-8 divided by Line 21 divided by 12</t>
  </si>
  <si>
    <t>Monthly Transport Charge ($/cust/month)</t>
  </si>
  <si>
    <t>Daily Transport Charge ($/cust/month)</t>
  </si>
  <si>
    <t>Line 9 divided by Line 23 divided by 12</t>
  </si>
  <si>
    <t>Sum of Lines 1-3 and Line 11 divided by Line 25</t>
  </si>
  <si>
    <t>Line 16 divided by Line 25</t>
  </si>
  <si>
    <t>Total Throughput - Line 25</t>
  </si>
  <si>
    <t>Weighted Customers - Line 51 for each column (c) through (e) divided by Line 51, Column (b).</t>
  </si>
  <si>
    <t>Weighted Customers - Line 52 for each column (c) through (e) divided by Line 52, Column (b).</t>
  </si>
  <si>
    <t>Weighted Customers - Line 53 for each column (c) through (e) divided by Line 53, Column (b).</t>
  </si>
  <si>
    <t>Weighted Customers - Line 54 for each column (c) through (e) divided by Line 54, Column (b).</t>
  </si>
  <si>
    <t>Weighted Customers - Line 55 for each column (c) through (e) divided by Line 55, Column (b).</t>
  </si>
  <si>
    <t>Weighted Customers - Line 56 for each column (c) through (e) divided by Line 56, Column (b).</t>
  </si>
  <si>
    <t>Weighted Customers - Line 57 for each column (c) through (e) divided by Line 57, Column (b).</t>
  </si>
  <si>
    <t>Sales Service Throughput - Line 26</t>
  </si>
  <si>
    <t>Line 21 multiplied by Line 44</t>
  </si>
  <si>
    <t>Line 21 multiplied by Line 45</t>
  </si>
  <si>
    <t>Line 21 multiplied by Line 46</t>
  </si>
  <si>
    <t>Line 21 multiplied by Line 48</t>
  </si>
  <si>
    <t>Line 23 multiplied by Line 49</t>
  </si>
  <si>
    <t>Line 24 multiplied by Line 50</t>
  </si>
  <si>
    <t>Reallocates Farm Tap Annual Revenue Deficit revenue collected</t>
  </si>
  <si>
    <t>through the PGA</t>
  </si>
  <si>
    <t>Tab CLS1-1, Line 15.</t>
  </si>
  <si>
    <t>Columns (t) and (u) are summed and go to Tab SRC-2, Col. (p)</t>
  </si>
  <si>
    <t>Columns (h) and (s) are summed and go to Tab SRC-1, Col. (j)</t>
  </si>
  <si>
    <t>Line 21 goes to Tab CLS1-1, Lines 33 and 35</t>
  </si>
  <si>
    <t>Line 26 goes to Tab FUN-4, Line 2 Column (d)</t>
  </si>
  <si>
    <t>Tab CLS1-1, Line 11, Column (c)</t>
  </si>
  <si>
    <t>Sum of Lines 1-12</t>
  </si>
  <si>
    <t>customer information system and adjusted</t>
  </si>
  <si>
    <t>for Rates SVS, SVT, and STM</t>
  </si>
  <si>
    <t>Tab CLS1-1, Line 11, Column (d)</t>
  </si>
  <si>
    <t>Line 13 less Lines 14-16</t>
  </si>
  <si>
    <t xml:space="preserve">Lines 18-21 come from the Company's </t>
  </si>
  <si>
    <t>Line 4 + Lines 6-8 divided by Line 18</t>
  </si>
  <si>
    <t>Line 9 divided by Line 19</t>
  </si>
  <si>
    <t>Line 10 divided by Line 20</t>
  </si>
  <si>
    <t>Line 5 divided by Line 18</t>
  </si>
  <si>
    <t>Line 17 less Lines 26-28</t>
  </si>
  <si>
    <t>Price is calculated as Line 29 / Line 21</t>
  </si>
  <si>
    <t>Tab CLS1-1, Line 11, Column (e)</t>
  </si>
  <si>
    <t>Sum of Lines 1-11</t>
  </si>
  <si>
    <t>Line 43, Column (d)</t>
  </si>
  <si>
    <t>Line 12 less Lines 13-16</t>
  </si>
  <si>
    <t xml:space="preserve">Lines 18-22 come from the Company's </t>
  </si>
  <si>
    <t>customer information system and</t>
  </si>
  <si>
    <t xml:space="preserve">adjusted for the effects </t>
  </si>
  <si>
    <t>of unbilled sales and</t>
  </si>
  <si>
    <t>Tab ALO-1, Line 22, Column (d)</t>
  </si>
  <si>
    <t>Line 29 x (1 - Line 30)</t>
  </si>
  <si>
    <t>Line 1</t>
  </si>
  <si>
    <t>Line 4 plus Lines 6-8 divided by Line 18</t>
  </si>
  <si>
    <t>Line 26 plus Line 27</t>
  </si>
  <si>
    <t>Line 34 plus Line 35</t>
  </si>
  <si>
    <t>Line 31 plus Line 32</t>
  </si>
  <si>
    <t>Sum of Lines 40-42</t>
  </si>
  <si>
    <t>Class designations map "S" rates to Small, "M" rates to Medium, and "L" rates to Large</t>
  </si>
  <si>
    <t>Line 180 divided by Line 179, Column (c)</t>
  </si>
  <si>
    <t>This section calculates customer weights for the</t>
  </si>
  <si>
    <t>This section calculates customer weights for regulators</t>
  </si>
  <si>
    <t>This section calculates customer weights for services</t>
  </si>
  <si>
    <t>Line 1, Column (b) is an estimate of a newly installed telemetry metering equipment adjusted to approximate an average plant value over the ten-year useful life</t>
  </si>
  <si>
    <t>Revenue data is taken from Company books and records.</t>
  </si>
  <si>
    <t>Column (d) is taken from Company books and records.</t>
  </si>
  <si>
    <t>codes in Column (a).</t>
  </si>
  <si>
    <t>Tab FUN-4, Lines 1-24, Columns (c)-(m).</t>
  </si>
  <si>
    <t>Functional Allocators</t>
  </si>
  <si>
    <t>Allocation ratio developed using Tab CLS1-1, Lines 56-57</t>
  </si>
  <si>
    <t>Tab ALO-1, Line 26</t>
  </si>
  <si>
    <t>Columns (g) through (q) are calculated by multiplying the amounts in Column (f)</t>
  </si>
  <si>
    <t>Line 176 goes to Tab FUN-1, Line 3</t>
  </si>
  <si>
    <t>Cost of Service Study</t>
  </si>
  <si>
    <t>Column (e) is taken from Company book and records.</t>
  </si>
  <si>
    <t>Column (g) goes to Tab FUN-3, Column (f).</t>
  </si>
  <si>
    <t>Tab FUN-3, Line 176</t>
  </si>
  <si>
    <t>Line 12 + ((Line 14 - Line 10) / (1 - Line 20, Column (b)))</t>
  </si>
  <si>
    <t>Note 1: Line 16 represents the percentage of total revenue requirements by function and is calculated by dividing the amounts from</t>
  </si>
  <si>
    <t>See Note 1</t>
  </si>
  <si>
    <t>See Note 2</t>
  </si>
  <si>
    <t>Line 15 + Line 17</t>
  </si>
  <si>
    <t>Line 12 - Line 18</t>
  </si>
  <si>
    <t>Tab FUN-3, Line 30</t>
  </si>
  <si>
    <t>Tab FUN-3, Lines 1-174, Columns (a) and (g)-(q) and</t>
  </si>
  <si>
    <t>Tab FUN-5, Lines 1-51, Columns (a) and (e)-(o).</t>
  </si>
  <si>
    <t>Allocation percentages in Columns (c)-(m) go to</t>
  </si>
  <si>
    <t>Total Accum Amort/Deprec</t>
  </si>
  <si>
    <t>Sources for pro forma adjustments are listed at the  top of the page.</t>
  </si>
  <si>
    <t>Total Accumulated Depreciation</t>
  </si>
  <si>
    <t>Demo &amp; Selling</t>
  </si>
  <si>
    <t>Multipliers</t>
  </si>
  <si>
    <t xml:space="preserve">            Columns (c) through (m) by Column (b).</t>
  </si>
  <si>
    <t>Line 18 goes to Tab CLS1-1, Lines 1-12, Column (b)</t>
  </si>
  <si>
    <t>Total Storage Op Exp</t>
  </si>
  <si>
    <t>Total Storage Maint Exp</t>
  </si>
  <si>
    <t>Interval/Transportation Metering Charge Rate Design</t>
  </si>
  <si>
    <t>Farm Tap Rate Design</t>
  </si>
  <si>
    <t>Phase-in to Updated Full Cost of Service</t>
  </si>
  <si>
    <t>Proposed Rate</t>
  </si>
  <si>
    <t>Billing Units</t>
  </si>
  <si>
    <t>Annual Total</t>
  </si>
  <si>
    <t>Monthly Customer Charge (Per Meter)</t>
  </si>
  <si>
    <t>Non-Gas Commodity Charge (Per Therm)</t>
  </si>
  <si>
    <t>Farm Tap Services Revenue</t>
  </si>
  <si>
    <t>Total Revenue from Farm Tap Customers</t>
  </si>
  <si>
    <t>Estimated Annual Cost of Service Per Farm Tap Customer</t>
  </si>
  <si>
    <t>Management Fee (9.25%)</t>
  </si>
  <si>
    <t>Total Annual Cost of Farm Tap Service</t>
  </si>
  <si>
    <t>Annual Revenue Deficit / (Excess)</t>
  </si>
  <si>
    <t>Total Cost of Service</t>
  </si>
  <si>
    <t>Farm Tap Service (NFS, NFT):</t>
  </si>
  <si>
    <t>Manufactured Gas Plant Total</t>
  </si>
  <si>
    <t>Does not apply to STM or SVS</t>
  </si>
  <si>
    <t>Does not apply to SVT or SVS</t>
  </si>
  <si>
    <t>Does not apply to LVI</t>
  </si>
  <si>
    <t>Does not apply to MTM or MVS</t>
  </si>
  <si>
    <t>Does not apply to MVT or MVS</t>
  </si>
  <si>
    <t>Does not apply to LVS or LVI</t>
  </si>
  <si>
    <t>Exhibit ASR 1.1 WP A</t>
  </si>
  <si>
    <t>(ac)</t>
  </si>
  <si>
    <t>Updated Exhibit BMG 1.1, Schedule 1, Line 2</t>
  </si>
  <si>
    <t>(Line 14 / Line 15) - 1</t>
  </si>
  <si>
    <t>Tab CLS1-1, Line 12, Column (c)</t>
  </si>
  <si>
    <t>Tab CLS1-1, Line 12, Column (d)</t>
  </si>
  <si>
    <t>Tab CLS1-1, Line 12, Column (e)</t>
  </si>
  <si>
    <t>Sum of Lines 1-13</t>
  </si>
  <si>
    <t>Sum Lines 40 and 43, Column (d)</t>
  </si>
  <si>
    <t xml:space="preserve">Lines 20-24 come from the Company's </t>
  </si>
  <si>
    <t xml:space="preserve">Lines 23 and 24 only includes volumes </t>
  </si>
  <si>
    <t>Line 4 + Lines 6-8 divided by Line 20</t>
  </si>
  <si>
    <t>Line 9 divided by Line 21</t>
  </si>
  <si>
    <t>Line 10 divided by Line 22</t>
  </si>
  <si>
    <t>Line 5 divided by Line 20</t>
  </si>
  <si>
    <t>Factor</t>
  </si>
  <si>
    <t>Meter Group</t>
  </si>
  <si>
    <t>This section calculates the necessary adjustments to the individual class revenue requirements in order to account for the user defined meter class charges being higher (lower) than the calculated amount in column (e) lines 149-152.</t>
  </si>
  <si>
    <t>2025 South Dakota Natural Gas Case</t>
  </si>
  <si>
    <t>Docket NG26-XXX</t>
  </si>
  <si>
    <t>Assumed value of 2.5 equals ratio of current daily Tsp Adm Charge ($40) to monthly ($16)</t>
  </si>
  <si>
    <t>Current Rate</t>
  </si>
  <si>
    <t>2027 through 2028 Rate Schedule</t>
  </si>
  <si>
    <t>% Increase</t>
  </si>
  <si>
    <t>Check</t>
  </si>
  <si>
    <t>Actual 2025</t>
  </si>
  <si>
    <t>For Year-To-Date December 31, 2025</t>
  </si>
  <si>
    <t>Jurisdiction</t>
  </si>
  <si>
    <t>Act. No.</t>
  </si>
  <si>
    <t>Act. Description</t>
  </si>
  <si>
    <t>3450</t>
  </si>
  <si>
    <t>0400300</t>
  </si>
  <si>
    <t>Usage-commercial</t>
  </si>
  <si>
    <t>CSS</t>
  </si>
  <si>
    <t>0400302</t>
  </si>
  <si>
    <t>Usage-commercial-unbilled</t>
  </si>
  <si>
    <t>(blank)</t>
  </si>
  <si>
    <t>0400315</t>
  </si>
  <si>
    <t>Usage-gas transportation</t>
  </si>
  <si>
    <t>0400320</t>
  </si>
  <si>
    <t>Usage-industrial</t>
  </si>
  <si>
    <t>0400322</t>
  </si>
  <si>
    <t>Usage-industrial-unbilled</t>
  </si>
  <si>
    <t>0400329</t>
  </si>
  <si>
    <t>Usage-negative balance</t>
  </si>
  <si>
    <t>0400335</t>
  </si>
  <si>
    <t>Usage-residential</t>
  </si>
  <si>
    <t>0400337</t>
  </si>
  <si>
    <t>Usage-residential-unbilled</t>
  </si>
  <si>
    <t>Lines 22-24 go to Tab CLS1-1, Lines 25-27</t>
  </si>
  <si>
    <t>4020100</t>
  </si>
  <si>
    <t>Regulated gas retail residential revenue-billed</t>
  </si>
  <si>
    <t>4020110</t>
  </si>
  <si>
    <t>Regulated gas retail residential revenue-unbilled</t>
  </si>
  <si>
    <t>4020120</t>
  </si>
  <si>
    <t>Regulated gas retail residential revenue-rider adjustments</t>
  </si>
  <si>
    <t>4020200</t>
  </si>
  <si>
    <t>Regulated gas retail commercial revenue-billed</t>
  </si>
  <si>
    <t>4020210</t>
  </si>
  <si>
    <t>Regulated gas retail commercial revenue-unbilled</t>
  </si>
  <si>
    <t>4020220</t>
  </si>
  <si>
    <t>Regulated gas retail commercial revenue-rider adjustments</t>
  </si>
  <si>
    <t>4020300</t>
  </si>
  <si>
    <t>Regulated gas retail industrial revenue-billed</t>
  </si>
  <si>
    <t xml:space="preserve">                    </t>
  </si>
  <si>
    <t>4020310</t>
  </si>
  <si>
    <t>Regulated gas retail industrial revenue-unbilled</t>
  </si>
  <si>
    <t>4020320</t>
  </si>
  <si>
    <t>Regulated gas retail industrial revenue-rider adjustments</t>
  </si>
  <si>
    <t>4020540</t>
  </si>
  <si>
    <t>Regulated gas retail transportation service revenue</t>
  </si>
  <si>
    <t>Act. No</t>
  </si>
  <si>
    <t>0400100</t>
  </si>
  <si>
    <t>Customers-commercial</t>
  </si>
  <si>
    <t>0400115</t>
  </si>
  <si>
    <t>Customers-gas transportation</t>
  </si>
  <si>
    <t>0400120</t>
  </si>
  <si>
    <t>Customers-industrial</t>
  </si>
  <si>
    <t>0400135</t>
  </si>
  <si>
    <t>Customers-residential</t>
  </si>
  <si>
    <t>Change from 2021</t>
  </si>
  <si>
    <t>Account#</t>
  </si>
  <si>
    <t>Acct Description</t>
  </si>
  <si>
    <t>Rate Code</t>
  </si>
  <si>
    <t>Journal Source</t>
  </si>
  <si>
    <t>202501</t>
  </si>
  <si>
    <t>202502</t>
  </si>
  <si>
    <t>202503</t>
  </si>
  <si>
    <t>202504</t>
  </si>
  <si>
    <t>202505</t>
  </si>
  <si>
    <t>202506</t>
  </si>
  <si>
    <t>202507</t>
  </si>
  <si>
    <t>202508</t>
  </si>
  <si>
    <t>202509</t>
  </si>
  <si>
    <t>202510</t>
  </si>
  <si>
    <t>202511</t>
  </si>
  <si>
    <t>202512</t>
  </si>
  <si>
    <t>Grand Total</t>
  </si>
  <si>
    <t>BILLED RATIO</t>
  </si>
  <si>
    <t>TRANSPORT RATIO</t>
  </si>
  <si>
    <t>Gas Revenues</t>
  </si>
  <si>
    <t>YTD December 2025</t>
  </si>
  <si>
    <t>Sum of Revenue</t>
  </si>
  <si>
    <t>Period_Name2</t>
  </si>
  <si>
    <t>4020520</t>
  </si>
  <si>
    <t>Regulated gas retail forfeited discounts</t>
  </si>
  <si>
    <t>4020530</t>
  </si>
  <si>
    <t>Regulated gas retail miscellaneous service revenue</t>
  </si>
  <si>
    <t>4020600</t>
  </si>
  <si>
    <t>Regulated gas wholesale/resale revenue</t>
  </si>
  <si>
    <t>NG22-005 Final Rates</t>
  </si>
  <si>
    <t>Increase</t>
  </si>
  <si>
    <t>(Decrease)</t>
  </si>
  <si>
    <t>Proposed vs. Current Rates</t>
  </si>
  <si>
    <t>Current</t>
  </si>
  <si>
    <t>Base Rate Revenues</t>
  </si>
  <si>
    <t>Total Excluding Farm Tap Service</t>
  </si>
  <si>
    <t>Misc Service Revenues</t>
  </si>
  <si>
    <t>Actual 2025 - Billed</t>
  </si>
  <si>
    <t>Wholesale Revenues</t>
  </si>
  <si>
    <t>Operating Revenues per Acctg Rev Req Exhibit</t>
  </si>
  <si>
    <t>Late Payment Charges</t>
  </si>
  <si>
    <t>Rent from gas property</t>
  </si>
  <si>
    <t>LVS</t>
  </si>
  <si>
    <t>Sales Growth Pro Forma</t>
  </si>
  <si>
    <t>Metering Billing Determinants by Meter Group and Rate:</t>
  </si>
  <si>
    <t>Metering Billing Determinants:</t>
  </si>
  <si>
    <t>Billing Determinants for Seasonal Classes:</t>
  </si>
  <si>
    <t>Billing Determinants by Class:</t>
  </si>
  <si>
    <t>Billing Determinants for Small Volume (NFS, SVS, SVT, SVI, STM, SSS):</t>
  </si>
  <si>
    <t>Sales by Rate Code:</t>
  </si>
  <si>
    <t>Lines 26-174 Col (f) are taken from Company books and records.</t>
  </si>
  <si>
    <t>Government</t>
  </si>
  <si>
    <t>Relocation</t>
  </si>
  <si>
    <t>IT</t>
  </si>
  <si>
    <t>Modernization</t>
  </si>
  <si>
    <t>Wholesale</t>
  </si>
  <si>
    <t>Rev &amp; Costs</t>
  </si>
  <si>
    <t>Property Tax</t>
  </si>
  <si>
    <t>Misc. Operating Prov</t>
  </si>
  <si>
    <t>Exh ASR 1.1
WP B</t>
  </si>
  <si>
    <t>Exh ASR 1.1
WP C</t>
  </si>
  <si>
    <t>Exh ASR 1.1
WP D</t>
  </si>
  <si>
    <t>Exh ASR 1.1
WP E</t>
  </si>
  <si>
    <t>Exh ASR 1.1
WP F</t>
  </si>
  <si>
    <t>Customer Class</t>
  </si>
  <si>
    <t>SV</t>
  </si>
  <si>
    <t>MV</t>
  </si>
  <si>
    <t>LV</t>
  </si>
  <si>
    <t>Count</t>
  </si>
  <si>
    <t>Adjusted to Actual Customer Count</t>
  </si>
  <si>
    <t>Unadjusted Meter Count by Group &amp; Rate</t>
  </si>
  <si>
    <t>Adjusted to Actual Customer Count by Class - EXCL NFS</t>
  </si>
  <si>
    <t>Total Excl. NFS</t>
  </si>
  <si>
    <t>n/a</t>
  </si>
  <si>
    <t>Lines 6,7, 16 &amp; 17, col (b)  from NG22-005 Final Cost of Service and represent an approximately 20% increase over original 2017 cost estimates as filed in NG17-011.</t>
  </si>
  <si>
    <t>Lines 6,7, 16 &amp; 17, col (c) from CLS1-1 and represents overall revenue deficiency % increase</t>
  </si>
  <si>
    <t>Lines 2,3, 12 &amp; 13, col (d) represent the annual rate increase % necessary to eliminate deficit/excess by 2028</t>
  </si>
  <si>
    <t>Sales Growth Rev</t>
  </si>
  <si>
    <t xml:space="preserve">Previous Customer Charge escalated by overall COS increase </t>
  </si>
  <si>
    <t>Property Taxes at 1.7264%</t>
  </si>
  <si>
    <t>Annual Revenue Requirement</t>
  </si>
  <si>
    <t>Previous Customer Charge escalated by overall COS increase, rounded up</t>
  </si>
  <si>
    <t>Gross Receipts &amp; Uncollectible Accts</t>
  </si>
  <si>
    <t>Line 14 multiplied by Line 16 Col (j)</t>
  </si>
  <si>
    <t>Peak Use &gt; Base</t>
  </si>
  <si>
    <t>Proposed Monthly Interval Meter Charge</t>
  </si>
  <si>
    <t>Gas Supply (Non-PGA)</t>
  </si>
  <si>
    <t>Management Fee @ 9.25%</t>
  </si>
  <si>
    <t>Annual Cost per Farm Tap Customer per NG17-011</t>
  </si>
  <si>
    <t>NG22-005 Overall Increase</t>
  </si>
  <si>
    <t>Per Therm</t>
  </si>
  <si>
    <t>PGA Rate per Therm for Bill Impacts</t>
  </si>
  <si>
    <t>Total PGA</t>
  </si>
  <si>
    <t>Billed Therms</t>
  </si>
  <si>
    <t>Negative Balancing Revenues</t>
  </si>
  <si>
    <t>Total per Rev Req WP15-PGA</t>
  </si>
  <si>
    <t>Amortization of NG24-013 Reg Asset</t>
  </si>
  <si>
    <t>less Share of Farm Tap Revenue at Fully Phased-in</t>
  </si>
  <si>
    <t>less Rates SVI and SSS Non-Meter Revenue Adjustment</t>
  </si>
  <si>
    <t>Rounding Adjustment per Therm (to line 34)</t>
  </si>
  <si>
    <t>Rounding Adjustment per Therm (to line 30)</t>
  </si>
  <si>
    <t>Rounding Adjustment per Therm (to line 38)</t>
  </si>
  <si>
    <t>Other Gas Revenues - Rents</t>
  </si>
  <si>
    <t>MDR/MHQ Penalties</t>
  </si>
  <si>
    <t>Summary by Class:</t>
  </si>
  <si>
    <t>Rate NFS Deficit Collected through the PGA (from December 2025 PGA filing)</t>
  </si>
  <si>
    <t>STM Switching and Scheduling Charges</t>
  </si>
  <si>
    <t>MMT Switching and Scheduling Revenue</t>
  </si>
  <si>
    <t>Amortization of Regulatory Assets</t>
  </si>
  <si>
    <t>NG26-XXX Overall Increase</t>
  </si>
  <si>
    <t>Assumed Annual Cost per Farm Tap Customer</t>
  </si>
  <si>
    <t>Jan &amp; Dec Sales (Allocate Unbilled)</t>
  </si>
  <si>
    <t>Summary by Customer Type</t>
  </si>
  <si>
    <t>Pro Forma with Current Gas Engineering Estimated Inspections Cost</t>
  </si>
  <si>
    <t>Classification</t>
  </si>
  <si>
    <t>Hours Per Month</t>
  </si>
  <si>
    <t>Direct Rate</t>
  </si>
  <si>
    <t>Loadings</t>
  </si>
  <si>
    <t>Total Rate</t>
  </si>
  <si>
    <t>Monthly Cost</t>
  </si>
  <si>
    <t>Annual Cost</t>
  </si>
  <si>
    <t>Monthly O&amp;M Orders</t>
  </si>
  <si>
    <t>Other Non-Emergency Orders</t>
  </si>
  <si>
    <t>Emergency Orders</t>
  </si>
  <si>
    <t>Engineer-Review Odor level locations</t>
  </si>
  <si>
    <t>Utility Specialists-Places Orders</t>
  </si>
  <si>
    <t>Distribution Specialist-Manages Compliance Data</t>
  </si>
  <si>
    <t>Operations Supervisor-Assures Completion and Manages Workforce</t>
  </si>
  <si>
    <t>M&amp;C Technician-Monitors and Fills Odorizer</t>
  </si>
  <si>
    <t>Service Dispatcher-dispatches orders</t>
  </si>
  <si>
    <t>Estimated miles per year = 36,000 @ 76 cents per mile</t>
  </si>
  <si>
    <t>TOTAL</t>
  </si>
  <si>
    <t>Based on 158 Locations</t>
  </si>
  <si>
    <t>Average Annual Cost Per Customer</t>
  </si>
  <si>
    <t>2026 Inspection Cost Estimate:</t>
  </si>
  <si>
    <t>Inspection/testing costs</t>
  </si>
  <si>
    <t>Assumed Annual Cost per Farm Tap Customer - NG22-005</t>
  </si>
  <si>
    <t>Note 2: Gross Receipt and Uncollectible Accounts expense adjustment is taken from Exhibit BMG 1.1, Schedule 1, Lines 8 and 10 and is allocated to function based on</t>
  </si>
  <si>
    <t>Column (f) is the sum of Columns (h) through (ac).</t>
  </si>
  <si>
    <t xml:space="preserve">Columns (e) through (o) are calculated by multiplying the amounts in </t>
  </si>
  <si>
    <r>
      <t xml:space="preserve">Total less Farm Tap Revenue </t>
    </r>
    <r>
      <rPr>
        <sz val="10"/>
        <rFont val="Arial"/>
        <family val="2"/>
      </rPr>
      <t>(at proposed rates)</t>
    </r>
  </si>
  <si>
    <t>Class designations map "1" rates to Small, "2" rates to Medium, and "3" rates to Large</t>
  </si>
  <si>
    <t>Column (d) Line 20 equals actual January 2025 MDR for LV Class</t>
  </si>
  <si>
    <t>Step is user defined</t>
  </si>
  <si>
    <t>Summation of these data on lines 18-21 divided by 12 in the customer data in Tab CLS1-1, Lines 21 through 24</t>
  </si>
  <si>
    <t>Line 14 less Lines 15-18</t>
  </si>
  <si>
    <t>Tab FUN-5, Line 55</t>
  </si>
  <si>
    <t>Tab FUN-5, Line 55 less Line 46</t>
  </si>
  <si>
    <t>Line 22 multiplied by Line 47</t>
  </si>
  <si>
    <t>Line 10 divided by Line 24 divided by 12</t>
  </si>
  <si>
    <t>Line 15 less Line 16</t>
  </si>
  <si>
    <t>Tab FUN-1, Line 18, Column (c) multiplied by Line 33</t>
  </si>
  <si>
    <t>Tab FUN-1, Line 18, Column (d) multiplied by Line 34</t>
  </si>
  <si>
    <t>Tab FUN-1, Line 18, Column (e) multiplied by Line 33</t>
  </si>
  <si>
    <t>Tab FUN-1, Line 18, Column (f) multiplied by Line 36</t>
  </si>
  <si>
    <t xml:space="preserve">Tab FUN-1, Line 18, Column (g) less Line 12, Column (b) multiplied by Line 37 </t>
  </si>
  <si>
    <t>Tab FUN-1, Line 18, Column (h) multiplied by Line 38</t>
  </si>
  <si>
    <t>Tab FUN-1, Line 18, Column (i) multiplied by Line 39</t>
  </si>
  <si>
    <t>Tab FUN-1, Line 18, Column (j) multiplied by Line 40</t>
  </si>
  <si>
    <t>Tab FUN-1, Line 18, Column (k) multiplied by Line 41</t>
  </si>
  <si>
    <t>Tab FUN-1, Line 18, Column (l) multiplied by Line 42</t>
  </si>
  <si>
    <t>Tab FUN-1, Line 18, Column (m) multiplied by Line 43</t>
  </si>
  <si>
    <t>Tab SRC-1, Line 22, Columns (g)-(i)</t>
  </si>
  <si>
    <t>Tab SRC-1, Line 23, Columns (g)-(i)</t>
  </si>
  <si>
    <t>Columns (b)-(d) are from Tab SRC-5, Lines 25-27</t>
  </si>
  <si>
    <t>Columns (f)-(h) are from Tab SRC-5, Lines 29-31</t>
  </si>
  <si>
    <t>Column (l) comes from Tab SRC-5, Column (g) + Column (r).</t>
  </si>
  <si>
    <t>Tab CLS1-1, Line 16 , Column (c) less Line 14, Column (c)</t>
  </si>
  <si>
    <t>Tab CLS1-1, Line 16 , Column (d) less Line 14, Column (d)</t>
  </si>
  <si>
    <t>Tab CLS1-1, Line 16 , Column (e) less Line 14, Column (e)</t>
  </si>
  <si>
    <t xml:space="preserve">Price is calculated as current tariffed rate x (1 + Tab CLS1-1, Line 18, Column (e)) </t>
  </si>
  <si>
    <t>Price is calculated as current tariffed rate x (1 + Tab CLS1-1, Line 18, Column (c))</t>
  </si>
  <si>
    <t>This tables sums total units (Lines 26-148, Column (f)) and total installed cost (Lines 26-148, Column (h))</t>
  </si>
  <si>
    <t xml:space="preserve">by meter class. Column (d) is Lines 149-152, Column (c) multiplied by Line 155. </t>
  </si>
  <si>
    <t xml:space="preserve">Lines 149-152, Column (e) is Column (d) divided by Column (b). Lines 149-152, Column (f) is user defined. </t>
  </si>
  <si>
    <t>Lines 149-152, Column (g) is Column (f) multiplied by Column (b).</t>
  </si>
  <si>
    <t>Lines 5 and 12 less Tab RD-4, Line 156, Column (g)</t>
  </si>
  <si>
    <t>Lines 5 and 12 less Tab RD-4, Line 157, Column (g)</t>
  </si>
  <si>
    <t>Lines 5 and 11 less Tab RD-4, Line 158, Column (g)</t>
  </si>
  <si>
    <t>Line 13 less Tab RD-6, Line 18, Column (f) allocated using Line 16</t>
  </si>
  <si>
    <t>Price is calculated as Line 33 less Line 37 divided by Line 21 plus Line 22</t>
  </si>
  <si>
    <t>Price is calculated as Line 38 / Line 20</t>
  </si>
  <si>
    <t>Revenue is the sum of Lines 28, 36, 37, and 39, Column (d)</t>
  </si>
  <si>
    <t>Sum of Lines 13, 14, and 16, Column (b) and Lines 40 and 44, Column (d) less Tab CLS1-1, Line 16, Column (e)</t>
  </si>
  <si>
    <t>Tab SRC-2, Lines 30-32, Column (o)</t>
  </si>
  <si>
    <t>Column (h) comes from Tab SRC-3, Column (d)</t>
  </si>
  <si>
    <t>Column (d) goes to Tab SRC-2, Column (h)</t>
  </si>
  <si>
    <t>Column (m) comes from Tab SRC-3, Column (e)</t>
  </si>
  <si>
    <t>Summation of these data by class (Lines 30-32, Column (o)) results in the revenue data in</t>
  </si>
  <si>
    <t>Column (e) goes to Tab SRC-2, Column (m)</t>
  </si>
  <si>
    <t>Tab SRC-4, Line 18, Columns (b)-(d) divided by 12</t>
  </si>
  <si>
    <t>Line 17 less Lines 28, 36 and 37</t>
  </si>
  <si>
    <t>Revenue is Lines 26-28 plus Line 31, Column (d)</t>
  </si>
  <si>
    <t>Line 32, Column (d) less Line 17, Column (b)</t>
  </si>
  <si>
    <t>Line 19 less Lines 29-32</t>
  </si>
  <si>
    <t>Price is calculated as Line 33 / (Line 23 + (Line 24 x Line 34))</t>
  </si>
  <si>
    <t>Price is calculated as Line 35 x Line 34</t>
  </si>
  <si>
    <t>Revenue is Lines 29-31 plus Lines 35-36, Column (d)</t>
  </si>
  <si>
    <t>Revenue is Lines 38-40, Column (d)</t>
  </si>
  <si>
    <t>Sum of Lines 15, 16, and 18, Column (b) and Lines 37, 41, and 44, Column (d) less Tab CLS1-1, Line 16, Column (c)</t>
  </si>
  <si>
    <t>Revenue is Lines 42-43, Column (d)</t>
  </si>
  <si>
    <t xml:space="preserve">Line 158 goes to Tab FUN-1, Line 11 </t>
  </si>
  <si>
    <t>MMT Switching and Scheduling Charges</t>
  </si>
  <si>
    <t>Amortization of EECR balance</t>
  </si>
  <si>
    <t>MDR Excess Use Penalties</t>
  </si>
  <si>
    <t>additional increase on 1-1-28 on 1-1-27 rates</t>
  </si>
  <si>
    <t>Customers - Industrial (Non-Transport)</t>
  </si>
  <si>
    <t>Total Including Farm Tap Service</t>
  </si>
  <si>
    <t>Exh BMG 1.1
WP4</t>
  </si>
  <si>
    <t>Exh BMG 1.1
WP5</t>
  </si>
  <si>
    <t>Exh BMG 1.1
WP6</t>
  </si>
  <si>
    <t>Exh BMG 1.1
WP7</t>
  </si>
  <si>
    <t>Exh BMG 1.1
WP9</t>
  </si>
  <si>
    <t>Exh BMG 1.1
WP11</t>
  </si>
  <si>
    <t>Exh BMG 1.1
WP12</t>
  </si>
  <si>
    <t>Exh BMG 1.1
WP13</t>
  </si>
  <si>
    <t>Exh BMG 1.1
WP14</t>
  </si>
  <si>
    <t>Exh BMG 1.1
WP15</t>
  </si>
  <si>
    <t>Exh BMG 1.1
WP16</t>
  </si>
  <si>
    <t>Exh BMG 1.1
WP17</t>
  </si>
  <si>
    <t>SRC-2</t>
  </si>
  <si>
    <t>Column (j), lines 1-13: Exhibit SPS 1.2 WP1</t>
  </si>
  <si>
    <t>Columnd (f): Exhibit SPS 1.2 WP1</t>
  </si>
  <si>
    <t>Lines 1-25 Col (c): Exhibit SPS 1.2 WP1</t>
  </si>
  <si>
    <t>Exhibit SPS 1.2 WP1</t>
  </si>
  <si>
    <t>Source: Exhibit SPS 1.2 WP1</t>
  </si>
  <si>
    <t>(Source: Exhibit SPS 1.2 WP1)</t>
  </si>
  <si>
    <t>Line 18; Col (d) source = Exhibit SPS 1.2 WP1</t>
  </si>
  <si>
    <t>Exhibit BMG 1.1</t>
  </si>
  <si>
    <t>Column (j), line 16: Exhibit SPS 1.2 WP2</t>
  </si>
  <si>
    <t>Source: SPS Exhibit 1.2 WP1</t>
  </si>
  <si>
    <t>Exh BMG 1.1</t>
  </si>
  <si>
    <t>Total 2025 Pro Forma Revenue per Exhibit BMG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</si>
</sst>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0.000%"/>
    <numFmt numFmtId="166" formatCode="_(* #,##0_);_(* \(#,##0\);_(* &quot;-&quot;??_);_(@_)"/>
    <numFmt numFmtId="167" formatCode="_(&quot;$&quot;* #,##0.000_);_(&quot;$&quot;* \(#,##0.000\);_(&quot;$&quot;* &quot;-&quot;??_);_(@_)"/>
    <numFmt numFmtId="168" formatCode="_(* #,##0.0000_);_(* \(#,##0.0000\);_(* &quot;-&quot;??_);_(@_)"/>
    <numFmt numFmtId="169" formatCode="_(* #,##0.000000_);_(* \(#,##0.000000\);_(* &quot;-&quot;??_);_(@_)"/>
    <numFmt numFmtId="170" formatCode="_(* #,##0.0000000_);_(* \(#,##0.0000000\);_(* &quot;-&quot;??_);_(@_)"/>
    <numFmt numFmtId="171" formatCode="_(* #,##0.00000_);_(* \(#,##0.00000\);_(* &quot;-&quot;??_);_(@_)"/>
    <numFmt numFmtId="172" formatCode="0.0%"/>
    <numFmt numFmtId="173" formatCode="_(&quot;$&quot;* #,##0.00000_);_(&quot;$&quot;* \(#,##0.00000\);_(&quot;$&quot;* &quot;-&quot;??_);_(@_)"/>
    <numFmt numFmtId="174" formatCode="0.0000"/>
    <numFmt numFmtId="175" formatCode="##,###,###,###,###,###,##0"/>
    <numFmt numFmtId="176" formatCode="0.0000%"/>
    <numFmt numFmtId="177" formatCode="&quot;$&quot;#,##0.00"/>
    <numFmt numFmtId="178" formatCode="&quot;$&quot;#,##0.00000"/>
    <numFmt numFmtId="179" formatCode="###,###,###,###,###,##0"/>
    <numFmt numFmtId="180" formatCode="_(* #,##0.00000000_);_(* \(#,##0.00000000\);_(* &quot;-&quot;??_);_(@_)"/>
    <numFmt numFmtId="181" formatCode="_(&quot;$&quot;* #,##0.0000_);_(&quot;$&quot;* \(#,##0.0000\);_(&quot;$&quot;* &quot;-&quot;??_);_(@_)"/>
    <numFmt numFmtId="182" formatCode="0.000000%"/>
    <numFmt numFmtId="183" formatCode="0.0"/>
  </numFmts>
  <fonts count="49"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4"/>
      <name val="Arial"/>
      <family val="2"/>
    </font>
    <font>
      <sz val="10"/>
      <color theme="1"/>
      <name val="Arial"/>
      <family val="2"/>
    </font>
    <font>
      <sz val="10"/>
      <name val="Arial"/>
      <family val="2"/>
    </font>
    <font>
      <sz val="10"/>
      <color rgb="FFFF0000"/>
      <name val="Arial"/>
      <family val="2"/>
    </font>
    <font>
      <sz val="12"/>
      <name val="Arial"/>
      <family val="2"/>
    </font>
    <font>
      <u val="singleAccounting"/>
      <sz val="10"/>
      <name val="Arial"/>
      <family val="2"/>
    </font>
    <font>
      <u/>
      <sz val="10"/>
      <name val="Arial"/>
      <family val="2"/>
    </font>
    <font>
      <b/>
      <sz val="14"/>
      <name val="Arial"/>
      <family val="2"/>
    </font>
    <font>
      <sz val="8"/>
      <name val="Arial"/>
      <family val="2"/>
    </font>
    <font>
      <b/>
      <sz val="10"/>
      <color rgb="FFFF0000"/>
      <name val="Arial"/>
      <family val="2"/>
    </font>
    <font>
      <sz val="10"/>
      <name val="Arial"/>
      <family val="2"/>
    </font>
    <font>
      <sz val="14"/>
      <color theme="1"/>
      <name val="Arial"/>
      <family val="2"/>
    </font>
    <font>
      <sz val="11"/>
      <color theme="1"/>
      <name val="Arial"/>
      <family val="2"/>
    </font>
    <font>
      <sz val="10"/>
      <color indexed="8"/>
      <name val="Arial"/>
      <family val="2"/>
    </font>
    <font>
      <b/>
      <sz val="10"/>
      <color rgb="FF00B050"/>
      <name val="Arial"/>
      <family val="2"/>
    </font>
    <font>
      <sz val="10"/>
      <name val="Arial"/>
      <family val="2"/>
    </font>
    <font>
      <b/>
      <sz val="11"/>
      <color theme="1"/>
      <name val="Calibri"/>
      <family val="2"/>
      <scheme val="minor"/>
    </font>
    <font>
      <b/>
      <sz val="12"/>
      <name val="Arial"/>
      <family val="2"/>
    </font>
    <font>
      <sz val="10"/>
      <name val="MS Sans Serif"/>
    </font>
    <font>
      <sz val="10"/>
      <name val="MS Sans Serif"/>
      <family val="2"/>
    </font>
    <font>
      <sz val="12"/>
      <name val="Times New Roman"/>
      <family val="1"/>
    </font>
    <font>
      <sz val="10"/>
      <name val="Calibri"/>
      <family val="2"/>
      <scheme val="minor"/>
    </font>
    <font>
      <i/>
      <u/>
      <sz val="11"/>
      <color theme="1"/>
      <name val="Arial"/>
      <family val="2"/>
    </font>
    <font>
      <sz val="10"/>
      <color theme="9" tint="-0.249977111117893"/>
      <name val="Arial"/>
      <family val="2"/>
    </font>
    <font>
      <b/>
      <u/>
      <sz val="11"/>
      <color theme="1"/>
      <name val="Arial"/>
      <family val="2"/>
    </font>
    <font>
      <b/>
      <sz val="11"/>
      <color rgb="FFFF00FF"/>
      <name val="Calibri"/>
      <family val="2"/>
      <scheme val="minor"/>
    </font>
    <font>
      <b/>
      <sz val="11"/>
      <color theme="1"/>
      <name val="Arial"/>
      <family val="2"/>
    </font>
    <font>
      <b/>
      <sz val="10"/>
      <color theme="1"/>
      <name val="Arial"/>
      <family val="2"/>
    </font>
    <font>
      <sz val="11"/>
      <name val="Calibri"/>
      <family val="2"/>
      <scheme val="minor"/>
    </font>
    <font>
      <i/>
      <sz val="10"/>
      <color rgb="FFFF0000"/>
      <name val="Arial"/>
      <family val="2"/>
    </font>
    <font>
      <u/>
      <sz val="10"/>
      <color rgb="FFFF0000"/>
      <name val="Arial"/>
      <family val="2"/>
    </font>
    <font>
      <sz val="20"/>
      <name val="Arial"/>
      <family val="2"/>
    </font>
    <font>
      <i/>
      <sz val="10"/>
      <name val="Arial"/>
      <family val="2"/>
    </font>
    <font>
      <sz val="11"/>
      <name val="Arial"/>
      <family val="2"/>
    </font>
    <font>
      <sz val="11"/>
      <color rgb="FFFF0000"/>
      <name val="Arial"/>
      <family val="2"/>
    </font>
    <font>
      <b/>
      <sz val="1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18">
    <border>
      <left/>
      <right/>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double">
        <color indexed="64"/>
      </bottom>
      <diagonal/>
    </border>
  </borders>
  <cellStyleXfs count="91">
    <xf numFmtId="0" fontId="0" fillId="0" borderId="0"/>
    <xf numFmtId="43"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5" fillId="0" borderId="0"/>
    <xf numFmtId="0" fontId="9" fillId="0" borderId="0"/>
    <xf numFmtId="0" fontId="23"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9" fontId="9" fillId="0" borderId="0" applyFont="0" applyFill="0" applyBorder="0" applyAlignment="0" applyProtection="0"/>
    <xf numFmtId="0" fontId="8" fillId="0" borderId="0"/>
    <xf numFmtId="43" fontId="8" fillId="0" borderId="0" applyFont="0" applyFill="0" applyBorder="0" applyAlignment="0" applyProtection="0"/>
    <xf numFmtId="0" fontId="7" fillId="0" borderId="0"/>
    <xf numFmtId="0" fontId="7" fillId="0" borderId="0"/>
    <xf numFmtId="44" fontId="7" fillId="0" borderId="0" applyFont="0" applyFill="0" applyBorder="0" applyAlignment="0" applyProtection="0"/>
    <xf numFmtId="0" fontId="26" fillId="0" borderId="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6" fillId="0" borderId="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1"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4" fontId="6" fillId="0" borderId="0" applyFont="0" applyFill="0" applyBorder="0" applyAlignment="0" applyProtection="0"/>
    <xf numFmtId="9" fontId="11" fillId="0" borderId="0" applyFont="0" applyFill="0" applyBorder="0" applyAlignment="0" applyProtection="0"/>
    <xf numFmtId="44" fontId="11"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28" fillId="0" borderId="0"/>
    <xf numFmtId="0" fontId="26" fillId="0" borderId="0"/>
    <xf numFmtId="0" fontId="31" fillId="0" borderId="0"/>
    <xf numFmtId="8" fontId="32" fillId="0" borderId="0" applyFont="0" applyFill="0" applyBorder="0" applyAlignment="0" applyProtection="0"/>
    <xf numFmtId="40" fontId="32" fillId="0" borderId="0" applyFont="0" applyFill="0" applyBorder="0" applyAlignment="0" applyProtection="0"/>
    <xf numFmtId="0" fontId="32" fillId="0" borderId="0"/>
    <xf numFmtId="0" fontId="11" fillId="0" borderId="0"/>
    <xf numFmtId="44" fontId="3" fillId="0" borderId="0" applyFont="0" applyFill="0" applyBorder="0" applyAlignment="0" applyProtection="0"/>
  </cellStyleXfs>
  <cellXfs count="510">
    <xf numFmtId="0" fontId="0" fillId="0" borderId="0" xfId="0"/>
    <xf numFmtId="164" fontId="0" fillId="0" borderId="0" xfId="0" applyNumberFormat="1"/>
    <xf numFmtId="0" fontId="0" fillId="0" borderId="0" xfId="0" applyAlignment="1">
      <alignment horizontal="right"/>
    </xf>
    <xf numFmtId="164" fontId="0" fillId="0" borderId="0" xfId="2" applyNumberFormat="1" applyFont="1"/>
    <xf numFmtId="0" fontId="11" fillId="0" borderId="0" xfId="0" applyFont="1"/>
    <xf numFmtId="166" fontId="0" fillId="0" borderId="0" xfId="0" applyNumberFormat="1"/>
    <xf numFmtId="0" fontId="12" fillId="0" borderId="0" xfId="0" applyFont="1"/>
    <xf numFmtId="164" fontId="12" fillId="0" borderId="0" xfId="0" applyNumberFormat="1" applyFont="1"/>
    <xf numFmtId="164" fontId="11" fillId="0" borderId="1" xfId="2" applyNumberFormat="1" applyFont="1" applyBorder="1"/>
    <xf numFmtId="164" fontId="11" fillId="0" borderId="1" xfId="2" applyNumberFormat="1" applyFont="1" applyFill="1" applyBorder="1"/>
    <xf numFmtId="0" fontId="0" fillId="0" borderId="1" xfId="0" applyBorder="1"/>
    <xf numFmtId="164" fontId="11" fillId="0" borderId="0" xfId="2" applyNumberFormat="1" applyFill="1"/>
    <xf numFmtId="0" fontId="11" fillId="0" borderId="1" xfId="0" applyFont="1" applyBorder="1" applyAlignment="1">
      <alignment horizontal="right"/>
    </xf>
    <xf numFmtId="0" fontId="11" fillId="0" borderId="0" xfId="0" applyFont="1" applyAlignment="1">
      <alignment horizontal="right"/>
    </xf>
    <xf numFmtId="0" fontId="0" fillId="0" borderId="0" xfId="0" applyAlignment="1">
      <alignment horizontal="left"/>
    </xf>
    <xf numFmtId="0" fontId="0" fillId="0" borderId="1" xfId="0" applyBorder="1" applyAlignment="1">
      <alignment horizontal="left"/>
    </xf>
    <xf numFmtId="164" fontId="11" fillId="0" borderId="0" xfId="2" applyNumberFormat="1" applyFont="1" applyBorder="1"/>
    <xf numFmtId="0" fontId="15" fillId="0" borderId="0" xfId="44"/>
    <xf numFmtId="0" fontId="15" fillId="0" borderId="0" xfId="44" applyAlignment="1">
      <alignment horizontal="center"/>
    </xf>
    <xf numFmtId="0" fontId="11" fillId="0" borderId="0" xfId="44" applyFont="1" applyAlignment="1">
      <alignment horizontal="left" indent="2"/>
    </xf>
    <xf numFmtId="0" fontId="11" fillId="0" borderId="0" xfId="44" applyFont="1"/>
    <xf numFmtId="164" fontId="15" fillId="0" borderId="0" xfId="44" applyNumberFormat="1"/>
    <xf numFmtId="10" fontId="11" fillId="0" borderId="0" xfId="3" applyNumberFormat="1" applyFont="1" applyFill="1" applyBorder="1"/>
    <xf numFmtId="0" fontId="11" fillId="0" borderId="1" xfId="44" applyFont="1" applyBorder="1"/>
    <xf numFmtId="166" fontId="11" fillId="0" borderId="0" xfId="1" applyNumberFormat="1" applyFont="1" applyFill="1" applyBorder="1"/>
    <xf numFmtId="164" fontId="11" fillId="0" borderId="0" xfId="1" applyNumberFormat="1" applyFont="1" applyFill="1" applyBorder="1"/>
    <xf numFmtId="164" fontId="11" fillId="0" borderId="0" xfId="44" applyNumberFormat="1" applyFont="1"/>
    <xf numFmtId="164" fontId="11" fillId="0" borderId="0" xfId="2" applyNumberFormat="1" applyFont="1" applyFill="1" applyBorder="1"/>
    <xf numFmtId="164" fontId="11" fillId="0" borderId="0" xfId="2" applyNumberFormat="1" applyFont="1"/>
    <xf numFmtId="0" fontId="15" fillId="0" borderId="0" xfId="44" applyAlignment="1">
      <alignment horizontal="left"/>
    </xf>
    <xf numFmtId="0" fontId="15" fillId="0" borderId="1" xfId="44" applyBorder="1" applyAlignment="1">
      <alignment horizontal="left"/>
    </xf>
    <xf numFmtId="166" fontId="0" fillId="0" borderId="0" xfId="1" applyNumberFormat="1" applyFont="1"/>
    <xf numFmtId="0" fontId="13" fillId="0" borderId="0" xfId="44" applyFont="1" applyAlignment="1">
      <alignment horizontal="left"/>
    </xf>
    <xf numFmtId="0" fontId="11" fillId="0" borderId="0" xfId="44" applyFont="1" applyAlignment="1">
      <alignment horizontal="left"/>
    </xf>
    <xf numFmtId="164" fontId="11" fillId="0" borderId="0" xfId="2" applyNumberFormat="1" applyFont="1" applyFill="1"/>
    <xf numFmtId="0" fontId="11" fillId="0" borderId="1" xfId="44" applyFont="1" applyBorder="1" applyAlignment="1">
      <alignment horizontal="left"/>
    </xf>
    <xf numFmtId="0" fontId="11" fillId="0" borderId="0" xfId="44" applyFont="1" applyAlignment="1">
      <alignment horizontal="center"/>
    </xf>
    <xf numFmtId="0" fontId="0" fillId="0" borderId="0" xfId="44" applyFont="1"/>
    <xf numFmtId="0" fontId="11" fillId="0" borderId="1" xfId="44" applyFont="1" applyBorder="1" applyAlignment="1">
      <alignment horizontal="center"/>
    </xf>
    <xf numFmtId="0" fontId="13" fillId="0" borderId="0" xfId="0" applyFont="1"/>
    <xf numFmtId="10" fontId="11" fillId="0" borderId="0" xfId="3" applyNumberFormat="1" applyFont="1" applyFill="1"/>
    <xf numFmtId="164" fontId="12" fillId="0" borderId="0" xfId="2" applyNumberFormat="1" applyFont="1" applyFill="1"/>
    <xf numFmtId="0" fontId="12" fillId="0" borderId="0" xfId="44" applyFont="1"/>
    <xf numFmtId="0" fontId="0" fillId="0" borderId="0" xfId="44" applyFont="1" applyAlignment="1">
      <alignment horizontal="center"/>
    </xf>
    <xf numFmtId="0" fontId="0" fillId="0" borderId="1" xfId="44" applyFont="1" applyBorder="1"/>
    <xf numFmtId="168" fontId="11" fillId="0" borderId="0" xfId="1" applyNumberFormat="1" applyFont="1" applyAlignment="1">
      <alignment horizontal="right"/>
    </xf>
    <xf numFmtId="169" fontId="0" fillId="0" borderId="0" xfId="1" applyNumberFormat="1" applyFont="1"/>
    <xf numFmtId="168" fontId="11" fillId="0" borderId="0" xfId="1" applyNumberFormat="1" applyFont="1"/>
    <xf numFmtId="170" fontId="11" fillId="0" borderId="0" xfId="1" applyNumberFormat="1" applyFont="1" applyFill="1"/>
    <xf numFmtId="166" fontId="11" fillId="0" borderId="0" xfId="1" applyNumberFormat="1" applyFont="1" applyFill="1"/>
    <xf numFmtId="168" fontId="11" fillId="0" borderId="0" xfId="1" applyNumberFormat="1" applyFont="1" applyFill="1"/>
    <xf numFmtId="170" fontId="11" fillId="0" borderId="0" xfId="1" applyNumberFormat="1" applyFont="1"/>
    <xf numFmtId="168" fontId="11" fillId="0" borderId="1" xfId="1" applyNumberFormat="1" applyFont="1" applyBorder="1" applyAlignment="1">
      <alignment horizontal="right"/>
    </xf>
    <xf numFmtId="169" fontId="11" fillId="0" borderId="0" xfId="1" applyNumberFormat="1" applyFont="1" applyBorder="1"/>
    <xf numFmtId="49" fontId="11" fillId="0" borderId="0" xfId="44" applyNumberFormat="1" applyFont="1"/>
    <xf numFmtId="49" fontId="15" fillId="0" borderId="0" xfId="44" applyNumberFormat="1" applyAlignment="1">
      <alignment horizontal="left"/>
    </xf>
    <xf numFmtId="169" fontId="11" fillId="0" borderId="0" xfId="1" applyNumberFormat="1" applyFont="1" applyFill="1" applyBorder="1"/>
    <xf numFmtId="49" fontId="11" fillId="0" borderId="0" xfId="44" applyNumberFormat="1" applyFont="1" applyAlignment="1">
      <alignment horizontal="left" indent="1"/>
    </xf>
    <xf numFmtId="49" fontId="11" fillId="0" borderId="1" xfId="44" applyNumberFormat="1" applyFont="1" applyBorder="1" applyAlignment="1">
      <alignment horizontal="left" indent="1"/>
    </xf>
    <xf numFmtId="49" fontId="11" fillId="0" borderId="1" xfId="44" applyNumberFormat="1" applyFont="1" applyBorder="1" applyAlignment="1">
      <alignment horizontal="left"/>
    </xf>
    <xf numFmtId="49" fontId="11" fillId="0" borderId="0" xfId="44" applyNumberFormat="1" applyFont="1" applyAlignment="1">
      <alignment horizontal="left"/>
    </xf>
    <xf numFmtId="0" fontId="19" fillId="0" borderId="0" xfId="44" applyFont="1" applyAlignment="1" applyProtection="1">
      <alignment horizontal="center" wrapText="1"/>
      <protection locked="0"/>
    </xf>
    <xf numFmtId="0" fontId="19" fillId="0" borderId="0" xfId="44" applyFont="1" applyAlignment="1" applyProtection="1">
      <alignment horizontal="right" wrapText="1"/>
      <protection locked="0"/>
    </xf>
    <xf numFmtId="49" fontId="11" fillId="0" borderId="0" xfId="44" applyNumberFormat="1" applyFont="1" applyAlignment="1">
      <alignment horizontal="left" wrapText="1"/>
    </xf>
    <xf numFmtId="49" fontId="11" fillId="0" borderId="1" xfId="44" applyNumberFormat="1" applyFont="1" applyBorder="1" applyAlignment="1">
      <alignment horizontal="left" wrapText="1"/>
    </xf>
    <xf numFmtId="49" fontId="11" fillId="0" borderId="1" xfId="44" applyNumberFormat="1" applyFont="1" applyBorder="1"/>
    <xf numFmtId="0" fontId="11" fillId="0" borderId="0" xfId="24"/>
    <xf numFmtId="0" fontId="11" fillId="0" borderId="0" xfId="24" applyAlignment="1">
      <alignment horizontal="right"/>
    </xf>
    <xf numFmtId="166" fontId="11" fillId="0" borderId="0" xfId="24" applyNumberFormat="1"/>
    <xf numFmtId="0" fontId="11" fillId="0" borderId="1" xfId="24" applyBorder="1"/>
    <xf numFmtId="0" fontId="0" fillId="0" borderId="0" xfId="24" applyFont="1"/>
    <xf numFmtId="0" fontId="11" fillId="0" borderId="0" xfId="24" applyAlignment="1">
      <alignment horizontal="left"/>
    </xf>
    <xf numFmtId="0" fontId="25" fillId="0" borderId="0" xfId="52" applyFont="1"/>
    <xf numFmtId="0" fontId="14" fillId="0" borderId="0" xfId="52" applyFont="1"/>
    <xf numFmtId="171" fontId="14" fillId="0" borderId="0" xfId="1" applyNumberFormat="1" applyFont="1"/>
    <xf numFmtId="166" fontId="14" fillId="0" borderId="0" xfId="52" applyNumberFormat="1" applyFont="1"/>
    <xf numFmtId="0" fontId="14" fillId="0" borderId="1" xfId="52" applyFont="1" applyBorder="1" applyAlignment="1">
      <alignment horizontal="right"/>
    </xf>
    <xf numFmtId="0" fontId="14" fillId="0" borderId="1" xfId="52" applyFont="1" applyBorder="1" applyAlignment="1">
      <alignment horizontal="left"/>
    </xf>
    <xf numFmtId="0" fontId="14" fillId="0" borderId="0" xfId="52" applyFont="1" applyAlignment="1">
      <alignment horizontal="right"/>
    </xf>
    <xf numFmtId="0" fontId="14" fillId="0" borderId="0" xfId="52" applyFont="1" applyAlignment="1">
      <alignment horizontal="left"/>
    </xf>
    <xf numFmtId="166" fontId="14" fillId="0" borderId="0" xfId="1" applyNumberFormat="1" applyFont="1"/>
    <xf numFmtId="166" fontId="11" fillId="0" borderId="0" xfId="1" applyNumberFormat="1" applyFont="1"/>
    <xf numFmtId="0" fontId="0" fillId="0" borderId="1" xfId="0" applyBorder="1" applyAlignment="1">
      <alignment horizontal="right"/>
    </xf>
    <xf numFmtId="0" fontId="11" fillId="0" borderId="0" xfId="24" applyAlignment="1">
      <alignment horizontal="center"/>
    </xf>
    <xf numFmtId="166" fontId="26" fillId="0" borderId="0" xfId="1" applyNumberFormat="1" applyFont="1" applyFill="1" applyBorder="1" applyAlignment="1">
      <alignment horizontal="right" wrapText="1"/>
    </xf>
    <xf numFmtId="43" fontId="11" fillId="0" borderId="0" xfId="24" applyNumberFormat="1"/>
    <xf numFmtId="0" fontId="14" fillId="0" borderId="0" xfId="79" applyFont="1" applyAlignment="1">
      <alignment horizontal="center"/>
    </xf>
    <xf numFmtId="0" fontId="0" fillId="0" borderId="1" xfId="24" applyFont="1" applyBorder="1" applyAlignment="1">
      <alignment horizontal="right"/>
    </xf>
    <xf numFmtId="49" fontId="0" fillId="0" borderId="0" xfId="44" applyNumberFormat="1" applyFont="1"/>
    <xf numFmtId="169" fontId="11" fillId="0" borderId="0" xfId="1" applyNumberFormat="1" applyFont="1"/>
    <xf numFmtId="169" fontId="11" fillId="0" borderId="0" xfId="1" applyNumberFormat="1" applyFont="1" applyFill="1"/>
    <xf numFmtId="49" fontId="0" fillId="0" borderId="0" xfId="44" applyNumberFormat="1" applyFont="1" applyAlignment="1">
      <alignment horizontal="left"/>
    </xf>
    <xf numFmtId="49" fontId="0" fillId="0" borderId="1" xfId="44" applyNumberFormat="1" applyFont="1" applyBorder="1" applyAlignment="1">
      <alignment horizontal="left"/>
    </xf>
    <xf numFmtId="49" fontId="0" fillId="0" borderId="0" xfId="44" applyNumberFormat="1" applyFont="1" applyAlignment="1">
      <alignment horizontal="left" indent="1"/>
    </xf>
    <xf numFmtId="49" fontId="0" fillId="0" borderId="1" xfId="44" applyNumberFormat="1" applyFont="1" applyBorder="1" applyAlignment="1">
      <alignment horizontal="left" indent="1"/>
    </xf>
    <xf numFmtId="0" fontId="0" fillId="0" borderId="0" xfId="24" applyFont="1" applyAlignment="1">
      <alignment horizontal="center"/>
    </xf>
    <xf numFmtId="0" fontId="11" fillId="0" borderId="0" xfId="57" applyFont="1" applyAlignment="1">
      <alignment horizontal="center" wrapText="1"/>
    </xf>
    <xf numFmtId="166" fontId="27" fillId="0" borderId="0" xfId="1" applyNumberFormat="1" applyFont="1"/>
    <xf numFmtId="171" fontId="14" fillId="0" borderId="0" xfId="52" applyNumberFormat="1" applyFont="1"/>
    <xf numFmtId="173" fontId="0" fillId="0" borderId="0" xfId="2" applyNumberFormat="1" applyFont="1"/>
    <xf numFmtId="0" fontId="0" fillId="0" borderId="1" xfId="24" applyFont="1" applyBorder="1" applyAlignment="1">
      <alignment horizontal="center"/>
    </xf>
    <xf numFmtId="43" fontId="0" fillId="0" borderId="0" xfId="0" applyNumberFormat="1"/>
    <xf numFmtId="166" fontId="0" fillId="0" borderId="1" xfId="0" applyNumberFormat="1" applyBorder="1"/>
    <xf numFmtId="1" fontId="0" fillId="0" borderId="0" xfId="0" applyNumberFormat="1"/>
    <xf numFmtId="44" fontId="0" fillId="0" borderId="0" xfId="0" applyNumberFormat="1"/>
    <xf numFmtId="0" fontId="11" fillId="0" borderId="1" xfId="24" applyBorder="1" applyAlignment="1">
      <alignment horizontal="center"/>
    </xf>
    <xf numFmtId="164" fontId="11" fillId="0" borderId="0" xfId="1" applyNumberFormat="1" applyFont="1" applyFill="1"/>
    <xf numFmtId="166" fontId="0" fillId="0" borderId="0" xfId="1" applyNumberFormat="1" applyFont="1" applyFill="1"/>
    <xf numFmtId="164" fontId="0" fillId="0" borderId="0" xfId="2" applyNumberFormat="1" applyFont="1" applyFill="1"/>
    <xf numFmtId="165" fontId="0" fillId="0" borderId="0" xfId="3" applyNumberFormat="1" applyFont="1" applyFill="1"/>
    <xf numFmtId="10" fontId="11" fillId="0" borderId="0" xfId="3" quotePrefix="1" applyNumberFormat="1" applyFont="1" applyFill="1" applyAlignment="1">
      <alignment horizontal="right"/>
    </xf>
    <xf numFmtId="164" fontId="11" fillId="0" borderId="0" xfId="76" applyNumberFormat="1" applyFont="1" applyFill="1"/>
    <xf numFmtId="0" fontId="25" fillId="0" borderId="0" xfId="52" applyFont="1" applyAlignment="1">
      <alignment horizontal="center"/>
    </xf>
    <xf numFmtId="0" fontId="13" fillId="0" borderId="0" xfId="24" applyFont="1"/>
    <xf numFmtId="0" fontId="17" fillId="0" borderId="0" xfId="0" applyFont="1"/>
    <xf numFmtId="173" fontId="0" fillId="0" borderId="3" xfId="2" applyNumberFormat="1" applyFont="1" applyFill="1" applyBorder="1"/>
    <xf numFmtId="44" fontId="11" fillId="0" borderId="0" xfId="24" applyNumberFormat="1"/>
    <xf numFmtId="0" fontId="0" fillId="0" borderId="0" xfId="0" applyAlignment="1">
      <alignment horizontal="center"/>
    </xf>
    <xf numFmtId="44" fontId="0" fillId="0" borderId="0" xfId="2" applyFont="1" applyFill="1"/>
    <xf numFmtId="168" fontId="0" fillId="0" borderId="0" xfId="1" applyNumberFormat="1" applyFont="1" applyAlignment="1">
      <alignment horizontal="right"/>
    </xf>
    <xf numFmtId="164" fontId="0" fillId="0" borderId="1" xfId="2" applyNumberFormat="1" applyFont="1" applyFill="1" applyBorder="1"/>
    <xf numFmtId="164" fontId="0" fillId="0" borderId="0" xfId="2" applyNumberFormat="1" applyFont="1" applyFill="1" applyBorder="1"/>
    <xf numFmtId="0" fontId="29" fillId="0" borderId="0" xfId="24" applyFont="1" applyAlignment="1">
      <alignment horizontal="center"/>
    </xf>
    <xf numFmtId="0" fontId="5" fillId="0" borderId="0" xfId="24" applyFont="1"/>
    <xf numFmtId="165" fontId="11" fillId="0" borderId="1" xfId="24" applyNumberFormat="1" applyBorder="1"/>
    <xf numFmtId="44" fontId="11" fillId="0" borderId="14" xfId="24" applyNumberFormat="1" applyBorder="1"/>
    <xf numFmtId="43" fontId="11" fillId="0" borderId="1" xfId="24" applyNumberFormat="1" applyBorder="1"/>
    <xf numFmtId="0" fontId="0" fillId="0" borderId="1" xfId="0" applyBorder="1" applyAlignment="1">
      <alignment horizontal="center"/>
    </xf>
    <xf numFmtId="0" fontId="4" fillId="0" borderId="0" xfId="24" applyFont="1"/>
    <xf numFmtId="165" fontId="12" fillId="0" borderId="0" xfId="3" applyNumberFormat="1" applyFont="1" applyFill="1"/>
    <xf numFmtId="167" fontId="0" fillId="0" borderId="0" xfId="2" applyNumberFormat="1" applyFont="1" applyFill="1"/>
    <xf numFmtId="9" fontId="0" fillId="0" borderId="0" xfId="3" applyFont="1" applyFill="1"/>
    <xf numFmtId="166" fontId="14" fillId="0" borderId="0" xfId="1" applyNumberFormat="1" applyFont="1" applyFill="1"/>
    <xf numFmtId="10" fontId="12" fillId="0" borderId="0" xfId="3" applyNumberFormat="1" applyFont="1" applyFill="1"/>
    <xf numFmtId="0" fontId="13" fillId="0" borderId="0" xfId="44" applyFont="1"/>
    <xf numFmtId="49" fontId="12" fillId="0" borderId="0" xfId="44" applyNumberFormat="1" applyFont="1" applyAlignment="1">
      <alignment horizontal="left"/>
    </xf>
    <xf numFmtId="176" fontId="0" fillId="0" borderId="0" xfId="3" applyNumberFormat="1" applyFont="1" applyFill="1"/>
    <xf numFmtId="164" fontId="0" fillId="0" borderId="1" xfId="0" applyNumberFormat="1" applyBorder="1"/>
    <xf numFmtId="172" fontId="0" fillId="0" borderId="0" xfId="3" applyNumberFormat="1" applyFont="1" applyFill="1"/>
    <xf numFmtId="2" fontId="0" fillId="0" borderId="0" xfId="3" applyNumberFormat="1" applyFont="1" applyFill="1"/>
    <xf numFmtId="173" fontId="0" fillId="0" borderId="0" xfId="2" applyNumberFormat="1" applyFont="1" applyFill="1"/>
    <xf numFmtId="2" fontId="0" fillId="0" borderId="0" xfId="0" applyNumberFormat="1"/>
    <xf numFmtId="0" fontId="22" fillId="0" borderId="0" xfId="0" applyFont="1"/>
    <xf numFmtId="171" fontId="0" fillId="0" borderId="0" xfId="1" applyNumberFormat="1" applyFont="1" applyFill="1"/>
    <xf numFmtId="0" fontId="17" fillId="0" borderId="0" xfId="24" applyFont="1"/>
    <xf numFmtId="0" fontId="24" fillId="0" borderId="0" xfId="52" applyFont="1"/>
    <xf numFmtId="0" fontId="0" fillId="0" borderId="10" xfId="0" applyBorder="1"/>
    <xf numFmtId="166" fontId="0" fillId="0" borderId="9" xfId="0" applyNumberFormat="1" applyBorder="1"/>
    <xf numFmtId="44" fontId="27" fillId="0" borderId="0" xfId="2" applyFont="1" applyFill="1"/>
    <xf numFmtId="44" fontId="27" fillId="0" borderId="0" xfId="2" applyFont="1" applyFill="1" applyBorder="1"/>
    <xf numFmtId="171" fontId="11" fillId="0" borderId="1" xfId="1" applyNumberFormat="1" applyFont="1" applyFill="1" applyBorder="1"/>
    <xf numFmtId="44" fontId="0" fillId="0" borderId="4" xfId="2" applyFont="1" applyFill="1" applyBorder="1"/>
    <xf numFmtId="44" fontId="0" fillId="0" borderId="5" xfId="2" applyFont="1" applyFill="1" applyBorder="1"/>
    <xf numFmtId="166" fontId="0" fillId="0" borderId="1" xfId="1" applyNumberFormat="1" applyFont="1" applyFill="1" applyBorder="1"/>
    <xf numFmtId="0" fontId="0" fillId="0" borderId="0" xfId="0" quotePrefix="1" applyAlignment="1">
      <alignment horizontal="right"/>
    </xf>
    <xf numFmtId="166" fontId="11" fillId="0" borderId="0" xfId="87" applyNumberFormat="1" applyFont="1" applyFill="1"/>
    <xf numFmtId="0" fontId="12" fillId="2" borderId="0" xfId="0" applyFont="1" applyFill="1"/>
    <xf numFmtId="0" fontId="0" fillId="3" borderId="0" xfId="0" applyFill="1"/>
    <xf numFmtId="9" fontId="0" fillId="0" borderId="0" xfId="3" applyFont="1"/>
    <xf numFmtId="0" fontId="12" fillId="0" borderId="1" xfId="0" applyFont="1" applyBorder="1"/>
    <xf numFmtId="0" fontId="16" fillId="0" borderId="0" xfId="0" applyFont="1"/>
    <xf numFmtId="0" fontId="14" fillId="0" borderId="0" xfId="52" applyFont="1" applyAlignment="1">
      <alignment horizontal="center"/>
    </xf>
    <xf numFmtId="0" fontId="14" fillId="0" borderId="1" xfId="52" applyFont="1" applyBorder="1" applyAlignment="1">
      <alignment horizontal="center"/>
    </xf>
    <xf numFmtId="0" fontId="35" fillId="0" borderId="0" xfId="52" applyFont="1"/>
    <xf numFmtId="0" fontId="16" fillId="0" borderId="0" xfId="52" applyFont="1"/>
    <xf numFmtId="15" fontId="37" fillId="0" borderId="0" xfId="52" quotePrefix="1" applyNumberFormat="1" applyFont="1"/>
    <xf numFmtId="1" fontId="12" fillId="0" borderId="1" xfId="0" applyNumberFormat="1" applyFont="1" applyBorder="1" applyAlignment="1">
      <alignment horizontal="left"/>
    </xf>
    <xf numFmtId="1" fontId="12" fillId="0" borderId="0" xfId="0" applyNumberFormat="1" applyFont="1"/>
    <xf numFmtId="0" fontId="30" fillId="0" borderId="0" xfId="0" applyFont="1"/>
    <xf numFmtId="172" fontId="14" fillId="0" borderId="0" xfId="3" applyNumberFormat="1" applyFont="1"/>
    <xf numFmtId="171" fontId="11" fillId="0" borderId="0" xfId="1" applyNumberFormat="1" applyFont="1" applyFill="1"/>
    <xf numFmtId="0" fontId="12" fillId="0" borderId="0" xfId="0" applyFont="1" applyAlignment="1">
      <alignment horizontal="center"/>
    </xf>
    <xf numFmtId="0" fontId="22" fillId="0" borderId="0" xfId="24" applyFont="1"/>
    <xf numFmtId="0" fontId="16" fillId="0" borderId="0" xfId="24" applyFont="1"/>
    <xf numFmtId="166" fontId="11" fillId="0" borderId="2" xfId="1" applyNumberFormat="1" applyFont="1" applyFill="1" applyBorder="1" applyAlignment="1">
      <alignment horizontal="right" wrapText="1"/>
    </xf>
    <xf numFmtId="164" fontId="11" fillId="0" borderId="0" xfId="90" applyNumberFormat="1" applyFont="1" applyFill="1"/>
    <xf numFmtId="164" fontId="11" fillId="0" borderId="1" xfId="90" applyNumberFormat="1" applyFont="1" applyFill="1" applyBorder="1"/>
    <xf numFmtId="173" fontId="11" fillId="0" borderId="0" xfId="90" applyNumberFormat="1" applyFont="1" applyFill="1"/>
    <xf numFmtId="39" fontId="0" fillId="0" borderId="0" xfId="0" applyNumberFormat="1"/>
    <xf numFmtId="9" fontId="0" fillId="0" borderId="0" xfId="3" applyFont="1" applyAlignment="1"/>
    <xf numFmtId="3" fontId="0" fillId="0" borderId="0" xfId="0" applyNumberFormat="1"/>
    <xf numFmtId="179" fontId="0" fillId="0" borderId="1" xfId="0" applyNumberFormat="1" applyBorder="1"/>
    <xf numFmtId="0" fontId="38" fillId="0" borderId="0" xfId="0" applyFont="1" applyAlignment="1">
      <alignment horizontal="center"/>
    </xf>
    <xf numFmtId="180" fontId="0" fillId="0" borderId="0" xfId="1" applyNumberFormat="1" applyFont="1" applyAlignment="1"/>
    <xf numFmtId="44" fontId="0" fillId="0" borderId="0" xfId="2" applyFont="1" applyFill="1" applyAlignment="1">
      <alignment horizontal="right"/>
    </xf>
    <xf numFmtId="173" fontId="12" fillId="0" borderId="0" xfId="2" applyNumberFormat="1" applyFont="1"/>
    <xf numFmtId="37" fontId="0" fillId="0" borderId="0" xfId="0" applyNumberFormat="1"/>
    <xf numFmtId="172" fontId="0" fillId="0" borderId="0" xfId="3" applyNumberFormat="1" applyFont="1"/>
    <xf numFmtId="166" fontId="16" fillId="0" borderId="0" xfId="1" applyNumberFormat="1" applyFont="1"/>
    <xf numFmtId="3" fontId="16" fillId="0" borderId="0" xfId="0" applyNumberFormat="1" applyFont="1"/>
    <xf numFmtId="0" fontId="12" fillId="0" borderId="0" xfId="57" applyFont="1" applyAlignment="1">
      <alignment horizontal="center" wrapText="1"/>
    </xf>
    <xf numFmtId="164" fontId="12" fillId="0" borderId="0" xfId="2" applyNumberFormat="1" applyFont="1" applyFill="1" applyBorder="1"/>
    <xf numFmtId="43" fontId="16" fillId="0" borderId="0" xfId="1" applyFont="1" applyFill="1"/>
    <xf numFmtId="0" fontId="40" fillId="0" borderId="0" xfId="52" applyFont="1" applyAlignment="1">
      <alignment horizontal="right"/>
    </xf>
    <xf numFmtId="171" fontId="40" fillId="0" borderId="0" xfId="1" applyNumberFormat="1" applyFont="1"/>
    <xf numFmtId="171" fontId="40" fillId="0" borderId="0" xfId="52" applyNumberFormat="1" applyFont="1"/>
    <xf numFmtId="0" fontId="41" fillId="0" borderId="0" xfId="24" applyFont="1"/>
    <xf numFmtId="0" fontId="2" fillId="0" borderId="0" xfId="24" applyFont="1"/>
    <xf numFmtId="44" fontId="27" fillId="0" borderId="4" xfId="2" applyFont="1" applyFill="1" applyBorder="1"/>
    <xf numFmtId="0" fontId="11" fillId="0" borderId="1" xfId="24" applyBorder="1" applyAlignment="1">
      <alignment horizontal="left"/>
    </xf>
    <xf numFmtId="164" fontId="12" fillId="0" borderId="1" xfId="90" applyNumberFormat="1" applyFont="1" applyFill="1" applyBorder="1"/>
    <xf numFmtId="164" fontId="12" fillId="0" borderId="0" xfId="90" applyNumberFormat="1" applyFont="1" applyFill="1"/>
    <xf numFmtId="3" fontId="11" fillId="0" borderId="0" xfId="0" applyNumberFormat="1" applyFont="1"/>
    <xf numFmtId="10" fontId="0" fillId="0" borderId="0" xfId="3" applyNumberFormat="1" applyFont="1" applyFill="1"/>
    <xf numFmtId="166" fontId="12" fillId="0" borderId="0" xfId="1" applyNumberFormat="1" applyFont="1" applyFill="1" applyBorder="1"/>
    <xf numFmtId="166" fontId="12" fillId="0" borderId="9" xfId="1" applyNumberFormat="1" applyFont="1" applyFill="1" applyBorder="1"/>
    <xf numFmtId="166" fontId="12" fillId="0" borderId="0" xfId="0" applyNumberFormat="1" applyFont="1"/>
    <xf numFmtId="166" fontId="12" fillId="0" borderId="17" xfId="0" applyNumberFormat="1" applyFont="1" applyBorder="1"/>
    <xf numFmtId="164" fontId="0" fillId="0" borderId="2" xfId="0" applyNumberFormat="1" applyBorder="1"/>
    <xf numFmtId="166" fontId="12" fillId="0" borderId="0" xfId="24" applyNumberFormat="1" applyFont="1"/>
    <xf numFmtId="0" fontId="16" fillId="0" borderId="1" xfId="0" applyFont="1" applyBorder="1"/>
    <xf numFmtId="164" fontId="16" fillId="0" borderId="1" xfId="2" applyNumberFormat="1" applyFont="1" applyFill="1" applyBorder="1"/>
    <xf numFmtId="166" fontId="11" fillId="0" borderId="2" xfId="24" applyNumberFormat="1" applyBorder="1"/>
    <xf numFmtId="0" fontId="42" fillId="0" borderId="0" xfId="0" applyFont="1" applyAlignment="1">
      <alignment horizontal="center"/>
    </xf>
    <xf numFmtId="0" fontId="43" fillId="0" borderId="0" xfId="0" applyFont="1" applyAlignment="1">
      <alignment horizontal="right"/>
    </xf>
    <xf numFmtId="44" fontId="16" fillId="0" borderId="0" xfId="2" applyFont="1" applyFill="1"/>
    <xf numFmtId="181" fontId="34" fillId="0" borderId="0" xfId="2" applyNumberFormat="1" applyFont="1" applyFill="1"/>
    <xf numFmtId="173" fontId="34" fillId="0" borderId="0" xfId="2" applyNumberFormat="1" applyFont="1" applyFill="1"/>
    <xf numFmtId="0" fontId="0" fillId="0" borderId="0" xfId="0" applyAlignment="1">
      <alignment wrapText="1"/>
    </xf>
    <xf numFmtId="173" fontId="0" fillId="0" borderId="0" xfId="0" applyNumberFormat="1"/>
    <xf numFmtId="43" fontId="0" fillId="0" borderId="0" xfId="1" applyFont="1" applyFill="1"/>
    <xf numFmtId="164" fontId="0" fillId="0" borderId="14" xfId="2" applyNumberFormat="1" applyFont="1" applyFill="1" applyBorder="1"/>
    <xf numFmtId="164" fontId="0" fillId="0" borderId="0" xfId="2" applyNumberFormat="1" applyFont="1" applyBorder="1"/>
    <xf numFmtId="0" fontId="20" fillId="0" borderId="0" xfId="0" applyFont="1"/>
    <xf numFmtId="0" fontId="13" fillId="0" borderId="0" xfId="24" applyFont="1" applyAlignment="1">
      <alignment horizontal="center"/>
    </xf>
    <xf numFmtId="43" fontId="0" fillId="0" borderId="0" xfId="1" applyFont="1"/>
    <xf numFmtId="165" fontId="11" fillId="0" borderId="0" xfId="3" applyNumberFormat="1" applyFont="1" applyFill="1" applyBorder="1"/>
    <xf numFmtId="44" fontId="11" fillId="0" borderId="0" xfId="2" applyFont="1" applyFill="1" applyBorder="1"/>
    <xf numFmtId="182" fontId="11" fillId="0" borderId="0" xfId="3" applyNumberFormat="1" applyFont="1" applyFill="1"/>
    <xf numFmtId="44" fontId="11" fillId="0" borderId="1" xfId="2" applyFont="1" applyFill="1" applyBorder="1"/>
    <xf numFmtId="0" fontId="13" fillId="0" borderId="0" xfId="0" applyFont="1" applyAlignment="1">
      <alignment horizontal="left"/>
    </xf>
    <xf numFmtId="168" fontId="0" fillId="0" borderId="0" xfId="1" applyNumberFormat="1" applyFont="1" applyFill="1" applyAlignment="1">
      <alignment horizontal="right"/>
    </xf>
    <xf numFmtId="0" fontId="11" fillId="0" borderId="1" xfId="0" applyFont="1" applyBorder="1"/>
    <xf numFmtId="165" fontId="11" fillId="0" borderId="0" xfId="3" applyNumberFormat="1" applyFont="1" applyFill="1"/>
    <xf numFmtId="0" fontId="11" fillId="0" borderId="0" xfId="0" applyFont="1" applyAlignment="1">
      <alignment horizontal="left"/>
    </xf>
    <xf numFmtId="168" fontId="12" fillId="0" borderId="0" xfId="1" applyNumberFormat="1" applyFont="1" applyFill="1"/>
    <xf numFmtId="10" fontId="0" fillId="0" borderId="0" xfId="3" applyNumberFormat="1" applyFont="1" applyFill="1" applyBorder="1"/>
    <xf numFmtId="44" fontId="0" fillId="0" borderId="0" xfId="3" applyNumberFormat="1" applyFont="1" applyFill="1"/>
    <xf numFmtId="0" fontId="0" fillId="0" borderId="0" xfId="30" applyFont="1"/>
    <xf numFmtId="0" fontId="11" fillId="0" borderId="0" xfId="44" applyFont="1" applyAlignment="1">
      <alignment horizontal="right"/>
    </xf>
    <xf numFmtId="49" fontId="33" fillId="0" borderId="0" xfId="88" applyNumberFormat="1" applyFont="1" applyAlignment="1">
      <alignment horizontal="center"/>
    </xf>
    <xf numFmtId="0" fontId="19" fillId="0" borderId="1" xfId="44" applyFont="1" applyBorder="1"/>
    <xf numFmtId="0" fontId="17" fillId="0" borderId="0" xfId="44" applyFont="1"/>
    <xf numFmtId="0" fontId="11" fillId="0" borderId="0" xfId="44" quotePrefix="1" applyFont="1" applyAlignment="1">
      <alignment horizontal="left"/>
    </xf>
    <xf numFmtId="44" fontId="11" fillId="0" borderId="0" xfId="44" applyNumberFormat="1" applyFont="1"/>
    <xf numFmtId="0" fontId="11" fillId="0" borderId="1" xfId="44" quotePrefix="1" applyFont="1" applyBorder="1" applyAlignment="1">
      <alignment horizontal="left"/>
    </xf>
    <xf numFmtId="164" fontId="11" fillId="0" borderId="1" xfId="44" applyNumberFormat="1" applyFont="1" applyBorder="1"/>
    <xf numFmtId="0" fontId="17" fillId="0" borderId="0" xfId="44" applyFont="1" applyAlignment="1">
      <alignment horizontal="left"/>
    </xf>
    <xf numFmtId="0" fontId="11" fillId="0" borderId="0" xfId="44" quotePrefix="1" applyFont="1"/>
    <xf numFmtId="164" fontId="12" fillId="0" borderId="0" xfId="44" applyNumberFormat="1" applyFont="1"/>
    <xf numFmtId="0" fontId="18" fillId="0" borderId="0" xfId="44" applyFont="1"/>
    <xf numFmtId="3" fontId="11" fillId="0" borderId="0" xfId="44" applyNumberFormat="1" applyFont="1"/>
    <xf numFmtId="0" fontId="12" fillId="0" borderId="0" xfId="44" applyFont="1" applyAlignment="1">
      <alignment horizontal="left"/>
    </xf>
    <xf numFmtId="164" fontId="18" fillId="0" borderId="1" xfId="2" applyNumberFormat="1" applyFont="1" applyFill="1" applyBorder="1"/>
    <xf numFmtId="5" fontId="0" fillId="0" borderId="0" xfId="0" applyNumberFormat="1"/>
    <xf numFmtId="0" fontId="12" fillId="0" borderId="0" xfId="44" applyFont="1" applyAlignment="1">
      <alignment horizontal="center"/>
    </xf>
    <xf numFmtId="0" fontId="11" fillId="0" borderId="0" xfId="44" applyFont="1" applyAlignment="1">
      <alignment horizontal="right" vertical="center"/>
    </xf>
    <xf numFmtId="0" fontId="44" fillId="0" borderId="0" xfId="44" applyFont="1" applyAlignment="1">
      <alignment horizontal="right" vertical="center"/>
    </xf>
    <xf numFmtId="0" fontId="13" fillId="0" borderId="0" xfId="44" applyFont="1" applyAlignment="1">
      <alignment horizontal="right" vertical="center"/>
    </xf>
    <xf numFmtId="0" fontId="11" fillId="0" borderId="0" xfId="44" quotePrefix="1" applyFont="1" applyAlignment="1">
      <alignment horizontal="center"/>
    </xf>
    <xf numFmtId="42" fontId="11" fillId="0" borderId="0" xfId="2" applyNumberFormat="1" applyFont="1" applyFill="1"/>
    <xf numFmtId="164" fontId="45" fillId="0" borderId="0" xfId="44" applyNumberFormat="1" applyFont="1"/>
    <xf numFmtId="44" fontId="11" fillId="0" borderId="0" xfId="2" applyFont="1" applyFill="1"/>
    <xf numFmtId="5" fontId="11" fillId="0" borderId="0" xfId="2" applyNumberFormat="1" applyFont="1" applyFill="1"/>
    <xf numFmtId="0" fontId="45" fillId="0" borderId="0" xfId="44" applyFont="1"/>
    <xf numFmtId="5" fontId="11" fillId="0" borderId="1" xfId="2" applyNumberFormat="1" applyFont="1" applyFill="1" applyBorder="1"/>
    <xf numFmtId="3" fontId="11" fillId="0" borderId="0" xfId="44" applyNumberFormat="1" applyFont="1" applyAlignment="1">
      <alignment horizontal="left"/>
    </xf>
    <xf numFmtId="43" fontId="11" fillId="0" borderId="0" xfId="44" applyNumberFormat="1" applyFont="1"/>
    <xf numFmtId="0" fontId="11" fillId="0" borderId="1" xfId="44" applyFont="1" applyBorder="1" applyAlignment="1">
      <alignment horizontal="right"/>
    </xf>
    <xf numFmtId="0" fontId="19" fillId="0" borderId="0" xfId="44" applyFont="1" applyAlignment="1">
      <alignment horizontal="right"/>
    </xf>
    <xf numFmtId="164" fontId="21" fillId="0" borderId="0" xfId="2" applyNumberFormat="1" applyFont="1" applyFill="1"/>
    <xf numFmtId="164" fontId="21" fillId="0" borderId="0" xfId="44" applyNumberFormat="1" applyFont="1"/>
    <xf numFmtId="168" fontId="11" fillId="0" borderId="0" xfId="1" applyNumberFormat="1" applyFont="1" applyFill="1" applyAlignment="1">
      <alignment horizontal="right"/>
    </xf>
    <xf numFmtId="43" fontId="11" fillId="0" borderId="0" xfId="1" applyFont="1" applyFill="1" applyAlignment="1" applyProtection="1">
      <alignment horizontal="center"/>
    </xf>
    <xf numFmtId="166" fontId="11" fillId="0" borderId="0" xfId="44" applyNumberFormat="1" applyFont="1"/>
    <xf numFmtId="164" fontId="11" fillId="0" borderId="0" xfId="2" quotePrefix="1" applyNumberFormat="1" applyFont="1" applyFill="1"/>
    <xf numFmtId="168" fontId="11" fillId="0" borderId="0" xfId="1" quotePrefix="1" applyNumberFormat="1" applyFont="1" applyFill="1"/>
    <xf numFmtId="165" fontId="11" fillId="0" borderId="0" xfId="3" quotePrefix="1" applyNumberFormat="1" applyFont="1" applyFill="1"/>
    <xf numFmtId="171" fontId="11" fillId="0" borderId="0" xfId="1" applyNumberFormat="1" applyFont="1"/>
    <xf numFmtId="169" fontId="12" fillId="0" borderId="0" xfId="1" applyNumberFormat="1" applyFont="1"/>
    <xf numFmtId="168" fontId="11" fillId="0" borderId="0" xfId="44" applyNumberFormat="1" applyFont="1"/>
    <xf numFmtId="169" fontId="12" fillId="0" borderId="0" xfId="1" applyNumberFormat="1" applyFont="1" applyFill="1"/>
    <xf numFmtId="0" fontId="11" fillId="0" borderId="1" xfId="44" applyFont="1" applyBorder="1" applyAlignment="1" applyProtection="1">
      <alignment horizontal="right" wrapText="1"/>
      <protection locked="0"/>
    </xf>
    <xf numFmtId="164" fontId="45" fillId="0" borderId="0" xfId="2" applyNumberFormat="1" applyFont="1" applyFill="1" applyBorder="1"/>
    <xf numFmtId="172" fontId="16" fillId="0" borderId="0" xfId="3" applyNumberFormat="1" applyFont="1" applyFill="1"/>
    <xf numFmtId="0" fontId="16" fillId="0" borderId="0" xfId="0" applyFont="1" applyAlignment="1">
      <alignment horizontal="left"/>
    </xf>
    <xf numFmtId="0" fontId="11" fillId="0" borderId="1" xfId="0" applyFont="1" applyBorder="1" applyAlignment="1">
      <alignment horizontal="left"/>
    </xf>
    <xf numFmtId="172" fontId="16" fillId="0" borderId="0" xfId="0" applyNumberFormat="1" applyFont="1"/>
    <xf numFmtId="164" fontId="0" fillId="0" borderId="0" xfId="3" applyNumberFormat="1" applyFont="1" applyFill="1"/>
    <xf numFmtId="0" fontId="36" fillId="0" borderId="0" xfId="0" applyFont="1"/>
    <xf numFmtId="171" fontId="0" fillId="0" borderId="0" xfId="0" applyNumberFormat="1"/>
    <xf numFmtId="0" fontId="12" fillId="0" borderId="0" xfId="24" applyFont="1"/>
    <xf numFmtId="0" fontId="11" fillId="0" borderId="0" xfId="24" quotePrefix="1" applyAlignment="1">
      <alignment horizontal="center"/>
    </xf>
    <xf numFmtId="0" fontId="12" fillId="0" borderId="0" xfId="24" applyFont="1" applyAlignment="1">
      <alignment horizontal="center"/>
    </xf>
    <xf numFmtId="49" fontId="12" fillId="0" borderId="0" xfId="24" applyNumberFormat="1" applyFont="1" applyAlignment="1">
      <alignment horizontal="center"/>
    </xf>
    <xf numFmtId="49" fontId="12" fillId="0" borderId="1" xfId="24" applyNumberFormat="1" applyFont="1" applyBorder="1" applyAlignment="1">
      <alignment horizontal="left"/>
    </xf>
    <xf numFmtId="49" fontId="12" fillId="0" borderId="1" xfId="24" applyNumberFormat="1" applyFont="1" applyBorder="1" applyAlignment="1">
      <alignment horizontal="center"/>
    </xf>
    <xf numFmtId="0" fontId="12" fillId="0" borderId="1" xfId="24" applyFont="1" applyBorder="1" applyAlignment="1">
      <alignment horizontal="center"/>
    </xf>
    <xf numFmtId="166" fontId="11" fillId="0" borderId="0" xfId="1" applyNumberFormat="1" applyFill="1" applyAlignment="1">
      <alignment horizontal="center"/>
    </xf>
    <xf numFmtId="0" fontId="11" fillId="0" borderId="0" xfId="57" applyFont="1" applyAlignment="1">
      <alignment wrapText="1"/>
    </xf>
    <xf numFmtId="0" fontId="11" fillId="0" borderId="0" xfId="57" applyFont="1"/>
    <xf numFmtId="3" fontId="11" fillId="0" borderId="0" xfId="24" applyNumberFormat="1"/>
    <xf numFmtId="41" fontId="11" fillId="0" borderId="0" xfId="24" applyNumberFormat="1"/>
    <xf numFmtId="166" fontId="12" fillId="0" borderId="0" xfId="1" applyNumberFormat="1" applyFont="1" applyFill="1" applyBorder="1" applyAlignment="1">
      <alignment horizontal="center" wrapText="1"/>
    </xf>
    <xf numFmtId="41" fontId="12" fillId="0" borderId="0" xfId="24" applyNumberFormat="1" applyFont="1"/>
    <xf numFmtId="166" fontId="11" fillId="0" borderId="0" xfId="1" applyNumberFormat="1" applyFont="1" applyFill="1" applyBorder="1" applyAlignment="1">
      <alignment horizontal="right" wrapText="1"/>
    </xf>
    <xf numFmtId="166" fontId="11" fillId="0" borderId="0" xfId="1" applyNumberFormat="1" applyFont="1" applyFill="1" applyAlignment="1">
      <alignment horizontal="center"/>
    </xf>
    <xf numFmtId="0" fontId="12" fillId="0" borderId="0" xfId="89" applyFont="1"/>
    <xf numFmtId="0" fontId="16" fillId="0" borderId="0" xfId="89" applyFont="1"/>
    <xf numFmtId="0" fontId="12" fillId="0" borderId="0" xfId="89" applyFont="1" applyAlignment="1">
      <alignment horizontal="center"/>
    </xf>
    <xf numFmtId="49" fontId="12" fillId="0" borderId="1" xfId="89" applyNumberFormat="1" applyFont="1" applyBorder="1" applyAlignment="1">
      <alignment horizontal="center"/>
    </xf>
    <xf numFmtId="49" fontId="12" fillId="0" borderId="1" xfId="89" applyNumberFormat="1" applyFont="1" applyBorder="1" applyAlignment="1">
      <alignment horizontal="left"/>
    </xf>
    <xf numFmtId="0" fontId="12" fillId="0" borderId="1" xfId="89" applyFont="1" applyBorder="1" applyAlignment="1">
      <alignment horizontal="center"/>
    </xf>
    <xf numFmtId="39" fontId="12" fillId="0" borderId="0" xfId="89" applyNumberFormat="1" applyFont="1"/>
    <xf numFmtId="0" fontId="12" fillId="0" borderId="0" xfId="84" applyFont="1" applyAlignment="1">
      <alignment horizontal="center" wrapText="1"/>
    </xf>
    <xf numFmtId="0" fontId="11" fillId="0" borderId="0" xfId="89"/>
    <xf numFmtId="0" fontId="11" fillId="0" borderId="0" xfId="89" applyAlignment="1">
      <alignment horizontal="center"/>
    </xf>
    <xf numFmtId="0" fontId="11" fillId="0" borderId="0" xfId="89" applyAlignment="1">
      <alignment horizontal="left"/>
    </xf>
    <xf numFmtId="166" fontId="11" fillId="0" borderId="0" xfId="89" applyNumberFormat="1"/>
    <xf numFmtId="39" fontId="11" fillId="0" borderId="0" xfId="89" applyNumberFormat="1"/>
    <xf numFmtId="166" fontId="12" fillId="0" borderId="0" xfId="1" applyNumberFormat="1" applyFont="1" applyFill="1" applyBorder="1" applyAlignment="1">
      <alignment horizontal="right" wrapText="1"/>
    </xf>
    <xf numFmtId="0" fontId="11" fillId="0" borderId="0" xfId="84" applyFont="1" applyAlignment="1">
      <alignment wrapText="1"/>
    </xf>
    <xf numFmtId="0" fontId="12" fillId="0" borderId="0" xfId="84" applyFont="1" applyAlignment="1">
      <alignment wrapText="1"/>
    </xf>
    <xf numFmtId="164" fontId="11" fillId="0" borderId="7" xfId="2" applyNumberFormat="1" applyFont="1" applyFill="1" applyBorder="1" applyAlignment="1">
      <alignment horizontal="right" wrapText="1"/>
    </xf>
    <xf numFmtId="0" fontId="11" fillId="0" borderId="1" xfId="89" applyBorder="1" applyAlignment="1">
      <alignment horizontal="right"/>
    </xf>
    <xf numFmtId="166" fontId="11" fillId="0" borderId="1" xfId="1" applyNumberFormat="1" applyFont="1" applyFill="1" applyBorder="1"/>
    <xf numFmtId="164" fontId="11" fillId="0" borderId="0" xfId="89" applyNumberFormat="1"/>
    <xf numFmtId="166" fontId="11" fillId="0" borderId="2" xfId="89" applyNumberFormat="1" applyBorder="1"/>
    <xf numFmtId="164" fontId="11" fillId="0" borderId="2" xfId="89" applyNumberFormat="1" applyBorder="1"/>
    <xf numFmtId="0" fontId="11" fillId="0" borderId="0" xfId="84" applyFont="1" applyAlignment="1">
      <alignment horizontal="center" wrapText="1"/>
    </xf>
    <xf numFmtId="0" fontId="11" fillId="0" borderId="0" xfId="84" applyFont="1" applyAlignment="1">
      <alignment horizontal="right" wrapText="1"/>
    </xf>
    <xf numFmtId="0" fontId="16" fillId="0" borderId="0" xfId="24" applyFont="1" applyAlignment="1">
      <alignment horizontal="left"/>
    </xf>
    <xf numFmtId="0" fontId="0" fillId="0" borderId="1" xfId="24" applyFont="1" applyBorder="1" applyAlignment="1">
      <alignment horizontal="left"/>
    </xf>
    <xf numFmtId="10" fontId="11" fillId="0" borderId="0" xfId="3" applyNumberFormat="1" applyFill="1"/>
    <xf numFmtId="166" fontId="11" fillId="0" borderId="0" xfId="24" applyNumberFormat="1" applyAlignment="1">
      <alignment horizontal="center"/>
    </xf>
    <xf numFmtId="166" fontId="0" fillId="0" borderId="0" xfId="24" applyNumberFormat="1" applyFont="1"/>
    <xf numFmtId="0" fontId="0" fillId="0" borderId="0" xfId="57" applyFont="1" applyAlignment="1">
      <alignment horizontal="left" wrapText="1"/>
    </xf>
    <xf numFmtId="0" fontId="0" fillId="0" borderId="0" xfId="57" applyFont="1" applyAlignment="1">
      <alignment horizontal="center" wrapText="1"/>
    </xf>
    <xf numFmtId="166" fontId="0" fillId="0" borderId="0" xfId="1" applyNumberFormat="1" applyFont="1" applyFill="1" applyBorder="1" applyAlignment="1">
      <alignment horizontal="right" wrapText="1"/>
    </xf>
    <xf numFmtId="166" fontId="0" fillId="0" borderId="2" xfId="1" applyNumberFormat="1" applyFont="1" applyFill="1" applyBorder="1" applyAlignment="1">
      <alignment horizontal="right" wrapText="1"/>
    </xf>
    <xf numFmtId="0" fontId="0" fillId="0" borderId="0" xfId="79" applyFont="1"/>
    <xf numFmtId="0" fontId="11" fillId="0" borderId="0" xfId="52" applyFont="1" applyAlignment="1">
      <alignment horizontal="right"/>
    </xf>
    <xf numFmtId="166" fontId="11" fillId="0" borderId="0" xfId="52" applyNumberFormat="1" applyFont="1"/>
    <xf numFmtId="183" fontId="11" fillId="0" borderId="0" xfId="52" applyNumberFormat="1" applyFont="1"/>
    <xf numFmtId="0" fontId="46" fillId="0" borderId="0" xfId="52" applyFont="1"/>
    <xf numFmtId="0" fontId="11" fillId="0" borderId="0" xfId="52" applyFont="1"/>
    <xf numFmtId="0" fontId="40" fillId="0" borderId="0" xfId="79" applyFont="1" applyAlignment="1">
      <alignment horizontal="center"/>
    </xf>
    <xf numFmtId="0" fontId="11" fillId="0" borderId="1" xfId="57" applyFont="1" applyBorder="1" applyAlignment="1">
      <alignment horizontal="center" wrapText="1"/>
    </xf>
    <xf numFmtId="166" fontId="12" fillId="0" borderId="12" xfId="0" applyNumberFormat="1" applyFont="1" applyBorder="1"/>
    <xf numFmtId="1" fontId="12" fillId="0" borderId="12" xfId="0" quotePrefix="1" applyNumberFormat="1" applyFont="1" applyBorder="1" applyAlignment="1">
      <alignment horizontal="right"/>
    </xf>
    <xf numFmtId="0" fontId="11" fillId="0" borderId="6" xfId="24" applyBorder="1"/>
    <xf numFmtId="0" fontId="11" fillId="0" borderId="7" xfId="0" applyFont="1" applyBorder="1" applyAlignment="1">
      <alignment horizontal="right"/>
    </xf>
    <xf numFmtId="0" fontId="11" fillId="0" borderId="8" xfId="0" applyFont="1" applyBorder="1" applyAlignment="1">
      <alignment horizontal="right"/>
    </xf>
    <xf numFmtId="0" fontId="11" fillId="0" borderId="1" xfId="24" applyBorder="1" applyAlignment="1">
      <alignment horizontal="right"/>
    </xf>
    <xf numFmtId="0" fontId="11" fillId="0" borderId="9" xfId="24" applyBorder="1" applyAlignment="1">
      <alignment horizontal="right"/>
    </xf>
    <xf numFmtId="0" fontId="11" fillId="0" borderId="10" xfId="24" applyBorder="1" applyAlignment="1">
      <alignment horizontal="right"/>
    </xf>
    <xf numFmtId="166" fontId="11" fillId="0" borderId="11" xfId="1" applyNumberFormat="1" applyFont="1" applyFill="1" applyBorder="1"/>
    <xf numFmtId="166" fontId="11" fillId="0" borderId="0" xfId="1" applyNumberFormat="1" applyFont="1" applyFill="1" applyBorder="1" applyAlignment="1">
      <alignment horizontal="right"/>
    </xf>
    <xf numFmtId="166" fontId="11" fillId="0" borderId="12" xfId="1" applyNumberFormat="1" applyFont="1" applyFill="1" applyBorder="1" applyAlignment="1">
      <alignment horizontal="right"/>
    </xf>
    <xf numFmtId="166" fontId="11" fillId="0" borderId="9" xfId="1" applyNumberFormat="1" applyFont="1" applyFill="1" applyBorder="1"/>
    <xf numFmtId="166" fontId="11" fillId="0" borderId="1" xfId="1" applyNumberFormat="1" applyFont="1" applyFill="1" applyBorder="1" applyAlignment="1">
      <alignment horizontal="right"/>
    </xf>
    <xf numFmtId="166" fontId="11" fillId="0" borderId="10" xfId="1" applyNumberFormat="1" applyFont="1" applyFill="1" applyBorder="1" applyAlignment="1">
      <alignment horizontal="right"/>
    </xf>
    <xf numFmtId="166" fontId="11" fillId="0" borderId="1" xfId="0" applyNumberFormat="1" applyFont="1" applyBorder="1"/>
    <xf numFmtId="166" fontId="11" fillId="0" borderId="10" xfId="0" applyNumberFormat="1" applyFont="1" applyBorder="1"/>
    <xf numFmtId="0" fontId="11" fillId="0" borderId="3" xfId="24" applyBorder="1" applyAlignment="1">
      <alignment horizontal="right"/>
    </xf>
    <xf numFmtId="166" fontId="11" fillId="0" borderId="13" xfId="1" applyNumberFormat="1" applyFont="1" applyFill="1" applyBorder="1"/>
    <xf numFmtId="43" fontId="11" fillId="0" borderId="0" xfId="0" applyNumberFormat="1" applyFont="1"/>
    <xf numFmtId="175" fontId="11" fillId="0" borderId="0" xfId="1" applyNumberFormat="1" applyFont="1" applyFill="1" applyBorder="1"/>
    <xf numFmtId="43" fontId="11" fillId="0" borderId="0" xfId="1" applyFont="1" applyFill="1" applyBorder="1"/>
    <xf numFmtId="166" fontId="11" fillId="0" borderId="0" xfId="24" applyNumberFormat="1" applyAlignment="1">
      <alignment horizontal="right"/>
    </xf>
    <xf numFmtId="175" fontId="11" fillId="0" borderId="0" xfId="0" applyNumberFormat="1" applyFont="1"/>
    <xf numFmtId="175" fontId="11" fillId="0" borderId="1" xfId="1" applyNumberFormat="1" applyFont="1" applyFill="1" applyBorder="1"/>
    <xf numFmtId="43" fontId="11" fillId="0" borderId="1" xfId="1" applyFont="1" applyFill="1" applyBorder="1"/>
    <xf numFmtId="43" fontId="11" fillId="0" borderId="1" xfId="0" applyNumberFormat="1" applyFont="1" applyBorder="1"/>
    <xf numFmtId="166" fontId="11" fillId="0" borderId="1" xfId="24" applyNumberFormat="1" applyBorder="1"/>
    <xf numFmtId="166" fontId="11" fillId="0" borderId="5" xfId="1" applyNumberFormat="1" applyFont="1" applyFill="1" applyBorder="1"/>
    <xf numFmtId="166" fontId="11" fillId="0" borderId="5" xfId="24" applyNumberFormat="1" applyBorder="1"/>
    <xf numFmtId="166" fontId="11" fillId="0" borderId="0" xfId="0" applyNumberFormat="1" applyFont="1"/>
    <xf numFmtId="0" fontId="11" fillId="0" borderId="12" xfId="0" quotePrefix="1" applyFont="1" applyBorder="1" applyAlignment="1">
      <alignment horizontal="right"/>
    </xf>
    <xf numFmtId="0" fontId="11" fillId="0" borderId="10" xfId="0" quotePrefix="1" applyFont="1" applyBorder="1" applyAlignment="1">
      <alignment horizontal="right"/>
    </xf>
    <xf numFmtId="166" fontId="11" fillId="0" borderId="9" xfId="24" applyNumberFormat="1" applyBorder="1"/>
    <xf numFmtId="166" fontId="11" fillId="0" borderId="10" xfId="24" applyNumberFormat="1" applyBorder="1"/>
    <xf numFmtId="166" fontId="11" fillId="0" borderId="16" xfId="24" applyNumberFormat="1" applyBorder="1"/>
    <xf numFmtId="166" fontId="11" fillId="0" borderId="14" xfId="24" applyNumberFormat="1" applyBorder="1"/>
    <xf numFmtId="166" fontId="0" fillId="0" borderId="0" xfId="0" quotePrefix="1" applyNumberFormat="1" applyAlignment="1">
      <alignment horizontal="right"/>
    </xf>
    <xf numFmtId="164" fontId="16" fillId="0" borderId="0" xfId="2" applyNumberFormat="1" applyFont="1" applyBorder="1"/>
    <xf numFmtId="164" fontId="16" fillId="0" borderId="0" xfId="0" applyNumberFormat="1" applyFont="1"/>
    <xf numFmtId="0" fontId="12" fillId="0" borderId="0" xfId="0" applyFont="1" applyAlignment="1">
      <alignment vertical="center"/>
    </xf>
    <xf numFmtId="0" fontId="22" fillId="0" borderId="1" xfId="0" applyFont="1" applyBorder="1"/>
    <xf numFmtId="44" fontId="12" fillId="0" borderId="4" xfId="2" applyFont="1" applyFill="1" applyBorder="1"/>
    <xf numFmtId="44" fontId="12" fillId="0" borderId="13" xfId="2" applyFont="1" applyFill="1" applyBorder="1"/>
    <xf numFmtId="44" fontId="12" fillId="0" borderId="5" xfId="2" applyFont="1" applyFill="1" applyBorder="1"/>
    <xf numFmtId="44" fontId="12" fillId="0" borderId="0" xfId="2" applyFont="1" applyFill="1" applyBorder="1"/>
    <xf numFmtId="44" fontId="12" fillId="0" borderId="0" xfId="2" applyFont="1" applyFill="1"/>
    <xf numFmtId="43" fontId="12" fillId="0" borderId="0" xfId="1" applyFont="1" applyFill="1"/>
    <xf numFmtId="44" fontId="12" fillId="0" borderId="1" xfId="2" applyFont="1" applyFill="1" applyBorder="1"/>
    <xf numFmtId="173" fontId="11" fillId="0" borderId="13" xfId="2" applyNumberFormat="1" applyFont="1" applyFill="1" applyBorder="1"/>
    <xf numFmtId="173" fontId="11" fillId="0" borderId="5" xfId="2" applyNumberFormat="1" applyFont="1" applyFill="1" applyBorder="1"/>
    <xf numFmtId="173" fontId="11" fillId="0" borderId="3" xfId="2" applyNumberFormat="1" applyFont="1" applyFill="1" applyBorder="1"/>
    <xf numFmtId="173" fontId="11" fillId="0" borderId="3" xfId="2" applyNumberFormat="1" applyFont="1" applyBorder="1"/>
    <xf numFmtId="44" fontId="11" fillId="0" borderId="4" xfId="2" applyFont="1" applyFill="1" applyBorder="1"/>
    <xf numFmtId="44" fontId="11" fillId="0" borderId="13" xfId="2" applyFont="1" applyFill="1" applyBorder="1"/>
    <xf numFmtId="44" fontId="11" fillId="0" borderId="5" xfId="2" applyFont="1" applyFill="1" applyBorder="1"/>
    <xf numFmtId="0" fontId="13" fillId="0" borderId="0" xfId="24" applyFont="1" applyAlignment="1">
      <alignment horizontal="left"/>
    </xf>
    <xf numFmtId="0" fontId="47" fillId="0" borderId="0" xfId="52" applyFont="1"/>
    <xf numFmtId="0" fontId="11" fillId="0" borderId="0" xfId="0" applyFont="1" applyAlignment="1">
      <alignment horizontal="center"/>
    </xf>
    <xf numFmtId="0" fontId="11" fillId="0" borderId="1" xfId="0" applyFont="1" applyBorder="1" applyAlignment="1">
      <alignment horizontal="center"/>
    </xf>
    <xf numFmtId="0" fontId="11" fillId="0" borderId="0" xfId="79" applyFont="1" applyAlignment="1">
      <alignment horizontal="center"/>
    </xf>
    <xf numFmtId="164" fontId="12" fillId="0" borderId="0" xfId="76" applyNumberFormat="1" applyFont="1" applyFill="1"/>
    <xf numFmtId="1" fontId="11" fillId="0" borderId="0" xfId="0" applyNumberFormat="1" applyFont="1"/>
    <xf numFmtId="174" fontId="11" fillId="0" borderId="0" xfId="0" applyNumberFormat="1" applyFont="1"/>
    <xf numFmtId="166" fontId="11" fillId="0" borderId="2" xfId="1" applyNumberFormat="1" applyFont="1" applyBorder="1"/>
    <xf numFmtId="0" fontId="11" fillId="0" borderId="2" xfId="0" applyFont="1" applyBorder="1" applyAlignment="1">
      <alignment horizontal="left"/>
    </xf>
    <xf numFmtId="1" fontId="11" fillId="0" borderId="2" xfId="0" applyNumberFormat="1" applyFont="1" applyBorder="1" applyAlignment="1">
      <alignment horizontal="right"/>
    </xf>
    <xf numFmtId="164" fontId="11" fillId="0" borderId="2" xfId="2" applyNumberFormat="1" applyFont="1" applyBorder="1"/>
    <xf numFmtId="44" fontId="11" fillId="0" borderId="2" xfId="2" applyFont="1" applyBorder="1"/>
    <xf numFmtId="0" fontId="11" fillId="0" borderId="2" xfId="0" applyFont="1" applyBorder="1"/>
    <xf numFmtId="164" fontId="11" fillId="0" borderId="2" xfId="0" applyNumberFormat="1" applyFont="1" applyBorder="1"/>
    <xf numFmtId="1" fontId="11" fillId="0" borderId="0" xfId="0" applyNumberFormat="1" applyFont="1" applyAlignment="1">
      <alignment horizontal="center"/>
    </xf>
    <xf numFmtId="1" fontId="11" fillId="0" borderId="1" xfId="0" applyNumberFormat="1" applyFont="1" applyBorder="1" applyAlignment="1">
      <alignment horizontal="right"/>
    </xf>
    <xf numFmtId="166" fontId="11" fillId="0" borderId="6" xfId="1" applyNumberFormat="1" applyFont="1" applyBorder="1"/>
    <xf numFmtId="166" fontId="11" fillId="0" borderId="7" xfId="1" applyNumberFormat="1" applyFont="1" applyBorder="1"/>
    <xf numFmtId="166" fontId="11" fillId="0" borderId="8" xfId="1" applyNumberFormat="1" applyFont="1" applyBorder="1"/>
    <xf numFmtId="166" fontId="11" fillId="0" borderId="11" xfId="1" applyNumberFormat="1" applyFont="1" applyBorder="1"/>
    <xf numFmtId="166" fontId="11" fillId="0" borderId="0" xfId="1" applyNumberFormat="1" applyFont="1" applyBorder="1"/>
    <xf numFmtId="166" fontId="11" fillId="0" borderId="12" xfId="1" applyNumberFormat="1" applyFont="1" applyBorder="1"/>
    <xf numFmtId="1" fontId="11" fillId="0" borderId="1" xfId="0" applyNumberFormat="1" applyFont="1" applyBorder="1"/>
    <xf numFmtId="166" fontId="11" fillId="0" borderId="1" xfId="1" applyNumberFormat="1" applyFont="1" applyBorder="1"/>
    <xf numFmtId="166" fontId="11" fillId="0" borderId="9" xfId="1" applyNumberFormat="1" applyFont="1" applyBorder="1"/>
    <xf numFmtId="166" fontId="11" fillId="0" borderId="10" xfId="1" applyNumberFormat="1" applyFont="1" applyBorder="1"/>
    <xf numFmtId="1" fontId="11" fillId="0" borderId="0" xfId="0" applyNumberFormat="1" applyFont="1" applyAlignment="1">
      <alignment horizontal="right"/>
    </xf>
    <xf numFmtId="2" fontId="11" fillId="0" borderId="0" xfId="0" applyNumberFormat="1" applyFont="1"/>
    <xf numFmtId="166" fontId="11" fillId="0" borderId="2" xfId="0" applyNumberFormat="1" applyFont="1" applyBorder="1"/>
    <xf numFmtId="0" fontId="11" fillId="0" borderId="11" xfId="0" applyFont="1" applyBorder="1"/>
    <xf numFmtId="174" fontId="11" fillId="0" borderId="1" xfId="0" applyNumberFormat="1" applyFont="1" applyBorder="1"/>
    <xf numFmtId="164" fontId="11" fillId="0" borderId="9" xfId="2" applyNumberFormat="1" applyFont="1" applyFill="1" applyBorder="1"/>
    <xf numFmtId="0" fontId="30" fillId="0" borderId="0" xfId="69" applyFont="1"/>
    <xf numFmtId="0" fontId="11" fillId="0" borderId="0" xfId="69"/>
    <xf numFmtId="0" fontId="31" fillId="0" borderId="0" xfId="85"/>
    <xf numFmtId="0" fontId="11" fillId="0" borderId="1" xfId="69" applyBorder="1" applyAlignment="1">
      <alignment horizontal="center"/>
    </xf>
    <xf numFmtId="0" fontId="11" fillId="0" borderId="0" xfId="69" applyAlignment="1">
      <alignment horizontal="center"/>
    </xf>
    <xf numFmtId="0" fontId="11" fillId="0" borderId="0" xfId="69" quotePrefix="1" applyAlignment="1">
      <alignment horizontal="center"/>
    </xf>
    <xf numFmtId="0" fontId="12" fillId="0" borderId="0" xfId="69" applyFont="1" applyAlignment="1">
      <alignment horizontal="left"/>
    </xf>
    <xf numFmtId="0" fontId="12" fillId="0" borderId="0" xfId="69" applyFont="1" applyAlignment="1">
      <alignment horizontal="center"/>
    </xf>
    <xf numFmtId="44" fontId="11" fillId="0" borderId="3" xfId="2" applyFont="1" applyFill="1" applyBorder="1"/>
    <xf numFmtId="165" fontId="11" fillId="0" borderId="3" xfId="3" applyNumberFormat="1" applyFont="1" applyFill="1" applyBorder="1"/>
    <xf numFmtId="44" fontId="12" fillId="0" borderId="3" xfId="2" applyFont="1" applyFill="1" applyBorder="1"/>
    <xf numFmtId="177" fontId="11" fillId="0" borderId="0" xfId="69" applyNumberFormat="1"/>
    <xf numFmtId="173" fontId="12" fillId="0" borderId="3" xfId="2" applyNumberFormat="1" applyFont="1" applyFill="1" applyBorder="1"/>
    <xf numFmtId="0" fontId="11" fillId="0" borderId="0" xfId="69" applyAlignment="1">
      <alignment horizontal="left" indent="2"/>
    </xf>
    <xf numFmtId="177" fontId="12" fillId="0" borderId="7" xfId="69" applyNumberFormat="1" applyFont="1" applyBorder="1"/>
    <xf numFmtId="177" fontId="12" fillId="0" borderId="0" xfId="69" applyNumberFormat="1" applyFont="1"/>
    <xf numFmtId="0" fontId="11" fillId="0" borderId="0" xfId="69" applyAlignment="1">
      <alignment horizontal="left"/>
    </xf>
    <xf numFmtId="177" fontId="12" fillId="0" borderId="15" xfId="69" applyNumberFormat="1" applyFont="1" applyBorder="1"/>
    <xf numFmtId="166" fontId="11" fillId="0" borderId="0" xfId="69" applyNumberFormat="1"/>
    <xf numFmtId="182" fontId="11" fillId="0" borderId="0" xfId="3" applyNumberFormat="1" applyFont="1" applyFill="1" applyBorder="1"/>
    <xf numFmtId="44" fontId="11" fillId="0" borderId="0" xfId="0" applyNumberFormat="1" applyFont="1"/>
    <xf numFmtId="10" fontId="11" fillId="0" borderId="15" xfId="3" applyNumberFormat="1" applyFont="1" applyFill="1" applyBorder="1" applyAlignment="1">
      <alignment horizontal="center"/>
    </xf>
    <xf numFmtId="0" fontId="45" fillId="0" borderId="0" xfId="69" applyFont="1" applyAlignment="1">
      <alignment horizontal="left"/>
    </xf>
    <xf numFmtId="10" fontId="11" fillId="0" borderId="0" xfId="0" applyNumberFormat="1" applyFont="1"/>
    <xf numFmtId="44" fontId="12" fillId="0" borderId="3" xfId="69" applyNumberFormat="1" applyFont="1" applyBorder="1"/>
    <xf numFmtId="44" fontId="11" fillId="0" borderId="0" xfId="69" applyNumberFormat="1"/>
    <xf numFmtId="172" fontId="11" fillId="0" borderId="0" xfId="3" applyNumberFormat="1" applyFont="1" applyFill="1"/>
    <xf numFmtId="173" fontId="11" fillId="0" borderId="3" xfId="69" applyNumberFormat="1" applyBorder="1"/>
    <xf numFmtId="173" fontId="12" fillId="0" borderId="3" xfId="69" applyNumberFormat="1" applyFont="1" applyBorder="1"/>
    <xf numFmtId="177" fontId="11" fillId="0" borderId="0" xfId="0" applyNumberFormat="1" applyFont="1"/>
    <xf numFmtId="44" fontId="11" fillId="0" borderId="14" xfId="69" applyNumberFormat="1" applyBorder="1"/>
    <xf numFmtId="44" fontId="31" fillId="0" borderId="0" xfId="85" applyNumberFormat="1"/>
    <xf numFmtId="172" fontId="12" fillId="0" borderId="0" xfId="3" applyNumberFormat="1" applyFont="1" applyFill="1" applyAlignment="1">
      <alignment horizontal="center"/>
    </xf>
    <xf numFmtId="0" fontId="12" fillId="0" borderId="1" xfId="69" applyFont="1" applyBorder="1"/>
    <xf numFmtId="43" fontId="11" fillId="0" borderId="0" xfId="1" applyFont="1" applyFill="1"/>
    <xf numFmtId="44" fontId="11" fillId="0" borderId="0" xfId="2" applyFont="1" applyFill="1" applyAlignment="1">
      <alignment horizontal="center"/>
    </xf>
    <xf numFmtId="178" fontId="12" fillId="0" borderId="0" xfId="69" applyNumberFormat="1" applyFont="1"/>
    <xf numFmtId="44" fontId="12" fillId="0" borderId="2" xfId="2" applyFont="1" applyFill="1" applyBorder="1"/>
    <xf numFmtId="0" fontId="11" fillId="0" borderId="0" xfId="72" applyFont="1"/>
    <xf numFmtId="0" fontId="1" fillId="0" borderId="0" xfId="24" applyFont="1"/>
    <xf numFmtId="0" fontId="12" fillId="0" borderId="1" xfId="24" applyFont="1" applyBorder="1" applyAlignment="1">
      <alignment horizontal="center" wrapText="1"/>
    </xf>
    <xf numFmtId="166" fontId="11" fillId="0" borderId="0" xfId="1" applyNumberFormat="1" applyFill="1"/>
    <xf numFmtId="173" fontId="11" fillId="0" borderId="0" xfId="2" applyNumberFormat="1" applyFill="1"/>
    <xf numFmtId="164" fontId="11" fillId="0" borderId="1" xfId="2" applyNumberFormat="1" applyFill="1" applyBorder="1"/>
    <xf numFmtId="166" fontId="11" fillId="0" borderId="1" xfId="1" applyNumberFormat="1" applyFill="1" applyBorder="1"/>
    <xf numFmtId="173" fontId="11" fillId="0" borderId="1" xfId="2" applyNumberFormat="1" applyFill="1" applyBorder="1"/>
    <xf numFmtId="164" fontId="11" fillId="0" borderId="0" xfId="24" applyNumberFormat="1"/>
    <xf numFmtId="166" fontId="11" fillId="0" borderId="0" xfId="1" applyNumberFormat="1" applyFill="1" applyBorder="1"/>
    <xf numFmtId="164" fontId="11" fillId="0" borderId="14" xfId="24" applyNumberFormat="1" applyBorder="1"/>
    <xf numFmtId="0" fontId="11" fillId="0" borderId="0" xfId="44" applyFont="1" applyAlignment="1">
      <alignment horizontal="center" wrapText="1"/>
    </xf>
    <xf numFmtId="0" fontId="11" fillId="0" borderId="1" xfId="44" applyFont="1" applyBorder="1" applyAlignment="1">
      <alignment horizontal="center" wrapText="1"/>
    </xf>
    <xf numFmtId="0" fontId="11" fillId="0" borderId="1" xfId="44" applyFont="1" applyBorder="1" applyAlignment="1">
      <alignment horizontal="left" vertical="center" wrapText="1"/>
    </xf>
    <xf numFmtId="0" fontId="11" fillId="0" borderId="0" xfId="44" applyFont="1" applyAlignment="1">
      <alignment horizontal="center" vertical="center" wrapText="1"/>
    </xf>
    <xf numFmtId="49" fontId="12" fillId="0" borderId="0" xfId="24" applyNumberFormat="1" applyFont="1" applyAlignment="1">
      <alignment horizontal="center" wrapText="1"/>
    </xf>
    <xf numFmtId="49" fontId="12" fillId="0" borderId="1" xfId="24" applyNumberFormat="1" applyFont="1" applyBorder="1" applyAlignment="1">
      <alignment horizontal="center" wrapText="1"/>
    </xf>
    <xf numFmtId="0" fontId="12" fillId="0" borderId="1" xfId="24" applyFont="1" applyBorder="1" applyAlignment="1">
      <alignment horizontal="center"/>
    </xf>
    <xf numFmtId="0" fontId="11" fillId="0" borderId="0" xfId="24" applyAlignment="1">
      <alignment horizontal="center" wrapText="1"/>
    </xf>
    <xf numFmtId="0" fontId="11" fillId="0" borderId="1" xfId="24" applyBorder="1" applyAlignment="1">
      <alignment horizontal="center" wrapText="1"/>
    </xf>
    <xf numFmtId="0" fontId="0" fillId="0" borderId="0" xfId="0" applyAlignment="1">
      <alignment horizontal="center"/>
    </xf>
    <xf numFmtId="0" fontId="29" fillId="0" borderId="0" xfId="0" applyFont="1" applyAlignment="1">
      <alignment horizontal="center"/>
    </xf>
    <xf numFmtId="0" fontId="48" fillId="0" borderId="0" xfId="0" applyFont="1" applyAlignment="1">
      <alignment horizontal="center"/>
    </xf>
    <xf numFmtId="0" fontId="39" fillId="0" borderId="1" xfId="52" applyFont="1" applyBorder="1" applyAlignment="1">
      <alignment horizontal="center"/>
    </xf>
    <xf numFmtId="0" fontId="16" fillId="0" borderId="0" xfId="0" applyFont="1" applyAlignment="1">
      <alignment horizontal="center" wrapText="1"/>
    </xf>
    <xf numFmtId="0" fontId="0" fillId="0" borderId="7" xfId="0" applyBorder="1" applyAlignment="1">
      <alignment horizontal="center" wrapText="1"/>
    </xf>
    <xf numFmtId="0" fontId="0" fillId="0" borderId="1" xfId="0" applyBorder="1" applyAlignment="1">
      <alignment horizontal="center" wrapText="1"/>
    </xf>
    <xf numFmtId="0" fontId="0" fillId="0" borderId="0" xfId="0" applyAlignment="1">
      <alignment horizontal="center" wrapText="1"/>
    </xf>
    <xf numFmtId="0" fontId="0" fillId="0" borderId="1" xfId="0" applyBorder="1" applyAlignment="1">
      <alignment horizontal="center"/>
    </xf>
    <xf numFmtId="0" fontId="11" fillId="0" borderId="1" xfId="0" applyFont="1" applyBorder="1" applyAlignment="1">
      <alignment horizontal="center"/>
    </xf>
    <xf numFmtId="1" fontId="11" fillId="0" borderId="0" xfId="0" applyNumberFormat="1" applyFont="1" applyAlignment="1">
      <alignment horizontal="center"/>
    </xf>
    <xf numFmtId="0" fontId="11" fillId="0" borderId="11" xfId="0" applyFont="1" applyBorder="1" applyAlignment="1">
      <alignment horizontal="left" wrapText="1"/>
    </xf>
    <xf numFmtId="0" fontId="11" fillId="0" borderId="0" xfId="0" applyFont="1" applyAlignment="1">
      <alignment horizontal="left" wrapText="1"/>
    </xf>
    <xf numFmtId="0" fontId="11" fillId="0" borderId="1" xfId="0" quotePrefix="1" applyFont="1" applyBorder="1" applyAlignment="1">
      <alignment horizontal="center"/>
    </xf>
    <xf numFmtId="0" fontId="11" fillId="0" borderId="0" xfId="69" applyAlignment="1">
      <alignment horizontal="center" wrapText="1"/>
    </xf>
    <xf numFmtId="0" fontId="11" fillId="0" borderId="1" xfId="69" applyBorder="1" applyAlignment="1">
      <alignment horizontal="center" wrapText="1"/>
    </xf>
  </cellXfs>
  <cellStyles count="91">
    <cellStyle name="Comma" xfId="1" builtinId="3"/>
    <cellStyle name="Comma 10" xfId="87" xr:uid="{CF63444E-3EF7-4FA8-AB57-6AD973929FC9}"/>
    <cellStyle name="Comma 2" xfId="4" xr:uid="{00000000-0005-0000-0000-000001000000}"/>
    <cellStyle name="Comma 2 2" xfId="53" xr:uid="{00000000-0005-0000-0000-000002000000}"/>
    <cellStyle name="Comma 2 3" xfId="74" xr:uid="{00000000-0005-0000-0000-000003000000}"/>
    <cellStyle name="Comma 3" xfId="5" xr:uid="{00000000-0005-0000-0000-000004000000}"/>
    <cellStyle name="Comma 3 2" xfId="58" xr:uid="{00000000-0005-0000-0000-000005000000}"/>
    <cellStyle name="Comma 3 3" xfId="80" xr:uid="{00000000-0005-0000-0000-000006000000}"/>
    <cellStyle name="Comma 4" xfId="6" xr:uid="{00000000-0005-0000-0000-000007000000}"/>
    <cellStyle name="Comma 5" xfId="7" xr:uid="{00000000-0005-0000-0000-000008000000}"/>
    <cellStyle name="Comma 5 2" xfId="61" xr:uid="{00000000-0005-0000-0000-000009000000}"/>
    <cellStyle name="Comma 6" xfId="8" xr:uid="{00000000-0005-0000-0000-00000A000000}"/>
    <cellStyle name="Comma 6 2" xfId="59" xr:uid="{00000000-0005-0000-0000-00000B000000}"/>
    <cellStyle name="Comma 7" xfId="9" xr:uid="{00000000-0005-0000-0000-00000C000000}"/>
    <cellStyle name="Comma 7 2" xfId="10" xr:uid="{00000000-0005-0000-0000-00000D000000}"/>
    <cellStyle name="Comma 7 2 2" xfId="11" xr:uid="{00000000-0005-0000-0000-00000E000000}"/>
    <cellStyle name="Comma 7 2 2 2" xfId="49" xr:uid="{00000000-0005-0000-0000-00000F000000}"/>
    <cellStyle name="Comma 8" xfId="66" xr:uid="{00000000-0005-0000-0000-000010000000}"/>
    <cellStyle name="Comma 9" xfId="67" xr:uid="{00000000-0005-0000-0000-000011000000}"/>
    <cellStyle name="Currency" xfId="2" builtinId="4"/>
    <cellStyle name="Currency 2" xfId="12" xr:uid="{00000000-0005-0000-0000-000013000000}"/>
    <cellStyle name="Currency 2 2" xfId="76" xr:uid="{00000000-0005-0000-0000-000014000000}"/>
    <cellStyle name="Currency 2 2 2" xfId="90" xr:uid="{781D2F85-C9E0-49FC-9C76-7F4CB2D80EA5}"/>
    <cellStyle name="Currency 3" xfId="13" xr:uid="{00000000-0005-0000-0000-000015000000}"/>
    <cellStyle name="Currency 3 2" xfId="47" xr:uid="{00000000-0005-0000-0000-000016000000}"/>
    <cellStyle name="Currency 3 3" xfId="56" xr:uid="{00000000-0005-0000-0000-000017000000}"/>
    <cellStyle name="Currency 4" xfId="14" xr:uid="{00000000-0005-0000-0000-000018000000}"/>
    <cellStyle name="Currency 5" xfId="15" xr:uid="{00000000-0005-0000-0000-000019000000}"/>
    <cellStyle name="Currency 6" xfId="16" xr:uid="{00000000-0005-0000-0000-00001A000000}"/>
    <cellStyle name="Currency 6 2" xfId="60" xr:uid="{00000000-0005-0000-0000-00001B000000}"/>
    <cellStyle name="Currency 7" xfId="68" xr:uid="{00000000-0005-0000-0000-00001C000000}"/>
    <cellStyle name="Currency 7 2" xfId="78" xr:uid="{00000000-0005-0000-0000-00001D000000}"/>
    <cellStyle name="Currency 8" xfId="86" xr:uid="{8A199FCA-F224-42FC-BDD2-1D39704B99DB}"/>
    <cellStyle name="Normal" xfId="0" builtinId="0"/>
    <cellStyle name="Normal 10" xfId="17" xr:uid="{00000000-0005-0000-0000-00001F000000}"/>
    <cellStyle name="Normal 10 2" xfId="18" xr:uid="{00000000-0005-0000-0000-000020000000}"/>
    <cellStyle name="Normal 10 2 2" xfId="19" xr:uid="{00000000-0005-0000-0000-000021000000}"/>
    <cellStyle name="Normal 10 2 2 2" xfId="48" xr:uid="{00000000-0005-0000-0000-000022000000}"/>
    <cellStyle name="Normal 11" xfId="20" xr:uid="{00000000-0005-0000-0000-000023000000}"/>
    <cellStyle name="Normal 11 2" xfId="64" xr:uid="{00000000-0005-0000-0000-000024000000}"/>
    <cellStyle name="Normal 12" xfId="21" xr:uid="{00000000-0005-0000-0000-000025000000}"/>
    <cellStyle name="Normal 13" xfId="44" xr:uid="{00000000-0005-0000-0000-000026000000}"/>
    <cellStyle name="Normal 13 2" xfId="73" xr:uid="{00000000-0005-0000-0000-000027000000}"/>
    <cellStyle name="Normal 14" xfId="46" xr:uid="{00000000-0005-0000-0000-000028000000}"/>
    <cellStyle name="Normal 14 2" xfId="82" xr:uid="{00000000-0005-0000-0000-000029000000}"/>
    <cellStyle name="Normal 15" xfId="83" xr:uid="{00000000-0005-0000-0000-00002A000000}"/>
    <cellStyle name="Normal 15 2" xfId="89" xr:uid="{5351387D-FA9C-4DE3-82B8-3C7E95388E95}"/>
    <cellStyle name="Normal 16" xfId="85" xr:uid="{DD38720B-A75B-4635-89E7-6074650F5728}"/>
    <cellStyle name="Normal 2" xfId="22" xr:uid="{00000000-0005-0000-0000-00002B000000}"/>
    <cellStyle name="Normal 2 2" xfId="23" xr:uid="{00000000-0005-0000-0000-00002C000000}"/>
    <cellStyle name="Normal 2 3" xfId="69" xr:uid="{00000000-0005-0000-0000-00002D000000}"/>
    <cellStyle name="Normal 2 4" xfId="75" xr:uid="{00000000-0005-0000-0000-00002E000000}"/>
    <cellStyle name="Normal 3" xfId="24" xr:uid="{00000000-0005-0000-0000-00002F000000}"/>
    <cellStyle name="Normal 4" xfId="25" xr:uid="{00000000-0005-0000-0000-000030000000}"/>
    <cellStyle name="Normal 4 2" xfId="26" xr:uid="{00000000-0005-0000-0000-000031000000}"/>
    <cellStyle name="Normal 4 2 2" xfId="27" xr:uid="{00000000-0005-0000-0000-000032000000}"/>
    <cellStyle name="Normal 4 2 2 2" xfId="28" xr:uid="{00000000-0005-0000-0000-000033000000}"/>
    <cellStyle name="Normal 4 2 2 2 2" xfId="50" xr:uid="{00000000-0005-0000-0000-000034000000}"/>
    <cellStyle name="Normal 4 3" xfId="45" xr:uid="{00000000-0005-0000-0000-000035000000}"/>
    <cellStyle name="Normal 4 4" xfId="52" xr:uid="{00000000-0005-0000-0000-000036000000}"/>
    <cellStyle name="Normal 4 4 2" xfId="72" xr:uid="{00000000-0005-0000-0000-000037000000}"/>
    <cellStyle name="Normal 5" xfId="29" xr:uid="{00000000-0005-0000-0000-000038000000}"/>
    <cellStyle name="Normal 6" xfId="30" xr:uid="{00000000-0005-0000-0000-000039000000}"/>
    <cellStyle name="Normal 6 2" xfId="54" xr:uid="{00000000-0005-0000-0000-00003A000000}"/>
    <cellStyle name="Normal 6 3" xfId="79" xr:uid="{00000000-0005-0000-0000-00003B000000}"/>
    <cellStyle name="Normal 7" xfId="31" xr:uid="{00000000-0005-0000-0000-00003C000000}"/>
    <cellStyle name="Normal 7 2" xfId="63" xr:uid="{00000000-0005-0000-0000-00003D000000}"/>
    <cellStyle name="Normal 8" xfId="32" xr:uid="{00000000-0005-0000-0000-00003E000000}"/>
    <cellStyle name="Normal 8 2" xfId="62" xr:uid="{00000000-0005-0000-0000-00003F000000}"/>
    <cellStyle name="Normal 9" xfId="33" xr:uid="{00000000-0005-0000-0000-000040000000}"/>
    <cellStyle name="Normal 9 2" xfId="55" xr:uid="{00000000-0005-0000-0000-000041000000}"/>
    <cellStyle name="Normal 9 2 2" xfId="81" xr:uid="{00000000-0005-0000-0000-000042000000}"/>
    <cellStyle name="Normal_2011" xfId="57" xr:uid="{00000000-0005-0000-0000-000043000000}"/>
    <cellStyle name="Normal_2013" xfId="84" xr:uid="{00000000-0005-0000-0000-000044000000}"/>
    <cellStyle name="Normal_IAGASINC2 2" xfId="88" xr:uid="{2A21D6F3-FBBC-4CA0-9403-014E173CF095}"/>
    <cellStyle name="Percent" xfId="3" builtinId="5"/>
    <cellStyle name="Percent 10" xfId="70" xr:uid="{00000000-0005-0000-0000-000046000000}"/>
    <cellStyle name="Percent 10 2" xfId="77" xr:uid="{00000000-0005-0000-0000-000047000000}"/>
    <cellStyle name="Percent 11" xfId="71" xr:uid="{00000000-0005-0000-0000-000048000000}"/>
    <cellStyle name="Percent 2" xfId="34" xr:uid="{00000000-0005-0000-0000-000049000000}"/>
    <cellStyle name="Percent 3" xfId="35" xr:uid="{00000000-0005-0000-0000-00004A000000}"/>
    <cellStyle name="Percent 4" xfId="36" xr:uid="{00000000-0005-0000-0000-00004B000000}"/>
    <cellStyle name="Percent 5" xfId="37" xr:uid="{00000000-0005-0000-0000-00004C000000}"/>
    <cellStyle name="Percent 6" xfId="38" xr:uid="{00000000-0005-0000-0000-00004D000000}"/>
    <cellStyle name="Percent 7" xfId="39" xr:uid="{00000000-0005-0000-0000-00004E000000}"/>
    <cellStyle name="Percent 7 2" xfId="40" xr:uid="{00000000-0005-0000-0000-00004F000000}"/>
    <cellStyle name="Percent 7 2 2" xfId="41" xr:uid="{00000000-0005-0000-0000-000050000000}"/>
    <cellStyle name="Percent 7 2 2 2" xfId="51" xr:uid="{00000000-0005-0000-0000-000051000000}"/>
    <cellStyle name="Percent 8" xfId="42" xr:uid="{00000000-0005-0000-0000-000052000000}"/>
    <cellStyle name="Percent 8 2" xfId="65" xr:uid="{00000000-0005-0000-0000-000053000000}"/>
    <cellStyle name="Percent 9" xfId="43" xr:uid="{00000000-0005-0000-0000-000054000000}"/>
  </cellStyles>
  <dxfs count="0"/>
  <tableStyles count="0" defaultTableStyle="TableStyleMedium2" defaultPivotStyle="PivotStyleLight16"/>
  <colors>
    <mruColors>
      <color rgb="FFCCCCFF"/>
      <color rgb="FFFF6565"/>
      <color rgb="FF009900"/>
      <color rgb="FF765B97"/>
      <color rgb="FFFF93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49"/>
  <sheetViews>
    <sheetView tabSelected="1" view="pageLayout" zoomScaleNormal="100" workbookViewId="0">
      <selection activeCell="G10" sqref="G10:L10"/>
    </sheetView>
  </sheetViews>
  <sheetFormatPr defaultRowHeight="12.75" x14ac:dyDescent="0.2"/>
  <cols>
    <col min="1" max="1" width="7.28515625" customWidth="1"/>
    <col min="2" max="2" width="6.7109375" customWidth="1"/>
    <col min="3" max="3" width="6.140625" customWidth="1"/>
    <col min="4" max="4" width="24.5703125" customWidth="1"/>
    <col min="5" max="6" width="15.85546875" customWidth="1"/>
    <col min="7" max="7" width="20.5703125" customWidth="1"/>
    <col min="8" max="15" width="15.85546875" customWidth="1"/>
    <col min="16" max="16" width="16.85546875" customWidth="1"/>
    <col min="17" max="17" width="14.42578125" bestFit="1" customWidth="1"/>
    <col min="18" max="18" width="3.28515625" customWidth="1"/>
  </cols>
  <sheetData>
    <row r="1" spans="1:24" ht="18" x14ac:dyDescent="0.25">
      <c r="A1" s="230" t="s">
        <v>25</v>
      </c>
    </row>
    <row r="2" spans="1:24" x14ac:dyDescent="0.2">
      <c r="E2" s="2" t="s">
        <v>404</v>
      </c>
      <c r="F2" s="2"/>
      <c r="G2" s="2"/>
      <c r="H2" s="2"/>
      <c r="I2" s="2"/>
      <c r="J2" s="2"/>
      <c r="K2" s="2"/>
      <c r="L2" s="2"/>
      <c r="M2" s="2"/>
      <c r="N2" s="231" t="s">
        <v>713</v>
      </c>
      <c r="O2" s="231" t="s">
        <v>714</v>
      </c>
      <c r="P2" s="2"/>
      <c r="Q2" s="2"/>
      <c r="R2" s="2"/>
    </row>
    <row r="3" spans="1:24" x14ac:dyDescent="0.2">
      <c r="E3" s="2" t="s">
        <v>23</v>
      </c>
      <c r="F3" s="2"/>
      <c r="G3" s="2" t="s">
        <v>303</v>
      </c>
      <c r="H3" s="2" t="s">
        <v>303</v>
      </c>
      <c r="I3" s="2"/>
      <c r="J3" s="2"/>
      <c r="K3" s="2"/>
      <c r="L3" s="2" t="s">
        <v>60</v>
      </c>
      <c r="M3" s="2" t="s">
        <v>22</v>
      </c>
      <c r="N3" s="2" t="s">
        <v>374</v>
      </c>
      <c r="O3" s="2" t="s">
        <v>374</v>
      </c>
      <c r="P3" s="2" t="s">
        <v>492</v>
      </c>
      <c r="Q3" s="2"/>
      <c r="R3" s="2"/>
    </row>
    <row r="4" spans="1:24" x14ac:dyDescent="0.2">
      <c r="A4" s="10" t="s">
        <v>24</v>
      </c>
      <c r="B4" s="10" t="s">
        <v>21</v>
      </c>
      <c r="C4" s="10"/>
      <c r="D4" s="10"/>
      <c r="E4" s="82" t="s">
        <v>20</v>
      </c>
      <c r="F4" s="82" t="s">
        <v>302</v>
      </c>
      <c r="G4" s="82" t="s">
        <v>304</v>
      </c>
      <c r="H4" s="82" t="s">
        <v>305</v>
      </c>
      <c r="I4" s="82" t="s">
        <v>19</v>
      </c>
      <c r="J4" s="82" t="s">
        <v>18</v>
      </c>
      <c r="K4" s="82" t="s">
        <v>306</v>
      </c>
      <c r="L4" s="82" t="s">
        <v>18</v>
      </c>
      <c r="M4" s="82" t="s">
        <v>250</v>
      </c>
      <c r="N4" s="82" t="s">
        <v>375</v>
      </c>
      <c r="O4" s="82" t="s">
        <v>375</v>
      </c>
      <c r="P4" s="82" t="s">
        <v>493</v>
      </c>
      <c r="Q4" s="82" t="s">
        <v>17</v>
      </c>
      <c r="R4" s="82"/>
      <c r="S4" s="15" t="s">
        <v>44</v>
      </c>
      <c r="T4" s="10"/>
      <c r="U4" s="10"/>
      <c r="V4" s="10"/>
      <c r="W4" s="10"/>
      <c r="X4" s="10"/>
    </row>
    <row r="5" spans="1:24" x14ac:dyDescent="0.2">
      <c r="B5" s="117" t="s">
        <v>26</v>
      </c>
      <c r="C5" s="117"/>
      <c r="D5" s="117"/>
      <c r="E5" s="117" t="s">
        <v>27</v>
      </c>
      <c r="F5" s="117" t="s">
        <v>28</v>
      </c>
      <c r="G5" s="117" t="s">
        <v>29</v>
      </c>
      <c r="H5" s="117" t="s">
        <v>36</v>
      </c>
      <c r="I5" s="117" t="s">
        <v>30</v>
      </c>
      <c r="J5" s="117" t="s">
        <v>31</v>
      </c>
      <c r="K5" s="117" t="s">
        <v>32</v>
      </c>
      <c r="L5" s="117" t="s">
        <v>33</v>
      </c>
      <c r="M5" s="117" t="s">
        <v>34</v>
      </c>
      <c r="N5" s="117" t="s">
        <v>35</v>
      </c>
      <c r="O5" s="117" t="s">
        <v>157</v>
      </c>
      <c r="P5" s="117" t="s">
        <v>158</v>
      </c>
      <c r="Q5" s="117" t="s">
        <v>159</v>
      </c>
      <c r="R5" s="117"/>
      <c r="S5" s="117" t="s">
        <v>160</v>
      </c>
    </row>
    <row r="6" spans="1:24" x14ac:dyDescent="0.2">
      <c r="E6" s="108"/>
    </row>
    <row r="7" spans="1:24" x14ac:dyDescent="0.2">
      <c r="A7" s="14">
        <v>1</v>
      </c>
      <c r="B7" t="s">
        <v>16</v>
      </c>
      <c r="E7" s="108">
        <f>'FUN-3 (Functional COS)'!H226</f>
        <v>39480684.007882379</v>
      </c>
      <c r="F7" s="108">
        <f>'FUN-3 (Functional COS)'!I226</f>
        <v>961380.92797595717</v>
      </c>
      <c r="G7" s="108">
        <f>'FUN-3 (Functional COS)'!J226</f>
        <v>3805239.8279097527</v>
      </c>
      <c r="H7" s="108">
        <f>'FUN-3 (Functional COS)'!K226</f>
        <v>12065726.740826357</v>
      </c>
      <c r="I7" s="108">
        <f>'FUN-3 (Functional COS)'!L226</f>
        <v>10496359.198220696</v>
      </c>
      <c r="J7" s="108">
        <f>'FUN-3 (Functional COS)'!M226</f>
        <v>6407606.6585594332</v>
      </c>
      <c r="K7" s="108">
        <f>'FUN-3 (Functional COS)'!N226</f>
        <v>686936.28278891125</v>
      </c>
      <c r="L7" s="108">
        <f>'FUN-3 (Functional COS)'!O226</f>
        <v>19544.416377176785</v>
      </c>
      <c r="M7" s="108">
        <f>'FUN-3 (Functional COS)'!P226</f>
        <v>4462325.286009958</v>
      </c>
      <c r="N7" s="108">
        <f>'FUN-3 (Functional COS)'!Q226</f>
        <v>81382.736228195354</v>
      </c>
      <c r="O7" s="108">
        <f>'FUN-3 (Functional COS)'!R226</f>
        <v>125835.12273710186</v>
      </c>
      <c r="P7" s="108">
        <f>'FUN-3 (Functional COS)'!S226</f>
        <v>368346.81024883565</v>
      </c>
      <c r="Q7" s="108">
        <f>E7-SUM(F7:P7)</f>
        <v>0</v>
      </c>
      <c r="R7" s="108"/>
      <c r="S7" t="s">
        <v>563</v>
      </c>
    </row>
    <row r="8" spans="1:24" x14ac:dyDescent="0.2">
      <c r="A8" s="14"/>
      <c r="E8" s="1"/>
    </row>
    <row r="9" spans="1:24" x14ac:dyDescent="0.2">
      <c r="A9" s="14"/>
      <c r="B9" t="s">
        <v>707</v>
      </c>
      <c r="E9" s="108"/>
    </row>
    <row r="10" spans="1:24" x14ac:dyDescent="0.2">
      <c r="A10" s="14">
        <f>+A7+1</f>
        <v>2</v>
      </c>
      <c r="C10" t="s">
        <v>14</v>
      </c>
      <c r="E10" s="108">
        <f>'FUN-3 (Functional COS)'!H188</f>
        <v>16793257.068939619</v>
      </c>
      <c r="F10" s="108">
        <f>'FUN-3 (Functional COS)'!I188</f>
        <v>525572.67106506636</v>
      </c>
      <c r="G10" s="108">
        <f>'FUN-3 (Functional COS)'!J188</f>
        <v>1332989.4406348993</v>
      </c>
      <c r="H10" s="108">
        <f>'FUN-3 (Functional COS)'!K188</f>
        <v>4226668.2433896577</v>
      </c>
      <c r="I10" s="108">
        <f>'FUN-3 (Functional COS)'!L188</f>
        <v>3706125.5628149984</v>
      </c>
      <c r="J10" s="108">
        <f>'FUN-3 (Functional COS)'!M188</f>
        <v>2563458.5237787822</v>
      </c>
      <c r="K10" s="108">
        <f>'FUN-3 (Functional COS)'!N188</f>
        <v>214218.14870165999</v>
      </c>
      <c r="L10" s="108">
        <f>'FUN-3 (Functional COS)'!O188</f>
        <v>2441.9082230962713</v>
      </c>
      <c r="M10" s="108">
        <f>'FUN-3 (Functional COS)'!P188</f>
        <v>3757662.2191902404</v>
      </c>
      <c r="N10" s="108">
        <f>'FUN-3 (Functional COS)'!Q188</f>
        <v>67361.593723557438</v>
      </c>
      <c r="O10" s="108">
        <f>'FUN-3 (Functional COS)'!R188</f>
        <v>104155.4364822885</v>
      </c>
      <c r="P10" s="108">
        <f>'FUN-3 (Functional COS)'!S188</f>
        <v>292603.32093537331</v>
      </c>
      <c r="Q10" s="108">
        <f>E10-SUM(F10:P10)</f>
        <v>0</v>
      </c>
      <c r="R10" s="108"/>
      <c r="S10" t="s">
        <v>565</v>
      </c>
    </row>
    <row r="11" spans="1:24" x14ac:dyDescent="0.2">
      <c r="A11" s="14">
        <f>+A10+1</f>
        <v>3</v>
      </c>
      <c r="C11" t="s">
        <v>13</v>
      </c>
      <c r="E11" s="108">
        <f>'FUN-3 (Functional COS)'!H253</f>
        <v>860301.48814027233</v>
      </c>
      <c r="F11" s="108">
        <f>'FUN-3 (Functional COS)'!I253</f>
        <v>25863.83715453291</v>
      </c>
      <c r="G11" s="108">
        <f>'FUN-3 (Functional COS)'!J253</f>
        <v>95230.113112636493</v>
      </c>
      <c r="H11" s="108">
        <f>'FUN-3 (Functional COS)'!K253</f>
        <v>301957.45190289908</v>
      </c>
      <c r="I11" s="108">
        <f>'FUN-3 (Functional COS)'!L253</f>
        <v>260685.67192987131</v>
      </c>
      <c r="J11" s="108">
        <f>'FUN-3 (Functional COS)'!M253</f>
        <v>143502.52170458657</v>
      </c>
      <c r="K11" s="108">
        <f>'FUN-3 (Functional COS)'!N253</f>
        <v>18182.899397359244</v>
      </c>
      <c r="L11" s="108">
        <f>'FUN-3 (Functional COS)'!O253</f>
        <v>713.908341231392</v>
      </c>
      <c r="M11" s="108">
        <f>'FUN-3 (Functional COS)'!P253</f>
        <v>12280.263318780762</v>
      </c>
      <c r="N11" s="108">
        <f>'FUN-3 (Functional COS)'!Q253</f>
        <v>329.3964811668402</v>
      </c>
      <c r="O11" s="108">
        <f>'FUN-3 (Functional COS)'!R253</f>
        <v>509.31743706152872</v>
      </c>
      <c r="P11" s="108">
        <f>'FUN-3 (Functional COS)'!S253</f>
        <v>1046.1073601520102</v>
      </c>
      <c r="Q11" s="108">
        <f>ROUND(E11-SUM(F11:P11),5)</f>
        <v>0</v>
      </c>
      <c r="R11" s="108"/>
      <c r="S11" t="s">
        <v>848</v>
      </c>
    </row>
    <row r="12" spans="1:24" x14ac:dyDescent="0.2">
      <c r="A12" s="15">
        <f>+A11+1</f>
        <v>4</v>
      </c>
      <c r="B12" s="10"/>
      <c r="C12" s="10" t="s">
        <v>12</v>
      </c>
      <c r="D12" s="10"/>
      <c r="E12" s="120">
        <f>'FUN-3 (Functional COS)'!H208</f>
        <v>13366345.315140327</v>
      </c>
      <c r="F12" s="120">
        <f>'FUN-3 (Functional COS)'!I208</f>
        <v>225046.39158752811</v>
      </c>
      <c r="G12" s="120">
        <f>'FUN-3 (Functional COS)'!J208</f>
        <v>1435485.2043754328</v>
      </c>
      <c r="H12" s="120">
        <f>'FUN-3 (Functional COS)'!K208</f>
        <v>4551663.7583411802</v>
      </c>
      <c r="I12" s="120">
        <f>'FUN-3 (Functional COS)'!L208</f>
        <v>3948249.7119167717</v>
      </c>
      <c r="J12" s="120">
        <f>'FUN-3 (Functional COS)'!M208</f>
        <v>2301880.9495688649</v>
      </c>
      <c r="K12" s="120">
        <f>'FUN-3 (Functional COS)'!N208</f>
        <v>278157.82988584938</v>
      </c>
      <c r="L12" s="120">
        <f>'FUN-3 (Functional COS)'!O208</f>
        <v>9523.0698803637042</v>
      </c>
      <c r="M12" s="120">
        <f>'FUN-3 (Functional COS)'!P208</f>
        <v>528584.71812957025</v>
      </c>
      <c r="N12" s="120">
        <f>'FUN-3 (Functional COS)'!Q208</f>
        <v>10058.718958622252</v>
      </c>
      <c r="O12" s="120">
        <f>'FUN-3 (Functional COS)'!R208</f>
        <v>15552.931658467927</v>
      </c>
      <c r="P12" s="120">
        <f>'FUN-3 (Functional COS)'!S208</f>
        <v>62142.030837672894</v>
      </c>
      <c r="Q12" s="120">
        <f>E12-SUM(F12:P12)</f>
        <v>0</v>
      </c>
      <c r="R12" s="120"/>
      <c r="S12" s="10" t="s">
        <v>567</v>
      </c>
      <c r="T12" s="10"/>
      <c r="U12" s="10"/>
      <c r="V12" s="10"/>
      <c r="W12" s="10"/>
      <c r="X12" s="10"/>
    </row>
    <row r="13" spans="1:24" x14ac:dyDescent="0.2">
      <c r="A13" s="14">
        <f>+A12+1</f>
        <v>5</v>
      </c>
      <c r="C13" t="s">
        <v>15</v>
      </c>
      <c r="E13" s="108">
        <f t="shared" ref="E13:P13" si="0">SUM(E10:E12)</f>
        <v>31019903.872220218</v>
      </c>
      <c r="F13" s="108">
        <f t="shared" si="0"/>
        <v>776482.89980712743</v>
      </c>
      <c r="G13" s="108">
        <f t="shared" si="0"/>
        <v>2863704.7581229685</v>
      </c>
      <c r="H13" s="108">
        <f t="shared" si="0"/>
        <v>9080289.4536337368</v>
      </c>
      <c r="I13" s="108">
        <f t="shared" si="0"/>
        <v>7915060.9466616418</v>
      </c>
      <c r="J13" s="108">
        <f t="shared" si="0"/>
        <v>5008841.9950522333</v>
      </c>
      <c r="K13" s="108">
        <f t="shared" si="0"/>
        <v>510558.8779848686</v>
      </c>
      <c r="L13" s="108">
        <f t="shared" si="0"/>
        <v>12678.886444691369</v>
      </c>
      <c r="M13" s="108">
        <f t="shared" si="0"/>
        <v>4298527.2006385913</v>
      </c>
      <c r="N13" s="108">
        <f t="shared" ref="N13:O13" si="1">SUM(N10:N12)</f>
        <v>77749.709163346532</v>
      </c>
      <c r="O13" s="108">
        <f t="shared" si="1"/>
        <v>120217.68557781796</v>
      </c>
      <c r="P13" s="108">
        <f t="shared" si="0"/>
        <v>355791.45913319819</v>
      </c>
      <c r="Q13" s="108">
        <f>E13-SUM(F13:P13)</f>
        <v>0</v>
      </c>
      <c r="R13" s="108"/>
      <c r="S13" t="s">
        <v>37</v>
      </c>
    </row>
    <row r="14" spans="1:24" x14ac:dyDescent="0.2">
      <c r="A14" s="14"/>
      <c r="E14" s="1"/>
    </row>
    <row r="15" spans="1:24" x14ac:dyDescent="0.2">
      <c r="A15" s="14">
        <f>+A13+1</f>
        <v>6</v>
      </c>
      <c r="B15" s="6" t="s">
        <v>7</v>
      </c>
      <c r="C15" s="6"/>
      <c r="D15" s="6"/>
      <c r="E15" s="41">
        <f>E7-E13</f>
        <v>8460780.1356621608</v>
      </c>
      <c r="F15" s="41">
        <f t="shared" ref="F15:P15" si="2">F7-F13</f>
        <v>184898.02816882974</v>
      </c>
      <c r="G15" s="41">
        <f t="shared" si="2"/>
        <v>941535.06978678424</v>
      </c>
      <c r="H15" s="41">
        <f t="shared" si="2"/>
        <v>2985437.2871926203</v>
      </c>
      <c r="I15" s="41">
        <f t="shared" si="2"/>
        <v>2581298.2515590545</v>
      </c>
      <c r="J15" s="41">
        <f t="shared" si="2"/>
        <v>1398764.6635071998</v>
      </c>
      <c r="K15" s="41">
        <f t="shared" si="2"/>
        <v>176377.40480404266</v>
      </c>
      <c r="L15" s="41">
        <f t="shared" si="2"/>
        <v>6865.5299324854168</v>
      </c>
      <c r="M15" s="41">
        <f t="shared" si="2"/>
        <v>163798.0853713667</v>
      </c>
      <c r="N15" s="41">
        <f t="shared" ref="N15:O15" si="3">N7-N13</f>
        <v>3633.0270648488222</v>
      </c>
      <c r="O15" s="41">
        <f t="shared" si="3"/>
        <v>5617.4371592839016</v>
      </c>
      <c r="P15" s="41">
        <f t="shared" si="2"/>
        <v>12555.351115637459</v>
      </c>
      <c r="Q15" s="41">
        <f>E15-SUM(F15:P15)</f>
        <v>0</v>
      </c>
      <c r="R15" s="41"/>
      <c r="S15" t="s">
        <v>38</v>
      </c>
    </row>
    <row r="16" spans="1:24" x14ac:dyDescent="0.2">
      <c r="A16" s="14"/>
      <c r="E16" s="108"/>
      <c r="F16" s="108"/>
      <c r="G16" s="108"/>
      <c r="H16" s="108"/>
      <c r="I16" s="108"/>
      <c r="J16" s="108"/>
      <c r="K16" s="108"/>
      <c r="L16" s="108"/>
      <c r="M16" s="108"/>
      <c r="N16" s="108"/>
      <c r="O16" s="108"/>
      <c r="P16" s="108"/>
      <c r="Q16" s="108"/>
      <c r="R16" s="108"/>
    </row>
    <row r="17" spans="1:24" x14ac:dyDescent="0.2">
      <c r="A17" s="14">
        <f>+A15+1</f>
        <v>7</v>
      </c>
      <c r="B17" t="s">
        <v>11</v>
      </c>
      <c r="E17" s="108">
        <f>'FUN-3 (Functional COS)'!H86</f>
        <v>198457117.23538473</v>
      </c>
      <c r="F17" s="108">
        <f>'FUN-3 (Functional COS)'!I86</f>
        <v>4336991.2779350523</v>
      </c>
      <c r="G17" s="108">
        <f>'FUN-3 (Functional COS)'!J86</f>
        <v>22084764.375132687</v>
      </c>
      <c r="H17" s="108">
        <f>'FUN-3 (Functional COS)'!K86</f>
        <v>70026790.461788341</v>
      </c>
      <c r="I17" s="108">
        <f>'FUN-3 (Functional COS)'!L86</f>
        <v>60547254.687532097</v>
      </c>
      <c r="J17" s="108">
        <f>'FUN-3 (Functional COS)'!M86</f>
        <v>32809598.921061736</v>
      </c>
      <c r="K17" s="108">
        <f>'FUN-3 (Functional COS)'!N86</f>
        <v>4137130.4704314196</v>
      </c>
      <c r="L17" s="108">
        <f>'FUN-3 (Functional COS)'!O86</f>
        <v>161038.72891712576</v>
      </c>
      <c r="M17" s="108">
        <f>'FUN-3 (Functional COS)'!P86</f>
        <v>3842068.3802502332</v>
      </c>
      <c r="N17" s="108">
        <f>'FUN-3 (Functional COS)'!Q86</f>
        <v>85216.737294592444</v>
      </c>
      <c r="O17" s="108">
        <f>'FUN-3 (Functional COS)'!R86</f>
        <v>131763.30870287563</v>
      </c>
      <c r="P17" s="108">
        <f>'FUN-3 (Functional COS)'!S86</f>
        <v>294499.88633849245</v>
      </c>
      <c r="Q17" s="108">
        <f>E17-SUM(F17:P17)</f>
        <v>0</v>
      </c>
      <c r="R17" s="108"/>
      <c r="S17" t="s">
        <v>569</v>
      </c>
    </row>
    <row r="18" spans="1:24" x14ac:dyDescent="0.2">
      <c r="A18" s="14"/>
      <c r="E18" s="1"/>
      <c r="F18" s="108"/>
      <c r="G18" s="108"/>
      <c r="H18" s="108"/>
      <c r="I18" s="108"/>
      <c r="J18" s="108"/>
      <c r="K18" s="108"/>
      <c r="L18" s="108"/>
      <c r="M18" s="108"/>
      <c r="N18" s="108"/>
      <c r="O18" s="108"/>
      <c r="P18" s="108"/>
      <c r="Q18" s="108"/>
      <c r="R18" s="108"/>
    </row>
    <row r="19" spans="1:24" x14ac:dyDescent="0.2">
      <c r="A19" s="14">
        <f>+A17+1</f>
        <v>8</v>
      </c>
      <c r="B19" s="6" t="s">
        <v>10</v>
      </c>
      <c r="C19" s="6"/>
      <c r="D19" s="6"/>
      <c r="E19" s="129">
        <f t="shared" ref="E19:M19" si="4">E15/E17</f>
        <v>4.2632787644632839E-2</v>
      </c>
      <c r="F19" s="129">
        <f t="shared" si="4"/>
        <v>4.2632787644632804E-2</v>
      </c>
      <c r="G19" s="129">
        <f t="shared" si="4"/>
        <v>4.2632787644632839E-2</v>
      </c>
      <c r="H19" s="129">
        <f t="shared" si="4"/>
        <v>4.2632787644632804E-2</v>
      </c>
      <c r="I19" s="129">
        <f t="shared" si="4"/>
        <v>4.2632787644632811E-2</v>
      </c>
      <c r="J19" s="129">
        <f t="shared" si="4"/>
        <v>4.2632787644632845E-2</v>
      </c>
      <c r="K19" s="129">
        <f t="shared" si="4"/>
        <v>4.2632787644632839E-2</v>
      </c>
      <c r="L19" s="129">
        <f t="shared" si="4"/>
        <v>4.2632787644632845E-2</v>
      </c>
      <c r="M19" s="129">
        <f t="shared" si="4"/>
        <v>4.2632787644632852E-2</v>
      </c>
      <c r="N19" s="129">
        <f t="shared" ref="N19:O19" si="5">N15/N17</f>
        <v>4.2632787644632825E-2</v>
      </c>
      <c r="O19" s="129">
        <f t="shared" si="5"/>
        <v>4.2632787644632859E-2</v>
      </c>
      <c r="P19" s="129">
        <f>P15/P17</f>
        <v>4.2632787644632845E-2</v>
      </c>
      <c r="Q19" s="129"/>
      <c r="R19" s="129"/>
      <c r="S19" t="s">
        <v>39</v>
      </c>
    </row>
    <row r="20" spans="1:24" x14ac:dyDescent="0.2">
      <c r="A20" s="14"/>
      <c r="E20" s="1"/>
    </row>
    <row r="21" spans="1:24" x14ac:dyDescent="0.2">
      <c r="A21" s="14"/>
      <c r="B21" t="s">
        <v>9</v>
      </c>
      <c r="E21" s="1"/>
    </row>
    <row r="22" spans="1:24" x14ac:dyDescent="0.2">
      <c r="A22" s="14">
        <f>+A19+1</f>
        <v>9</v>
      </c>
      <c r="C22" t="s">
        <v>8</v>
      </c>
      <c r="E22" s="1">
        <f>E13</f>
        <v>31019903.872220218</v>
      </c>
      <c r="F22" s="1">
        <f t="shared" ref="F22:P22" si="6">F13</f>
        <v>776482.89980712743</v>
      </c>
      <c r="G22" s="1">
        <f t="shared" si="6"/>
        <v>2863704.7581229685</v>
      </c>
      <c r="H22" s="1">
        <f t="shared" si="6"/>
        <v>9080289.4536337368</v>
      </c>
      <c r="I22" s="1">
        <f t="shared" si="6"/>
        <v>7915060.9466616418</v>
      </c>
      <c r="J22" s="1">
        <f t="shared" si="6"/>
        <v>5008841.9950522333</v>
      </c>
      <c r="K22" s="1">
        <f t="shared" si="6"/>
        <v>510558.8779848686</v>
      </c>
      <c r="L22" s="1">
        <f t="shared" si="6"/>
        <v>12678.886444691369</v>
      </c>
      <c r="M22" s="1">
        <f t="shared" si="6"/>
        <v>4298527.2006385913</v>
      </c>
      <c r="N22" s="1">
        <f t="shared" ref="N22:O22" si="7">N13</f>
        <v>77749.709163346532</v>
      </c>
      <c r="O22" s="1">
        <f t="shared" si="7"/>
        <v>120217.68557781796</v>
      </c>
      <c r="P22" s="1">
        <f t="shared" si="6"/>
        <v>355791.45913319819</v>
      </c>
      <c r="Q22" s="1">
        <f>E22-SUM(F22:P22)</f>
        <v>0</v>
      </c>
      <c r="R22" s="1"/>
      <c r="S22" t="s">
        <v>40</v>
      </c>
    </row>
    <row r="23" spans="1:24" x14ac:dyDescent="0.2">
      <c r="A23" s="14">
        <f>+A22+1</f>
        <v>10</v>
      </c>
      <c r="C23" t="s">
        <v>7</v>
      </c>
      <c r="E23" s="1">
        <f t="shared" ref="E23:P23" si="8">E15</f>
        <v>8460780.1356621608</v>
      </c>
      <c r="F23" s="1">
        <f t="shared" si="8"/>
        <v>184898.02816882974</v>
      </c>
      <c r="G23" s="1">
        <f t="shared" si="8"/>
        <v>941535.06978678424</v>
      </c>
      <c r="H23" s="1">
        <f t="shared" si="8"/>
        <v>2985437.2871926203</v>
      </c>
      <c r="I23" s="1">
        <f t="shared" si="8"/>
        <v>2581298.2515590545</v>
      </c>
      <c r="J23" s="1">
        <f t="shared" si="8"/>
        <v>1398764.6635071998</v>
      </c>
      <c r="K23" s="1">
        <f t="shared" si="8"/>
        <v>176377.40480404266</v>
      </c>
      <c r="L23" s="1">
        <f t="shared" si="8"/>
        <v>6865.5299324854168</v>
      </c>
      <c r="M23" s="1">
        <f t="shared" si="8"/>
        <v>163798.0853713667</v>
      </c>
      <c r="N23" s="1">
        <f t="shared" ref="N23:O23" si="9">N15</f>
        <v>3633.0270648488222</v>
      </c>
      <c r="O23" s="1">
        <f t="shared" si="9"/>
        <v>5617.4371592839016</v>
      </c>
      <c r="P23" s="1">
        <f t="shared" si="8"/>
        <v>12555.351115637459</v>
      </c>
      <c r="Q23" s="1">
        <f>E23-SUM(F23:P23)</f>
        <v>0</v>
      </c>
      <c r="R23" s="1"/>
      <c r="S23" t="s">
        <v>41</v>
      </c>
    </row>
    <row r="24" spans="1:24" x14ac:dyDescent="0.2">
      <c r="A24" s="15">
        <f>+A23+1</f>
        <v>11</v>
      </c>
      <c r="B24" s="10"/>
      <c r="C24" s="10" t="s">
        <v>6</v>
      </c>
      <c r="D24" s="10"/>
      <c r="E24" s="120">
        <f>'FUN-3 (Functional COS)'!H224*-1</f>
        <v>-236382.56</v>
      </c>
      <c r="F24" s="120">
        <f>'FUN-3 (Functional COS)'!I224*-1</f>
        <v>-891.61113462978017</v>
      </c>
      <c r="G24" s="120">
        <f>'FUN-3 (Functional COS)'!J224*-1</f>
        <v>-5936.782083728609</v>
      </c>
      <c r="H24" s="120">
        <f>'FUN-3 (Functional COS)'!K224*-1</f>
        <v>-18824.461422041535</v>
      </c>
      <c r="I24" s="120">
        <f>'FUN-3 (Functional COS)'!L224*-1</f>
        <v>-16291.34493662639</v>
      </c>
      <c r="J24" s="120">
        <f>'FUN-3 (Functional COS)'!M224*-1</f>
        <v>-8742.2128454942831</v>
      </c>
      <c r="K24" s="120">
        <f>'FUN-3 (Functional COS)'!N224*-1</f>
        <v>-1098.9836174853765</v>
      </c>
      <c r="L24" s="120">
        <f>'FUN-3 (Functional COS)'!O224*-1</f>
        <v>-42.543282541183437</v>
      </c>
      <c r="M24" s="120">
        <f>'FUN-3 (Functional COS)'!P224*-1</f>
        <v>-184404.84656107912</v>
      </c>
      <c r="N24" s="120">
        <f>'FUN-3 (Functional COS)'!Q224*-1</f>
        <v>-24.365093717086648</v>
      </c>
      <c r="O24" s="120">
        <f>'FUN-3 (Functional COS)'!R224*-1</f>
        <v>-37.673648005562711</v>
      </c>
      <c r="P24" s="120">
        <f>'FUN-3 (Functional COS)'!S224*-1</f>
        <v>-87.735374651050364</v>
      </c>
      <c r="Q24" s="120">
        <f>E24-SUM(F24:P24)</f>
        <v>0</v>
      </c>
      <c r="R24" s="120"/>
      <c r="S24" s="10" t="s">
        <v>570</v>
      </c>
      <c r="T24" s="10"/>
      <c r="U24" s="10"/>
      <c r="V24" s="10"/>
      <c r="W24" s="10"/>
      <c r="X24" s="10"/>
    </row>
    <row r="25" spans="1:24" x14ac:dyDescent="0.2">
      <c r="A25" s="14">
        <f>+A24+1</f>
        <v>12</v>
      </c>
      <c r="B25" s="6" t="s">
        <v>5</v>
      </c>
      <c r="C25" s="6"/>
      <c r="D25" s="6"/>
      <c r="E25" s="7">
        <f>SUM(E22:E24)</f>
        <v>39244301.447882377</v>
      </c>
      <c r="F25" s="7">
        <f t="shared" ref="F25:P25" si="10">SUM(F22:F24)</f>
        <v>960489.31684132735</v>
      </c>
      <c r="G25" s="7">
        <f t="shared" si="10"/>
        <v>3799303.0458260239</v>
      </c>
      <c r="H25" s="7">
        <f t="shared" si="10"/>
        <v>12046902.279404316</v>
      </c>
      <c r="I25" s="7">
        <f t="shared" si="10"/>
        <v>10480067.85328407</v>
      </c>
      <c r="J25" s="7">
        <f t="shared" si="10"/>
        <v>6398864.4457139391</v>
      </c>
      <c r="K25" s="7">
        <f t="shared" si="10"/>
        <v>685837.29917142587</v>
      </c>
      <c r="L25" s="7">
        <f t="shared" si="10"/>
        <v>19501.873094635601</v>
      </c>
      <c r="M25" s="7">
        <f t="shared" si="10"/>
        <v>4277920.4394488791</v>
      </c>
      <c r="N25" s="7">
        <f t="shared" ref="N25:O25" si="11">SUM(N22:N24)</f>
        <v>81358.371134478264</v>
      </c>
      <c r="O25" s="7">
        <f t="shared" si="11"/>
        <v>125797.44908909629</v>
      </c>
      <c r="P25" s="7">
        <f t="shared" si="10"/>
        <v>368259.07487418462</v>
      </c>
      <c r="Q25" s="7">
        <f>E25-SUM(F25:P25)</f>
        <v>0</v>
      </c>
      <c r="R25" s="7"/>
      <c r="S25" t="s">
        <v>42</v>
      </c>
    </row>
    <row r="26" spans="1:24" x14ac:dyDescent="0.2">
      <c r="A26" s="14"/>
      <c r="E26" s="1"/>
    </row>
    <row r="27" spans="1:24" x14ac:dyDescent="0.2">
      <c r="A27" s="14">
        <f>+A25+1</f>
        <v>13</v>
      </c>
      <c r="B27" s="6" t="s">
        <v>10</v>
      </c>
      <c r="C27" s="6"/>
      <c r="D27" s="6"/>
      <c r="E27" s="129">
        <f>E29/E17</f>
        <v>7.7824511513630845E-2</v>
      </c>
      <c r="F27" s="136">
        <v>7.7824511513630873E-2</v>
      </c>
      <c r="G27" s="109">
        <f>$F27</f>
        <v>7.7824511513630873E-2</v>
      </c>
      <c r="H27" s="109">
        <f t="shared" ref="H27:P27" si="12">$F27</f>
        <v>7.7824511513630873E-2</v>
      </c>
      <c r="I27" s="109">
        <f t="shared" si="12"/>
        <v>7.7824511513630873E-2</v>
      </c>
      <c r="J27" s="109">
        <f t="shared" si="12"/>
        <v>7.7824511513630873E-2</v>
      </c>
      <c r="K27" s="109">
        <f t="shared" si="12"/>
        <v>7.7824511513630873E-2</v>
      </c>
      <c r="L27" s="109">
        <f t="shared" si="12"/>
        <v>7.7824511513630873E-2</v>
      </c>
      <c r="M27" s="109">
        <f t="shared" si="12"/>
        <v>7.7824511513630873E-2</v>
      </c>
      <c r="N27" s="109">
        <f t="shared" si="12"/>
        <v>7.7824511513630873E-2</v>
      </c>
      <c r="O27" s="109">
        <f t="shared" si="12"/>
        <v>7.7824511513630873E-2</v>
      </c>
      <c r="P27" s="109">
        <f t="shared" si="12"/>
        <v>7.7824511513630873E-2</v>
      </c>
      <c r="Q27" s="129"/>
      <c r="R27" s="129"/>
      <c r="S27" t="s">
        <v>893</v>
      </c>
    </row>
    <row r="28" spans="1:24" x14ac:dyDescent="0.2">
      <c r="A28" s="14"/>
    </row>
    <row r="29" spans="1:24" x14ac:dyDescent="0.2">
      <c r="A29" s="14">
        <f>+A27+1</f>
        <v>14</v>
      </c>
      <c r="B29" t="s">
        <v>4</v>
      </c>
      <c r="E29" s="108">
        <f>SUM(F29:P29)</f>
        <v>15444828.205247186</v>
      </c>
      <c r="F29" s="108">
        <f>F17*F27</f>
        <v>337524.22764417314</v>
      </c>
      <c r="G29" s="108">
        <f t="shared" ref="G29:P29" si="13">G17*G27</f>
        <v>1718735.9993883388</v>
      </c>
      <c r="H29" s="108">
        <f>H17*H27</f>
        <v>5449800.7605560636</v>
      </c>
      <c r="I29" s="108">
        <f t="shared" si="13"/>
        <v>4712060.5195485828</v>
      </c>
      <c r="J29" s="108">
        <f t="shared" si="13"/>
        <v>2553391.0089897802</v>
      </c>
      <c r="K29" s="108">
        <f t="shared" si="13"/>
        <v>321970.1579294831</v>
      </c>
      <c r="L29" s="108">
        <f t="shared" si="13"/>
        <v>12532.760412751335</v>
      </c>
      <c r="M29" s="108">
        <f t="shared" si="13"/>
        <v>299007.09489494137</v>
      </c>
      <c r="N29" s="108">
        <f>N17*N27</f>
        <v>6631.9509527370674</v>
      </c>
      <c r="O29" s="108">
        <f t="shared" ref="O29" si="14">O17*O27</f>
        <v>10254.415135221043</v>
      </c>
      <c r="P29" s="108">
        <f t="shared" si="13"/>
        <v>22919.309795112989</v>
      </c>
      <c r="Q29" s="108">
        <f>E29-SUM(F29:P29)</f>
        <v>0</v>
      </c>
      <c r="R29" s="108"/>
      <c r="S29" t="s">
        <v>43</v>
      </c>
    </row>
    <row r="30" spans="1:24" x14ac:dyDescent="0.2">
      <c r="A30" s="14"/>
      <c r="E30" s="108"/>
      <c r="F30" s="108"/>
      <c r="G30" s="108"/>
      <c r="H30" s="108"/>
      <c r="I30" s="108"/>
      <c r="J30" s="108"/>
      <c r="K30" s="108"/>
      <c r="L30" s="108"/>
      <c r="M30" s="108"/>
      <c r="N30" s="108"/>
      <c r="O30" s="108"/>
      <c r="P30" s="108"/>
      <c r="Q30" s="108"/>
      <c r="R30" s="108"/>
    </row>
    <row r="31" spans="1:24" x14ac:dyDescent="0.2">
      <c r="A31" s="14">
        <f>+A29+1</f>
        <v>15</v>
      </c>
      <c r="B31" s="6" t="s">
        <v>3</v>
      </c>
      <c r="C31" s="6"/>
      <c r="D31" s="6"/>
      <c r="E31" s="41">
        <f>SUM(F31:P31)</f>
        <v>48084868.624572285</v>
      </c>
      <c r="F31" s="41">
        <f>F25+((F29-F23)/(1-$E$40))</f>
        <v>1153687.0376961925</v>
      </c>
      <c r="G31" s="41">
        <f t="shared" ref="G31:N31" si="15">G25+((G29-G23)/(1-$E$40))</f>
        <v>4783101.6908912826</v>
      </c>
      <c r="H31" s="41">
        <f t="shared" si="15"/>
        <v>15166349.714041587</v>
      </c>
      <c r="I31" s="41">
        <f t="shared" si="15"/>
        <v>13177235.281118916</v>
      </c>
      <c r="J31" s="41">
        <f t="shared" si="15"/>
        <v>7860416.7817678377</v>
      </c>
      <c r="K31" s="41">
        <f t="shared" si="15"/>
        <v>870131.92338084418</v>
      </c>
      <c r="L31" s="41">
        <f t="shared" si="15"/>
        <v>26675.582563326636</v>
      </c>
      <c r="M31" s="41">
        <f t="shared" si="15"/>
        <v>4449071.0844154293</v>
      </c>
      <c r="N31" s="41">
        <f t="shared" si="15"/>
        <v>85154.477321678569</v>
      </c>
      <c r="O31" s="41">
        <f t="shared" ref="O31" si="16">O25+((O29-O23)/(1-$E$40))</f>
        <v>131667.04146370027</v>
      </c>
      <c r="P31" s="41">
        <f>P25+((P29-P23)/(1-$E$40))</f>
        <v>381378.00991149544</v>
      </c>
      <c r="Q31" s="41">
        <f>E31-SUM(F31:P31)</f>
        <v>0</v>
      </c>
      <c r="R31" s="41"/>
      <c r="S31" t="s">
        <v>849</v>
      </c>
    </row>
    <row r="32" spans="1:24" x14ac:dyDescent="0.2">
      <c r="A32" s="14">
        <f>+A31+1</f>
        <v>16</v>
      </c>
      <c r="B32" s="6" t="s">
        <v>2</v>
      </c>
      <c r="C32" s="6"/>
      <c r="D32" s="6"/>
      <c r="E32" s="133">
        <f>SUM(F32:P32)</f>
        <v>1.0000000000000002</v>
      </c>
      <c r="F32" s="133">
        <f t="shared" ref="F32:P32" si="17">F31/$E31</f>
        <v>2.3992725168986661E-2</v>
      </c>
      <c r="G32" s="133">
        <f t="shared" si="17"/>
        <v>9.947207568010337E-2</v>
      </c>
      <c r="H32" s="133">
        <f t="shared" si="17"/>
        <v>0.31540794740346434</v>
      </c>
      <c r="I32" s="133">
        <f t="shared" si="17"/>
        <v>0.2740412037724711</v>
      </c>
      <c r="J32" s="133">
        <f t="shared" si="17"/>
        <v>0.16346965285771864</v>
      </c>
      <c r="K32" s="133">
        <f t="shared" si="17"/>
        <v>1.8095753368372314E-2</v>
      </c>
      <c r="L32" s="133">
        <f t="shared" si="17"/>
        <v>5.5476043350766071E-4</v>
      </c>
      <c r="M32" s="133">
        <f t="shared" si="17"/>
        <v>9.2525387126499686E-2</v>
      </c>
      <c r="N32" s="133">
        <f t="shared" ref="N32:O32" si="18">N31/$E31</f>
        <v>1.7709204528878137E-3</v>
      </c>
      <c r="O32" s="133">
        <f t="shared" si="18"/>
        <v>2.7382219236513814E-3</v>
      </c>
      <c r="P32" s="133">
        <f t="shared" si="17"/>
        <v>7.9313518123371556E-3</v>
      </c>
      <c r="Q32" s="235"/>
      <c r="R32" s="235"/>
      <c r="S32" t="s">
        <v>851</v>
      </c>
    </row>
    <row r="33" spans="1:19" x14ac:dyDescent="0.2">
      <c r="A33" s="14"/>
      <c r="B33" s="6"/>
      <c r="C33" s="6"/>
      <c r="D33" s="6"/>
      <c r="E33" s="7"/>
      <c r="F33" s="235"/>
      <c r="G33" s="235"/>
      <c r="H33" s="235"/>
      <c r="I33" s="235"/>
      <c r="J33" s="235"/>
      <c r="K33" s="235"/>
      <c r="L33" s="235"/>
      <c r="M33" s="235"/>
      <c r="N33" s="235"/>
      <c r="O33" s="235"/>
      <c r="P33" s="235"/>
      <c r="Q33" s="235"/>
      <c r="R33" s="235"/>
    </row>
    <row r="34" spans="1:19" x14ac:dyDescent="0.2">
      <c r="A34" s="14">
        <f>+A32+1</f>
        <v>17</v>
      </c>
      <c r="B34" s="6" t="s">
        <v>1054</v>
      </c>
      <c r="E34" s="41">
        <v>68203.226809150219</v>
      </c>
      <c r="F34" s="1">
        <f>(F31-F25)/($E31-$E25)*$E$34</f>
        <v>1490.4821954431313</v>
      </c>
      <c r="G34" s="1">
        <f t="shared" ref="G34:P34" si="19">(G31-G25)/($E31-$E25)*$E$34</f>
        <v>7589.8119184976877</v>
      </c>
      <c r="H34" s="1">
        <f t="shared" si="19"/>
        <v>24065.919827493239</v>
      </c>
      <c r="I34" s="1">
        <f t="shared" si="19"/>
        <v>20808.113116080534</v>
      </c>
      <c r="J34" s="1">
        <f t="shared" si="19"/>
        <v>11275.587128862317</v>
      </c>
      <c r="K34" s="1">
        <f t="shared" si="19"/>
        <v>1421.7965661529358</v>
      </c>
      <c r="L34" s="1">
        <f t="shared" si="19"/>
        <v>55.343749351981749</v>
      </c>
      <c r="M34" s="1">
        <f t="shared" si="19"/>
        <v>1320.393366611642</v>
      </c>
      <c r="N34" s="1">
        <f t="shared" ref="N34:O34" si="20">(N31-N25)/($E31-$E25)*$E$34</f>
        <v>29.286208237849834</v>
      </c>
      <c r="O34" s="1">
        <f t="shared" si="20"/>
        <v>45.282743968952424</v>
      </c>
      <c r="P34" s="1">
        <f t="shared" si="19"/>
        <v>101.20998844999804</v>
      </c>
      <c r="Q34" s="108">
        <f>E34-SUM(F34:P34)</f>
        <v>0</v>
      </c>
      <c r="R34" s="108"/>
      <c r="S34" t="s">
        <v>852</v>
      </c>
    </row>
    <row r="35" spans="1:19" x14ac:dyDescent="0.2">
      <c r="A35" s="14"/>
      <c r="E35" s="41"/>
      <c r="F35" s="203"/>
      <c r="G35" s="203"/>
      <c r="H35" s="203"/>
      <c r="I35" s="203"/>
      <c r="J35" s="203"/>
      <c r="K35" s="203"/>
      <c r="L35" s="203"/>
      <c r="M35" s="203"/>
      <c r="N35" s="203"/>
      <c r="O35" s="203"/>
      <c r="P35" s="203"/>
      <c r="Q35" s="203"/>
      <c r="R35" s="203"/>
    </row>
    <row r="36" spans="1:19" x14ac:dyDescent="0.2">
      <c r="A36" s="14">
        <f>+A34+1</f>
        <v>18</v>
      </c>
      <c r="B36" s="6" t="s">
        <v>1</v>
      </c>
      <c r="E36" s="41">
        <f>SUM(F36:P36)</f>
        <v>48153071.851381443</v>
      </c>
      <c r="F36" s="41">
        <f>F31+F34</f>
        <v>1155177.5198916357</v>
      </c>
      <c r="G36" s="41">
        <f t="shared" ref="G36:P36" si="21">G31+G34</f>
        <v>4790691.5028097806</v>
      </c>
      <c r="H36" s="41">
        <f t="shared" si="21"/>
        <v>15190415.63386908</v>
      </c>
      <c r="I36" s="41">
        <f t="shared" si="21"/>
        <v>13198043.394234996</v>
      </c>
      <c r="J36" s="41">
        <f t="shared" si="21"/>
        <v>7871692.3688967004</v>
      </c>
      <c r="K36" s="41">
        <f t="shared" si="21"/>
        <v>871553.71994699712</v>
      </c>
      <c r="L36" s="41">
        <f t="shared" si="21"/>
        <v>26730.926312678617</v>
      </c>
      <c r="M36" s="41">
        <f t="shared" si="21"/>
        <v>4450391.4777820408</v>
      </c>
      <c r="N36" s="41">
        <f t="shared" si="21"/>
        <v>85183.763529916425</v>
      </c>
      <c r="O36" s="41">
        <f t="shared" ref="O36" si="22">O31+O34</f>
        <v>131712.32420766921</v>
      </c>
      <c r="P36" s="41">
        <f t="shared" si="21"/>
        <v>381479.21989994543</v>
      </c>
      <c r="Q36" s="41">
        <f>E36-SUM(F36:P36)</f>
        <v>0</v>
      </c>
      <c r="R36" s="41"/>
      <c r="S36" t="s">
        <v>853</v>
      </c>
    </row>
    <row r="37" spans="1:19" x14ac:dyDescent="0.2">
      <c r="A37" s="14"/>
      <c r="E37" s="1"/>
      <c r="F37" s="129"/>
    </row>
    <row r="38" spans="1:19" x14ac:dyDescent="0.2">
      <c r="A38" s="14">
        <f>+A36+1</f>
        <v>19</v>
      </c>
      <c r="B38" s="6" t="s">
        <v>0</v>
      </c>
      <c r="C38" s="6"/>
      <c r="D38" s="6"/>
      <c r="E38" s="41">
        <f>E25-E36</f>
        <v>-8908770.4034990668</v>
      </c>
      <c r="F38" s="41">
        <f t="shared" ref="F38:N38" si="23">F25-F36</f>
        <v>-194688.2030503084</v>
      </c>
      <c r="G38" s="41">
        <f t="shared" si="23"/>
        <v>-991388.45698375674</v>
      </c>
      <c r="H38" s="41">
        <f t="shared" si="23"/>
        <v>-3143513.3544647638</v>
      </c>
      <c r="I38" s="41">
        <f t="shared" si="23"/>
        <v>-2717975.540950926</v>
      </c>
      <c r="J38" s="41">
        <f t="shared" si="23"/>
        <v>-1472827.9231827613</v>
      </c>
      <c r="K38" s="41">
        <f t="shared" si="23"/>
        <v>-185716.42077557126</v>
      </c>
      <c r="L38" s="41">
        <f t="shared" si="23"/>
        <v>-7229.0532180430164</v>
      </c>
      <c r="M38" s="41">
        <f t="shared" si="23"/>
        <v>-172471.03833316173</v>
      </c>
      <c r="N38" s="41">
        <f t="shared" si="23"/>
        <v>-3825.3923954381607</v>
      </c>
      <c r="O38" s="41">
        <f>O25-O36</f>
        <v>-5914.8751185729197</v>
      </c>
      <c r="P38" s="41">
        <f>P25-P36</f>
        <v>-13220.145025760808</v>
      </c>
      <c r="Q38" s="41">
        <f>E38-SUM(F38:P38)</f>
        <v>0</v>
      </c>
      <c r="R38" s="41"/>
      <c r="S38" t="s">
        <v>854</v>
      </c>
    </row>
    <row r="39" spans="1:19" x14ac:dyDescent="0.2">
      <c r="A39" s="14"/>
      <c r="E39" s="130"/>
      <c r="F39" s="108"/>
      <c r="G39" s="108"/>
      <c r="H39" s="108"/>
      <c r="I39" s="108"/>
      <c r="J39" s="108"/>
      <c r="K39" s="108"/>
      <c r="L39" s="108"/>
      <c r="M39" s="108"/>
      <c r="N39" s="108"/>
      <c r="O39" s="108"/>
      <c r="P39" s="108"/>
    </row>
    <row r="40" spans="1:19" x14ac:dyDescent="0.2">
      <c r="A40" s="14">
        <f>+A38+1</f>
        <v>20</v>
      </c>
      <c r="B40" t="s">
        <v>571</v>
      </c>
      <c r="E40" s="236">
        <v>0.21</v>
      </c>
      <c r="F40" s="118"/>
      <c r="G40" s="118"/>
      <c r="H40" s="237"/>
      <c r="I40" s="109"/>
      <c r="J40" s="109"/>
      <c r="K40" s="109"/>
      <c r="L40" s="109"/>
      <c r="M40" s="109"/>
      <c r="N40" s="109"/>
      <c r="O40" s="109"/>
      <c r="P40" s="109"/>
    </row>
    <row r="41" spans="1:19" x14ac:dyDescent="0.2">
      <c r="E41" s="5"/>
      <c r="F41" s="109"/>
      <c r="G41" s="109"/>
      <c r="H41" s="109"/>
      <c r="I41" s="109"/>
      <c r="J41" s="109"/>
      <c r="K41" s="109"/>
      <c r="L41" s="109"/>
      <c r="M41" s="109"/>
      <c r="N41" s="109"/>
      <c r="O41" s="109"/>
      <c r="P41" s="109"/>
    </row>
    <row r="42" spans="1:19" x14ac:dyDescent="0.2">
      <c r="D42" s="1"/>
      <c r="E42" t="s">
        <v>850</v>
      </c>
    </row>
    <row r="43" spans="1:19" x14ac:dyDescent="0.2">
      <c r="E43" t="s">
        <v>864</v>
      </c>
    </row>
    <row r="44" spans="1:19" x14ac:dyDescent="0.2">
      <c r="D44" s="1"/>
    </row>
    <row r="45" spans="1:19" x14ac:dyDescent="0.2">
      <c r="E45" t="s">
        <v>1109</v>
      </c>
      <c r="F45" s="160"/>
      <c r="G45" s="160"/>
      <c r="H45" s="160"/>
      <c r="I45" s="160"/>
      <c r="J45" s="160"/>
      <c r="K45" s="160"/>
      <c r="L45" s="160"/>
      <c r="M45" s="160"/>
    </row>
    <row r="46" spans="1:19" x14ac:dyDescent="0.2">
      <c r="E46" t="s">
        <v>572</v>
      </c>
      <c r="F46" s="160"/>
      <c r="G46" s="160"/>
      <c r="H46" s="160"/>
      <c r="I46" s="160"/>
      <c r="J46" s="160"/>
      <c r="K46" s="160"/>
      <c r="L46" s="160"/>
      <c r="M46" s="160"/>
    </row>
    <row r="47" spans="1:19" x14ac:dyDescent="0.2">
      <c r="K47" s="2"/>
      <c r="L47" s="2"/>
    </row>
    <row r="48" spans="1:19" x14ac:dyDescent="0.2">
      <c r="E48" t="s">
        <v>46</v>
      </c>
    </row>
    <row r="49" spans="5:5" x14ac:dyDescent="0.2">
      <c r="E49" s="238" t="s">
        <v>865</v>
      </c>
    </row>
  </sheetData>
  <pageMargins left="0.7" right="0.7" top="1.36" bottom="0.75" header="0.3" footer="0.3"/>
  <pageSetup scale="68" fitToWidth="2" orientation="landscape" useFirstPageNumber="1" horizontalDpi="4294967292" r:id="rId1"/>
  <headerFooter alignWithMargins="0">
    <oddHeader>&amp;CRULE 20:10:13:98
STATEMENT O - Tab &amp;A
Functional Cost of Service Results
Test Year Ending December 31, 2025
Utility: MidAmerican Energy Company
Docket No. NG26-___
Individual Responsible: Stephen Stratton&amp;RPage &amp;P of &amp;N</oddHeader>
  </headerFooter>
  <colBreaks count="1" manualBreakCount="1">
    <brk id="12" max="48"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F874A-C283-4851-B293-07FFB99DD6E3}">
  <sheetPr codeName="Sheet11"/>
  <dimension ref="A1:K44"/>
  <sheetViews>
    <sheetView view="pageLayout" zoomScaleNormal="100" workbookViewId="0">
      <selection activeCell="D1" sqref="D1"/>
    </sheetView>
  </sheetViews>
  <sheetFormatPr defaultColWidth="9.140625" defaultRowHeight="12.75" x14ac:dyDescent="0.2"/>
  <cols>
    <col min="1" max="1" width="9.140625" style="66"/>
    <col min="2" max="2" width="4.5703125" style="66" customWidth="1"/>
    <col min="3" max="3" width="9" style="66" bestFit="1" customWidth="1"/>
    <col min="4" max="4" width="26" style="66" bestFit="1" customWidth="1"/>
    <col min="5" max="5" width="11.85546875" style="83" customWidth="1"/>
    <col min="6" max="6" width="12.5703125" style="83" customWidth="1"/>
    <col min="7" max="7" width="12.28515625" style="66" customWidth="1"/>
    <col min="8" max="8" width="3.5703125" style="66" customWidth="1"/>
    <col min="9" max="9" width="17.42578125" style="66" customWidth="1"/>
    <col min="10" max="10" width="13.42578125" style="66" bestFit="1" customWidth="1"/>
    <col min="11" max="11" width="12" style="66" customWidth="1"/>
    <col min="12" max="16384" width="9.140625" style="66"/>
  </cols>
  <sheetData>
    <row r="1" spans="1:9" x14ac:dyDescent="0.2">
      <c r="A1" s="291" t="s">
        <v>284</v>
      </c>
      <c r="G1" s="292"/>
      <c r="H1" s="292"/>
    </row>
    <row r="2" spans="1:9" x14ac:dyDescent="0.2">
      <c r="A2" s="291" t="s">
        <v>443</v>
      </c>
    </row>
    <row r="3" spans="1:9" x14ac:dyDescent="0.2">
      <c r="A3" s="291" t="s">
        <v>917</v>
      </c>
    </row>
    <row r="5" spans="1:9" x14ac:dyDescent="0.2">
      <c r="E5" s="293" t="s">
        <v>249</v>
      </c>
      <c r="F5" s="293"/>
      <c r="G5" s="95"/>
    </row>
    <row r="6" spans="1:9" x14ac:dyDescent="0.2">
      <c r="A6" s="295" t="s">
        <v>24</v>
      </c>
      <c r="B6" s="296" t="s">
        <v>918</v>
      </c>
      <c r="C6" s="296" t="s">
        <v>962</v>
      </c>
      <c r="D6" s="296" t="s">
        <v>920</v>
      </c>
      <c r="E6" s="296" t="s">
        <v>192</v>
      </c>
      <c r="F6" s="296" t="s">
        <v>175</v>
      </c>
      <c r="G6" s="100" t="s">
        <v>177</v>
      </c>
    </row>
    <row r="7" spans="1:9" x14ac:dyDescent="0.2">
      <c r="A7" s="71"/>
      <c r="B7" s="83" t="s">
        <v>26</v>
      </c>
      <c r="C7" s="83" t="s">
        <v>27</v>
      </c>
      <c r="D7" s="83" t="s">
        <v>28</v>
      </c>
      <c r="E7" s="83" t="s">
        <v>29</v>
      </c>
      <c r="F7" s="95" t="s">
        <v>36</v>
      </c>
      <c r="G7" s="95" t="s">
        <v>30</v>
      </c>
    </row>
    <row r="8" spans="1:9" x14ac:dyDescent="0.2">
      <c r="A8" s="71"/>
      <c r="B8" s="291"/>
    </row>
    <row r="9" spans="1:9" x14ac:dyDescent="0.2">
      <c r="A9" s="71">
        <v>1</v>
      </c>
      <c r="B9" t="s">
        <v>921</v>
      </c>
      <c r="C9" t="s">
        <v>963</v>
      </c>
      <c r="D9" t="s">
        <v>964</v>
      </c>
      <c r="E9" t="s">
        <v>434</v>
      </c>
      <c r="F9" s="190">
        <v>3</v>
      </c>
      <c r="G9" s="335">
        <v>12</v>
      </c>
      <c r="I9" s="85"/>
    </row>
    <row r="10" spans="1:9" x14ac:dyDescent="0.2">
      <c r="A10" s="71">
        <f>+A9+1</f>
        <v>2</v>
      </c>
      <c r="B10" t="s">
        <v>921</v>
      </c>
      <c r="C10" t="s">
        <v>963</v>
      </c>
      <c r="D10" t="s">
        <v>964</v>
      </c>
      <c r="E10" t="s">
        <v>666</v>
      </c>
      <c r="F10" s="190">
        <v>2</v>
      </c>
      <c r="G10" s="335">
        <v>17820</v>
      </c>
    </row>
    <row r="11" spans="1:9" x14ac:dyDescent="0.2">
      <c r="A11" s="331">
        <f t="shared" ref="A11:A24" si="0">A10+1</f>
        <v>3</v>
      </c>
      <c r="B11" t="s">
        <v>921</v>
      </c>
      <c r="C11" t="s">
        <v>963</v>
      </c>
      <c r="D11" t="s">
        <v>964</v>
      </c>
      <c r="E11" t="s">
        <v>670</v>
      </c>
      <c r="F11" s="190">
        <v>1</v>
      </c>
      <c r="G11" s="335">
        <v>123</v>
      </c>
    </row>
    <row r="12" spans="1:9" x14ac:dyDescent="0.2">
      <c r="A12" s="71">
        <f t="shared" si="0"/>
        <v>4</v>
      </c>
      <c r="B12" t="s">
        <v>921</v>
      </c>
      <c r="C12" t="s">
        <v>963</v>
      </c>
      <c r="D12" t="s">
        <v>964</v>
      </c>
      <c r="E12" t="s">
        <v>435</v>
      </c>
      <c r="F12" s="190">
        <v>1</v>
      </c>
      <c r="G12" s="335">
        <v>42</v>
      </c>
      <c r="H12" s="85"/>
    </row>
    <row r="13" spans="1:9" x14ac:dyDescent="0.2">
      <c r="A13" s="71">
        <f t="shared" si="0"/>
        <v>5</v>
      </c>
      <c r="B13" t="s">
        <v>921</v>
      </c>
      <c r="C13" t="s">
        <v>963</v>
      </c>
      <c r="D13" t="s">
        <v>964</v>
      </c>
      <c r="E13" t="s">
        <v>436</v>
      </c>
      <c r="F13" s="190">
        <v>1</v>
      </c>
      <c r="G13" s="335">
        <v>26</v>
      </c>
      <c r="I13" s="85"/>
    </row>
    <row r="14" spans="1:9" x14ac:dyDescent="0.2">
      <c r="A14" s="71">
        <f t="shared" si="0"/>
        <v>6</v>
      </c>
      <c r="B14" t="s">
        <v>921</v>
      </c>
      <c r="C14" t="s">
        <v>963</v>
      </c>
      <c r="D14" t="s">
        <v>964</v>
      </c>
      <c r="E14" t="s">
        <v>668</v>
      </c>
      <c r="F14" s="190">
        <v>1</v>
      </c>
      <c r="G14" s="335">
        <v>117350</v>
      </c>
    </row>
    <row r="15" spans="1:9" x14ac:dyDescent="0.2">
      <c r="A15" s="71">
        <f t="shared" si="0"/>
        <v>7</v>
      </c>
      <c r="B15" t="s">
        <v>921</v>
      </c>
      <c r="C15" t="s">
        <v>965</v>
      </c>
      <c r="D15" t="s">
        <v>966</v>
      </c>
      <c r="E15" t="s">
        <v>665</v>
      </c>
      <c r="F15" s="190">
        <v>3</v>
      </c>
      <c r="G15" s="335">
        <v>243</v>
      </c>
    </row>
    <row r="16" spans="1:9" x14ac:dyDescent="0.2">
      <c r="A16" s="71">
        <f t="shared" si="0"/>
        <v>8</v>
      </c>
      <c r="B16" t="s">
        <v>921</v>
      </c>
      <c r="C16" t="s">
        <v>965</v>
      </c>
      <c r="D16" t="s">
        <v>966</v>
      </c>
      <c r="E16" t="s">
        <v>438</v>
      </c>
      <c r="F16" s="190">
        <v>2</v>
      </c>
      <c r="G16" s="335">
        <v>4386</v>
      </c>
    </row>
    <row r="17" spans="1:11" x14ac:dyDescent="0.2">
      <c r="A17" s="71">
        <f t="shared" si="0"/>
        <v>9</v>
      </c>
      <c r="B17" t="s">
        <v>921</v>
      </c>
      <c r="C17" t="s">
        <v>965</v>
      </c>
      <c r="D17" t="s">
        <v>966</v>
      </c>
      <c r="E17" t="s">
        <v>667</v>
      </c>
      <c r="F17" s="190">
        <v>2</v>
      </c>
      <c r="G17" s="335">
        <v>994</v>
      </c>
    </row>
    <row r="18" spans="1:11" x14ac:dyDescent="0.2">
      <c r="A18" s="71">
        <f t="shared" si="0"/>
        <v>10</v>
      </c>
      <c r="B18" t="s">
        <v>921</v>
      </c>
      <c r="C18" t="s">
        <v>965</v>
      </c>
      <c r="D18" t="s">
        <v>966</v>
      </c>
      <c r="E18" t="s">
        <v>439</v>
      </c>
      <c r="F18" s="190">
        <v>1</v>
      </c>
      <c r="G18" s="335">
        <v>1352</v>
      </c>
    </row>
    <row r="19" spans="1:11" x14ac:dyDescent="0.2">
      <c r="A19" s="331">
        <f t="shared" si="0"/>
        <v>11</v>
      </c>
      <c r="B19" t="s">
        <v>921</v>
      </c>
      <c r="C19" t="s">
        <v>965</v>
      </c>
      <c r="D19" t="s">
        <v>966</v>
      </c>
      <c r="E19" t="s">
        <v>927</v>
      </c>
      <c r="F19" s="190"/>
      <c r="G19" s="335"/>
      <c r="H19" s="173"/>
    </row>
    <row r="20" spans="1:11" x14ac:dyDescent="0.2">
      <c r="A20" s="71">
        <f t="shared" si="0"/>
        <v>12</v>
      </c>
      <c r="B20" t="s">
        <v>921</v>
      </c>
      <c r="C20" t="s">
        <v>967</v>
      </c>
      <c r="D20" t="s">
        <v>968</v>
      </c>
      <c r="E20" t="s">
        <v>666</v>
      </c>
      <c r="F20" s="190">
        <v>2</v>
      </c>
      <c r="G20" s="335">
        <v>270</v>
      </c>
    </row>
    <row r="21" spans="1:11" x14ac:dyDescent="0.2">
      <c r="A21" s="71">
        <f>A20+1</f>
        <v>13</v>
      </c>
      <c r="B21" t="s">
        <v>921</v>
      </c>
      <c r="C21" t="s">
        <v>967</v>
      </c>
      <c r="D21" t="s">
        <v>968</v>
      </c>
      <c r="E21" t="s">
        <v>436</v>
      </c>
      <c r="F21" s="190">
        <v>1</v>
      </c>
      <c r="G21" s="335">
        <v>36</v>
      </c>
    </row>
    <row r="22" spans="1:11" x14ac:dyDescent="0.2">
      <c r="A22" s="71">
        <f t="shared" si="0"/>
        <v>14</v>
      </c>
      <c r="B22" t="s">
        <v>921</v>
      </c>
      <c r="C22" t="s">
        <v>967</v>
      </c>
      <c r="D22" t="s">
        <v>968</v>
      </c>
      <c r="E22" t="s">
        <v>668</v>
      </c>
      <c r="F22" s="190">
        <v>1</v>
      </c>
      <c r="G22" s="335">
        <v>215</v>
      </c>
    </row>
    <row r="23" spans="1:11" x14ac:dyDescent="0.2">
      <c r="A23" s="71">
        <f t="shared" si="0"/>
        <v>15</v>
      </c>
      <c r="B23" t="s">
        <v>921</v>
      </c>
      <c r="C23" t="s">
        <v>969</v>
      </c>
      <c r="D23" t="s">
        <v>970</v>
      </c>
      <c r="E23" t="s">
        <v>670</v>
      </c>
      <c r="F23" s="190">
        <v>1</v>
      </c>
      <c r="G23" s="335">
        <v>1633</v>
      </c>
    </row>
    <row r="24" spans="1:11" x14ac:dyDescent="0.2">
      <c r="A24" s="71">
        <f t="shared" si="0"/>
        <v>16</v>
      </c>
      <c r="B24" t="s">
        <v>921</v>
      </c>
      <c r="C24" t="s">
        <v>969</v>
      </c>
      <c r="D24" t="s">
        <v>970</v>
      </c>
      <c r="E24" t="s">
        <v>668</v>
      </c>
      <c r="F24" s="190">
        <v>1</v>
      </c>
      <c r="G24" s="335">
        <v>1224430</v>
      </c>
    </row>
    <row r="25" spans="1:11" x14ac:dyDescent="0.2">
      <c r="A25" s="71"/>
      <c r="B25" t="s">
        <v>921</v>
      </c>
      <c r="C25" t="s">
        <v>965</v>
      </c>
      <c r="D25" t="s">
        <v>966</v>
      </c>
      <c r="E25" s="336" t="s">
        <v>669</v>
      </c>
      <c r="F25" s="337">
        <v>1</v>
      </c>
      <c r="G25" s="338">
        <v>0</v>
      </c>
      <c r="H25" s="84"/>
      <c r="K25"/>
    </row>
    <row r="26" spans="1:11" ht="13.5" thickBot="1" x14ac:dyDescent="0.25">
      <c r="A26" s="71">
        <f>A24+1</f>
        <v>17</v>
      </c>
      <c r="B26" s="70"/>
      <c r="C26" s="70"/>
      <c r="D26" s="70" t="s">
        <v>297</v>
      </c>
      <c r="E26" s="95"/>
      <c r="F26" s="95"/>
      <c r="G26" s="339">
        <f>SUM(G9:G25)</f>
        <v>1368932</v>
      </c>
      <c r="H26" s="84"/>
      <c r="I26" s="84"/>
      <c r="J26" s="68"/>
      <c r="K26"/>
    </row>
    <row r="27" spans="1:11" ht="13.5" thickTop="1" x14ac:dyDescent="0.2">
      <c r="A27" s="71"/>
      <c r="J27" s="492" t="s">
        <v>971</v>
      </c>
      <c r="K27"/>
    </row>
    <row r="28" spans="1:11" x14ac:dyDescent="0.2">
      <c r="A28" s="332" t="s">
        <v>24</v>
      </c>
      <c r="B28" s="69"/>
      <c r="C28" s="69"/>
      <c r="D28" s="100" t="s">
        <v>441</v>
      </c>
      <c r="E28" s="100" t="s">
        <v>417</v>
      </c>
      <c r="F28" s="100" t="s">
        <v>418</v>
      </c>
      <c r="G28" s="100" t="s">
        <v>419</v>
      </c>
      <c r="H28" s="100"/>
      <c r="I28" s="100" t="s">
        <v>177</v>
      </c>
      <c r="J28" s="493"/>
      <c r="K28"/>
    </row>
    <row r="29" spans="1:11" x14ac:dyDescent="0.2">
      <c r="A29" s="71"/>
      <c r="D29" s="83" t="s">
        <v>26</v>
      </c>
      <c r="E29" s="83" t="s">
        <v>27</v>
      </c>
      <c r="F29" s="95" t="s">
        <v>28</v>
      </c>
      <c r="G29" s="95" t="s">
        <v>29</v>
      </c>
      <c r="H29" s="95"/>
      <c r="I29" s="95" t="s">
        <v>36</v>
      </c>
      <c r="J29" s="66" t="s">
        <v>30</v>
      </c>
      <c r="K29"/>
    </row>
    <row r="30" spans="1:11" x14ac:dyDescent="0.2">
      <c r="A30" s="71"/>
      <c r="D30" s="83"/>
      <c r="F30" s="95"/>
      <c r="G30" s="95"/>
      <c r="H30" s="95"/>
      <c r="I30" s="95"/>
      <c r="K30"/>
    </row>
    <row r="31" spans="1:11" x14ac:dyDescent="0.2">
      <c r="A31" s="71">
        <f>+A26+1</f>
        <v>18</v>
      </c>
      <c r="D31" s="70" t="s">
        <v>297</v>
      </c>
      <c r="E31" s="298">
        <f>SUMIF($F$9:$F$24,1,$G$9:$G$24)</f>
        <v>1345207</v>
      </c>
      <c r="F31" s="298">
        <f>SUMIF($F$9:$F$24,2,$G$9:$G$24)</f>
        <v>23470</v>
      </c>
      <c r="G31" s="298">
        <f>SUMIF($F$9:$F$24,3,$G$9:$G$24)</f>
        <v>255</v>
      </c>
      <c r="H31" s="298"/>
      <c r="I31" s="68">
        <f>SUM(E31:G31)</f>
        <v>1368932</v>
      </c>
      <c r="J31" s="333">
        <f>+(I31-1250814)/1250814</f>
        <v>9.4432905292073807E-2</v>
      </c>
      <c r="K31"/>
    </row>
    <row r="32" spans="1:11" x14ac:dyDescent="0.2">
      <c r="A32" s="71">
        <f>+A31+1</f>
        <v>19</v>
      </c>
      <c r="D32" s="70" t="s">
        <v>440</v>
      </c>
      <c r="E32" s="298">
        <f>SUMIF($F$20:$F$22,1,$G$20:$G$22)</f>
        <v>251</v>
      </c>
      <c r="F32" s="298">
        <f>SUMIF($F$20:$F$22,2,$G$20:$G$22)</f>
        <v>270</v>
      </c>
      <c r="G32" s="298">
        <f>SUMIF($F$20:$F$22,3,$G$20:$G$22)</f>
        <v>0</v>
      </c>
      <c r="H32" s="298"/>
      <c r="I32" s="68">
        <f>SUM(E32:G32)</f>
        <v>521</v>
      </c>
      <c r="J32" s="333">
        <f>+(I32-617)/617</f>
        <v>-0.15559157212317667</v>
      </c>
      <c r="K32" s="160"/>
    </row>
    <row r="33" spans="1:11" x14ac:dyDescent="0.2">
      <c r="A33" s="71">
        <f t="shared" ref="A33:A34" si="1">+A32+1</f>
        <v>20</v>
      </c>
      <c r="D33" s="70" t="s">
        <v>770</v>
      </c>
      <c r="E33" s="298">
        <f>+G25</f>
        <v>0</v>
      </c>
      <c r="F33" s="298">
        <f>+G17</f>
        <v>994</v>
      </c>
      <c r="G33" s="298">
        <f>+G15</f>
        <v>243</v>
      </c>
      <c r="H33" s="298"/>
      <c r="I33" s="68">
        <f>SUM(E33:G33)</f>
        <v>1237</v>
      </c>
      <c r="J33" s="333">
        <f>+(I33-1563)/1563</f>
        <v>-0.20857325655790146</v>
      </c>
      <c r="K33" s="160"/>
    </row>
    <row r="34" spans="1:11" x14ac:dyDescent="0.2">
      <c r="A34" s="71">
        <f t="shared" si="1"/>
        <v>21</v>
      </c>
      <c r="D34" s="70" t="s">
        <v>771</v>
      </c>
      <c r="E34" s="298">
        <f>G18</f>
        <v>1352</v>
      </c>
      <c r="F34" s="298">
        <f>G16</f>
        <v>4386</v>
      </c>
      <c r="G34" s="298">
        <v>0</v>
      </c>
      <c r="H34" s="298"/>
      <c r="I34" s="68">
        <f t="shared" ref="I34" si="2">SUM(E34:G34)</f>
        <v>5738</v>
      </c>
      <c r="J34" s="333">
        <f>+(I34-4786)/4786</f>
        <v>0.19891349770162975</v>
      </c>
      <c r="K34"/>
    </row>
    <row r="35" spans="1:11" x14ac:dyDescent="0.2">
      <c r="E35" s="334"/>
      <c r="I35" s="5"/>
      <c r="J35"/>
      <c r="K35"/>
    </row>
    <row r="36" spans="1:11" x14ac:dyDescent="0.2">
      <c r="A36" s="66" t="s">
        <v>176</v>
      </c>
      <c r="I36"/>
      <c r="J36"/>
      <c r="K36"/>
    </row>
    <row r="37" spans="1:11" x14ac:dyDescent="0.2">
      <c r="A37" s="66" t="s">
        <v>279</v>
      </c>
      <c r="I37"/>
      <c r="J37"/>
      <c r="K37"/>
    </row>
    <row r="38" spans="1:11" ht="14.25" customHeight="1" x14ac:dyDescent="0.2">
      <c r="A38" s="70" t="s">
        <v>1113</v>
      </c>
      <c r="I38"/>
      <c r="J38"/>
      <c r="K38"/>
    </row>
    <row r="39" spans="1:11" ht="14.25" customHeight="1" x14ac:dyDescent="0.2">
      <c r="A39" s="70"/>
      <c r="I39"/>
      <c r="J39"/>
      <c r="K39"/>
    </row>
    <row r="40" spans="1:11" ht="15" customHeight="1" x14ac:dyDescent="0.2">
      <c r="A40" s="66" t="s">
        <v>1116</v>
      </c>
      <c r="I40"/>
      <c r="J40"/>
      <c r="K40"/>
    </row>
    <row r="41" spans="1:11" x14ac:dyDescent="0.2">
      <c r="I41"/>
      <c r="J41"/>
      <c r="K41"/>
    </row>
    <row r="42" spans="1:11" x14ac:dyDescent="0.2">
      <c r="I42"/>
      <c r="J42"/>
      <c r="K42"/>
    </row>
    <row r="43" spans="1:11" x14ac:dyDescent="0.2">
      <c r="I43"/>
      <c r="J43"/>
      <c r="K43"/>
    </row>
    <row r="44" spans="1:11" x14ac:dyDescent="0.2">
      <c r="I44"/>
      <c r="J44"/>
      <c r="K44"/>
    </row>
  </sheetData>
  <mergeCells count="1">
    <mergeCell ref="J27:J28"/>
  </mergeCells>
  <pageMargins left="0.7" right="0.7" top="1.5306249999999999" bottom="0.75" header="0.3" footer="0.3"/>
  <pageSetup scale="79" fitToHeight="3" orientation="landscape" useFirstPageNumber="1" r:id="rId1"/>
  <headerFooter alignWithMargins="0">
    <oddHeader>&amp;CRULE 20:10:13:98
STATEMENT O WORKPAPER - Tab &amp;A
South Dakota Jurisdictional Customers by Rate Code
Test Year Ending December 31, 2025
Utility: MidAmerican Energy Company
Docket No. NG26-___
Individual Responsible: Stephen Stratton&amp;RPage &amp;P of &amp;N</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920F5-F791-44EC-9820-EEB329318817}">
  <sheetPr codeName="Sheet17"/>
  <dimension ref="B1:V57"/>
  <sheetViews>
    <sheetView view="pageLayout" zoomScaleNormal="100" workbookViewId="0">
      <selection activeCell="C5" sqref="C5"/>
    </sheetView>
  </sheetViews>
  <sheetFormatPr defaultColWidth="9.140625" defaultRowHeight="12.75" x14ac:dyDescent="0.2"/>
  <cols>
    <col min="2" max="2" width="12.140625" bestFit="1" customWidth="1"/>
    <col min="3" max="3" width="8.85546875" bestFit="1" customWidth="1"/>
    <col min="4" max="4" width="23.7109375" bestFit="1" customWidth="1"/>
    <col min="5" max="5" width="10" bestFit="1" customWidth="1"/>
    <col min="6" max="6" width="10" customWidth="1"/>
    <col min="7" max="7" width="13.42578125" bestFit="1" customWidth="1"/>
    <col min="8" max="8" width="3.28515625" customWidth="1"/>
    <col min="9" max="9" width="14.5703125" bestFit="1" customWidth="1"/>
    <col min="10" max="10" width="14.5703125" customWidth="1"/>
    <col min="11" max="19" width="13.42578125" customWidth="1"/>
    <col min="20" max="20" width="13.42578125" bestFit="1" customWidth="1"/>
    <col min="21" max="21" width="14.5703125" bestFit="1" customWidth="1"/>
  </cols>
  <sheetData>
    <row r="1" spans="2:21" x14ac:dyDescent="0.2">
      <c r="B1" t="s">
        <v>918</v>
      </c>
      <c r="C1" t="s">
        <v>972</v>
      </c>
      <c r="D1" t="s">
        <v>973</v>
      </c>
      <c r="E1" t="s">
        <v>974</v>
      </c>
      <c r="F1" t="s">
        <v>175</v>
      </c>
      <c r="G1" t="s">
        <v>975</v>
      </c>
      <c r="I1" t="s">
        <v>976</v>
      </c>
      <c r="J1" t="s">
        <v>977</v>
      </c>
      <c r="K1" t="s">
        <v>978</v>
      </c>
      <c r="L1" t="s">
        <v>979</v>
      </c>
      <c r="M1" t="s">
        <v>980</v>
      </c>
      <c r="N1" t="s">
        <v>981</v>
      </c>
      <c r="O1" t="s">
        <v>982</v>
      </c>
      <c r="P1" t="s">
        <v>983</v>
      </c>
      <c r="Q1" t="s">
        <v>984</v>
      </c>
      <c r="R1" t="s">
        <v>985</v>
      </c>
      <c r="S1" t="s">
        <v>986</v>
      </c>
      <c r="T1" t="s">
        <v>987</v>
      </c>
      <c r="U1" t="s">
        <v>988</v>
      </c>
    </row>
    <row r="2" spans="2:21" x14ac:dyDescent="0.2">
      <c r="B2" t="s">
        <v>26</v>
      </c>
      <c r="C2" t="s">
        <v>27</v>
      </c>
      <c r="D2" t="s">
        <v>28</v>
      </c>
      <c r="E2" t="s">
        <v>29</v>
      </c>
      <c r="F2" t="s">
        <v>36</v>
      </c>
      <c r="G2" t="s">
        <v>30</v>
      </c>
      <c r="I2" t="s">
        <v>31</v>
      </c>
      <c r="J2" t="s">
        <v>32</v>
      </c>
      <c r="K2" t="s">
        <v>33</v>
      </c>
      <c r="L2" t="s">
        <v>34</v>
      </c>
      <c r="M2" t="s">
        <v>35</v>
      </c>
      <c r="N2" t="s">
        <v>157</v>
      </c>
      <c r="O2" t="s">
        <v>158</v>
      </c>
      <c r="P2" t="s">
        <v>159</v>
      </c>
      <c r="Q2" t="s">
        <v>160</v>
      </c>
      <c r="R2" t="s">
        <v>161</v>
      </c>
      <c r="S2" t="s">
        <v>162</v>
      </c>
      <c r="T2" t="s">
        <v>248</v>
      </c>
      <c r="U2" t="s">
        <v>163</v>
      </c>
    </row>
    <row r="4" spans="2:21" x14ac:dyDescent="0.2">
      <c r="B4" t="s">
        <v>921</v>
      </c>
      <c r="C4" t="s">
        <v>922</v>
      </c>
      <c r="D4" t="s">
        <v>923</v>
      </c>
      <c r="E4" t="s">
        <v>434</v>
      </c>
      <c r="F4">
        <v>3</v>
      </c>
      <c r="G4" t="s">
        <v>924</v>
      </c>
      <c r="I4" s="178">
        <v>-109340</v>
      </c>
      <c r="J4" s="178">
        <v>-114621</v>
      </c>
      <c r="K4" s="178">
        <v>-110783</v>
      </c>
      <c r="L4" s="178">
        <v>-90405</v>
      </c>
      <c r="M4" s="178">
        <v>-77068</v>
      </c>
      <c r="N4" s="178">
        <v>-56715</v>
      </c>
      <c r="O4" s="178">
        <v>-46195</v>
      </c>
      <c r="P4" s="178">
        <v>-45931</v>
      </c>
      <c r="Q4" s="178">
        <v>-46708</v>
      </c>
      <c r="R4" s="178">
        <v>-48017</v>
      </c>
      <c r="S4" s="178">
        <v>-65076</v>
      </c>
      <c r="T4" s="178">
        <v>-88013</v>
      </c>
      <c r="U4" s="178">
        <v>-898872</v>
      </c>
    </row>
    <row r="5" spans="2:21" x14ac:dyDescent="0.2">
      <c r="B5" t="s">
        <v>921</v>
      </c>
      <c r="C5" t="s">
        <v>922</v>
      </c>
      <c r="D5" t="s">
        <v>923</v>
      </c>
      <c r="E5" t="s">
        <v>666</v>
      </c>
      <c r="F5">
        <v>2</v>
      </c>
      <c r="G5" t="s">
        <v>924</v>
      </c>
      <c r="I5" s="178">
        <v>-4589353</v>
      </c>
      <c r="J5" s="178">
        <v>-4029345</v>
      </c>
      <c r="K5" s="178">
        <v>-3118637</v>
      </c>
      <c r="L5" s="178">
        <v>-2022923</v>
      </c>
      <c r="M5" s="178">
        <v>-1117869</v>
      </c>
      <c r="N5" s="178">
        <v>-824205</v>
      </c>
      <c r="O5" s="178">
        <v>-619092</v>
      </c>
      <c r="P5" s="178">
        <v>-614008</v>
      </c>
      <c r="Q5" s="178">
        <v>-716897</v>
      </c>
      <c r="R5" s="178">
        <v>-838484</v>
      </c>
      <c r="S5" s="178">
        <v>-1445296</v>
      </c>
      <c r="T5" s="178">
        <v>-3408310</v>
      </c>
      <c r="U5" s="178">
        <v>-23344419</v>
      </c>
    </row>
    <row r="6" spans="2:21" x14ac:dyDescent="0.2">
      <c r="B6" t="s">
        <v>921</v>
      </c>
      <c r="C6" t="s">
        <v>922</v>
      </c>
      <c r="D6" t="s">
        <v>923</v>
      </c>
      <c r="E6" t="s">
        <v>670</v>
      </c>
      <c r="F6">
        <v>1</v>
      </c>
      <c r="G6" t="s">
        <v>924</v>
      </c>
      <c r="I6" s="178">
        <v>-3862</v>
      </c>
      <c r="J6" s="178">
        <v>-4101</v>
      </c>
      <c r="K6" s="178">
        <v>-2208</v>
      </c>
      <c r="L6" s="178">
        <v>-1256</v>
      </c>
      <c r="M6" s="178">
        <v>-763</v>
      </c>
      <c r="N6" s="178">
        <v>-194</v>
      </c>
      <c r="O6" s="178">
        <v>-76</v>
      </c>
      <c r="P6" s="178">
        <v>-48</v>
      </c>
      <c r="Q6" s="178">
        <v>-69</v>
      </c>
      <c r="R6" s="178">
        <v>-191</v>
      </c>
      <c r="S6" s="178">
        <v>1008</v>
      </c>
      <c r="T6" s="178">
        <v>-2877</v>
      </c>
      <c r="U6" s="178">
        <v>-14637</v>
      </c>
    </row>
    <row r="7" spans="2:21" x14ac:dyDescent="0.2">
      <c r="B7" t="s">
        <v>921</v>
      </c>
      <c r="C7" t="s">
        <v>922</v>
      </c>
      <c r="D7" t="s">
        <v>923</v>
      </c>
      <c r="E7" t="s">
        <v>435</v>
      </c>
      <c r="F7">
        <v>1</v>
      </c>
      <c r="G7" t="s">
        <v>924</v>
      </c>
      <c r="I7" s="178">
        <v>-24467</v>
      </c>
      <c r="J7" s="178">
        <v>-18174</v>
      </c>
      <c r="K7" s="178">
        <v>-40026</v>
      </c>
      <c r="L7" s="178">
        <v>-18189</v>
      </c>
      <c r="M7" s="178">
        <v>-18901</v>
      </c>
      <c r="N7" s="178">
        <v>-28090</v>
      </c>
      <c r="O7" s="178">
        <v>-21172</v>
      </c>
      <c r="P7" s="178">
        <v>-26873</v>
      </c>
      <c r="Q7" s="178">
        <v>-30468</v>
      </c>
      <c r="R7" s="178">
        <v>-1715</v>
      </c>
      <c r="S7" s="178">
        <v>-4393</v>
      </c>
      <c r="T7" s="178">
        <v>-223</v>
      </c>
      <c r="U7" s="178">
        <v>-232691</v>
      </c>
    </row>
    <row r="8" spans="2:21" x14ac:dyDescent="0.2">
      <c r="B8" t="s">
        <v>921</v>
      </c>
      <c r="C8" t="s">
        <v>922</v>
      </c>
      <c r="D8" t="s">
        <v>923</v>
      </c>
      <c r="E8" t="s">
        <v>436</v>
      </c>
      <c r="F8">
        <v>1</v>
      </c>
      <c r="G8" t="s">
        <v>924</v>
      </c>
      <c r="I8" s="178"/>
      <c r="J8" s="178"/>
      <c r="K8" s="178"/>
      <c r="L8" s="178"/>
      <c r="M8" s="178"/>
      <c r="N8" s="178"/>
      <c r="O8" s="178">
        <v>-1</v>
      </c>
      <c r="P8" s="178"/>
      <c r="Q8" s="178">
        <v>-22</v>
      </c>
      <c r="R8" s="178">
        <v>-73538</v>
      </c>
      <c r="S8" s="178">
        <v>-26235</v>
      </c>
      <c r="T8" s="178">
        <v>-2912</v>
      </c>
      <c r="U8" s="178">
        <v>-102708</v>
      </c>
    </row>
    <row r="9" spans="2:21" x14ac:dyDescent="0.2">
      <c r="B9" t="s">
        <v>921</v>
      </c>
      <c r="C9" t="s">
        <v>922</v>
      </c>
      <c r="D9" t="s">
        <v>923</v>
      </c>
      <c r="E9" t="s">
        <v>668</v>
      </c>
      <c r="F9">
        <v>1</v>
      </c>
      <c r="G9" t="s">
        <v>924</v>
      </c>
      <c r="I9" s="178">
        <v>-3969451</v>
      </c>
      <c r="J9" s="178">
        <v>-4002443</v>
      </c>
      <c r="K9" s="178">
        <v>-2707300</v>
      </c>
      <c r="L9" s="178">
        <v>-1612325</v>
      </c>
      <c r="M9" s="178">
        <v>-636607</v>
      </c>
      <c r="N9" s="178">
        <v>-401705</v>
      </c>
      <c r="O9" s="178">
        <v>-280927</v>
      </c>
      <c r="P9" s="178">
        <v>-225714</v>
      </c>
      <c r="Q9" s="178">
        <v>-218945</v>
      </c>
      <c r="R9" s="178">
        <v>-403975</v>
      </c>
      <c r="S9" s="178">
        <v>-1014046</v>
      </c>
      <c r="T9" s="178">
        <v>-3212287</v>
      </c>
      <c r="U9" s="178">
        <v>-18685725</v>
      </c>
    </row>
    <row r="10" spans="2:21" x14ac:dyDescent="0.2">
      <c r="B10" t="s">
        <v>921</v>
      </c>
      <c r="C10" t="s">
        <v>925</v>
      </c>
      <c r="D10" t="s">
        <v>926</v>
      </c>
      <c r="E10" t="s">
        <v>927</v>
      </c>
      <c r="G10" t="s">
        <v>298</v>
      </c>
      <c r="I10" s="178">
        <v>-417701</v>
      </c>
      <c r="J10" s="178">
        <v>354568</v>
      </c>
      <c r="K10" s="178">
        <v>2201789</v>
      </c>
      <c r="L10" s="178">
        <v>877693</v>
      </c>
      <c r="M10" s="178">
        <v>214868</v>
      </c>
      <c r="N10" s="178">
        <v>184603</v>
      </c>
      <c r="O10" s="178">
        <v>92919</v>
      </c>
      <c r="P10" s="178">
        <v>-91918</v>
      </c>
      <c r="Q10" s="178">
        <v>-30215</v>
      </c>
      <c r="R10" s="178">
        <v>-703100</v>
      </c>
      <c r="S10" s="178">
        <v>-2070256</v>
      </c>
      <c r="T10" s="178">
        <v>-640972</v>
      </c>
      <c r="U10" s="178">
        <v>-27722</v>
      </c>
    </row>
    <row r="11" spans="2:21" x14ac:dyDescent="0.2">
      <c r="B11" t="s">
        <v>921</v>
      </c>
      <c r="C11" t="s">
        <v>928</v>
      </c>
      <c r="D11" t="s">
        <v>929</v>
      </c>
      <c r="E11" t="s">
        <v>665</v>
      </c>
      <c r="F11">
        <v>3</v>
      </c>
      <c r="G11" t="s">
        <v>924</v>
      </c>
      <c r="I11" s="178">
        <v>-3158785</v>
      </c>
      <c r="J11" s="178">
        <v>-3424192</v>
      </c>
      <c r="K11" s="178">
        <v>-3340050</v>
      </c>
      <c r="L11" s="178">
        <v>-2790136</v>
      </c>
      <c r="M11" s="178">
        <v>-2421259</v>
      </c>
      <c r="N11" s="178">
        <v>-1855047</v>
      </c>
      <c r="O11" s="178">
        <v>-1729420</v>
      </c>
      <c r="P11" s="178">
        <v>-1687896</v>
      </c>
      <c r="Q11" s="178">
        <v>-1727522</v>
      </c>
      <c r="R11" s="178">
        <v>-1862614</v>
      </c>
      <c r="S11" s="178">
        <v>-2246351</v>
      </c>
      <c r="T11" s="178">
        <v>-2503653</v>
      </c>
      <c r="U11" s="178">
        <v>-28746925</v>
      </c>
    </row>
    <row r="12" spans="2:21" x14ac:dyDescent="0.2">
      <c r="B12" t="s">
        <v>921</v>
      </c>
      <c r="C12" t="s">
        <v>928</v>
      </c>
      <c r="D12" t="s">
        <v>929</v>
      </c>
      <c r="E12" t="s">
        <v>438</v>
      </c>
      <c r="F12">
        <v>2</v>
      </c>
      <c r="G12" t="s">
        <v>924</v>
      </c>
      <c r="I12" s="178">
        <v>-2409969</v>
      </c>
      <c r="J12" s="178">
        <v>-2116894</v>
      </c>
      <c r="K12" s="178">
        <v>-1460982</v>
      </c>
      <c r="L12" s="178">
        <v>-1044291</v>
      </c>
      <c r="M12" s="178">
        <v>-621852</v>
      </c>
      <c r="N12" s="178">
        <v>-540540</v>
      </c>
      <c r="O12" s="178">
        <v>-415006</v>
      </c>
      <c r="P12" s="178">
        <v>-412426</v>
      </c>
      <c r="Q12" s="178">
        <v>-453989</v>
      </c>
      <c r="R12" s="178">
        <v>-502039</v>
      </c>
      <c r="S12" s="178">
        <v>-862425</v>
      </c>
      <c r="T12" s="178">
        <v>-1908310</v>
      </c>
      <c r="U12" s="178">
        <v>-12748723</v>
      </c>
    </row>
    <row r="13" spans="2:21" x14ac:dyDescent="0.2">
      <c r="B13" t="s">
        <v>921</v>
      </c>
      <c r="C13" t="s">
        <v>928</v>
      </c>
      <c r="D13" t="s">
        <v>929</v>
      </c>
      <c r="E13" t="s">
        <v>667</v>
      </c>
      <c r="F13">
        <v>2</v>
      </c>
      <c r="G13" t="s">
        <v>924</v>
      </c>
      <c r="I13" s="178">
        <v>-1126236</v>
      </c>
      <c r="J13" s="178">
        <v>-1273560</v>
      </c>
      <c r="K13" s="178">
        <v>-1157968</v>
      </c>
      <c r="L13" s="178">
        <v>-824212</v>
      </c>
      <c r="M13" s="178">
        <v>-708111</v>
      </c>
      <c r="N13" s="178">
        <v>-640238</v>
      </c>
      <c r="O13" s="178">
        <v>-566353</v>
      </c>
      <c r="P13" s="178">
        <v>-564914</v>
      </c>
      <c r="Q13" s="178">
        <v>-560424</v>
      </c>
      <c r="R13" s="178">
        <v>-569588</v>
      </c>
      <c r="S13" s="178">
        <v>-740324</v>
      </c>
      <c r="T13" s="178">
        <v>-834613</v>
      </c>
      <c r="U13" s="178">
        <v>-9566541</v>
      </c>
    </row>
    <row r="14" spans="2:21" x14ac:dyDescent="0.2">
      <c r="B14" t="s">
        <v>921</v>
      </c>
      <c r="C14" t="s">
        <v>928</v>
      </c>
      <c r="D14" t="s">
        <v>929</v>
      </c>
      <c r="E14" t="s">
        <v>439</v>
      </c>
      <c r="F14">
        <v>1</v>
      </c>
      <c r="G14" t="s">
        <v>924</v>
      </c>
      <c r="I14" s="178">
        <v>46934</v>
      </c>
      <c r="J14" s="178">
        <v>-95540</v>
      </c>
      <c r="K14" s="178">
        <v>-94912</v>
      </c>
      <c r="L14" s="178">
        <v>-63793</v>
      </c>
      <c r="M14" s="178">
        <v>-44564</v>
      </c>
      <c r="N14" s="178">
        <v>-20380</v>
      </c>
      <c r="O14" s="178">
        <v>-23151</v>
      </c>
      <c r="P14" s="178">
        <v>-19705</v>
      </c>
      <c r="Q14" s="178">
        <v>-21960</v>
      </c>
      <c r="R14" s="178">
        <v>-24687</v>
      </c>
      <c r="S14" s="178">
        <v>-43875</v>
      </c>
      <c r="T14" s="178">
        <v>-77916</v>
      </c>
      <c r="U14" s="178">
        <v>-483549</v>
      </c>
    </row>
    <row r="15" spans="2:21" x14ac:dyDescent="0.2">
      <c r="B15" t="s">
        <v>921</v>
      </c>
      <c r="C15" t="s">
        <v>928</v>
      </c>
      <c r="D15" t="s">
        <v>929</v>
      </c>
      <c r="E15" t="s">
        <v>927</v>
      </c>
      <c r="G15" t="s">
        <v>298</v>
      </c>
      <c r="I15" s="178">
        <v>-884173</v>
      </c>
      <c r="J15" s="178">
        <v>414504</v>
      </c>
      <c r="K15" s="178">
        <v>1806788</v>
      </c>
      <c r="L15" s="178">
        <v>652550</v>
      </c>
      <c r="M15" s="178">
        <v>983519</v>
      </c>
      <c r="N15" s="178">
        <v>291396</v>
      </c>
      <c r="O15" s="178">
        <v>148409</v>
      </c>
      <c r="P15" s="178">
        <v>-114909</v>
      </c>
      <c r="Q15" s="178">
        <v>-74910</v>
      </c>
      <c r="R15" s="178">
        <v>-951699</v>
      </c>
      <c r="S15" s="178">
        <v>-1157230</v>
      </c>
      <c r="T15" s="178">
        <v>-1624081</v>
      </c>
      <c r="U15" s="178">
        <v>-509836</v>
      </c>
    </row>
    <row r="16" spans="2:21" x14ac:dyDescent="0.2">
      <c r="B16" t="s">
        <v>921</v>
      </c>
      <c r="C16" t="s">
        <v>930</v>
      </c>
      <c r="D16" t="s">
        <v>931</v>
      </c>
      <c r="E16" t="s">
        <v>666</v>
      </c>
      <c r="F16">
        <v>2</v>
      </c>
      <c r="G16" t="s">
        <v>924</v>
      </c>
      <c r="I16" s="178">
        <v>-159351</v>
      </c>
      <c r="J16" s="178">
        <v>-129098</v>
      </c>
      <c r="K16" s="178">
        <v>-118800</v>
      </c>
      <c r="L16" s="178">
        <v>-85607</v>
      </c>
      <c r="M16" s="178">
        <v>-53950</v>
      </c>
      <c r="N16" s="178">
        <v>-30784</v>
      </c>
      <c r="O16" s="178">
        <v>-21816</v>
      </c>
      <c r="P16" s="178">
        <v>-20633</v>
      </c>
      <c r="Q16" s="178">
        <v>-24672</v>
      </c>
      <c r="R16" s="178">
        <v>-39446</v>
      </c>
      <c r="S16" s="178">
        <v>-69560</v>
      </c>
      <c r="T16" s="178">
        <v>-152831</v>
      </c>
      <c r="U16" s="178">
        <v>-906548</v>
      </c>
    </row>
    <row r="17" spans="2:22" x14ac:dyDescent="0.2">
      <c r="B17" t="s">
        <v>921</v>
      </c>
      <c r="C17" t="s">
        <v>930</v>
      </c>
      <c r="D17" t="s">
        <v>931</v>
      </c>
      <c r="E17" t="s">
        <v>436</v>
      </c>
      <c r="F17">
        <v>1</v>
      </c>
      <c r="G17" t="s">
        <v>924</v>
      </c>
      <c r="I17" s="178">
        <v>-4518</v>
      </c>
      <c r="J17" s="178">
        <v>-6036</v>
      </c>
      <c r="K17" s="178">
        <v>-3142</v>
      </c>
      <c r="L17" s="178">
        <v>-5911</v>
      </c>
      <c r="M17" s="178">
        <v>-7699</v>
      </c>
      <c r="N17" s="178">
        <v>-7655</v>
      </c>
      <c r="O17" s="178">
        <v>-9478</v>
      </c>
      <c r="P17" s="178">
        <v>-10723</v>
      </c>
      <c r="Q17" s="178">
        <v>-9422</v>
      </c>
      <c r="R17" s="178">
        <v>-7663</v>
      </c>
      <c r="S17" s="178">
        <v>-6811</v>
      </c>
      <c r="T17" s="178">
        <v>-6293</v>
      </c>
      <c r="U17" s="178">
        <v>-85351</v>
      </c>
    </row>
    <row r="18" spans="2:22" x14ac:dyDescent="0.2">
      <c r="B18" t="s">
        <v>921</v>
      </c>
      <c r="C18" t="s">
        <v>930</v>
      </c>
      <c r="D18" t="s">
        <v>931</v>
      </c>
      <c r="E18" t="s">
        <v>668</v>
      </c>
      <c r="F18">
        <v>1</v>
      </c>
      <c r="G18" t="s">
        <v>924</v>
      </c>
      <c r="I18" s="178">
        <v>-20100</v>
      </c>
      <c r="J18" s="178">
        <v>-14487</v>
      </c>
      <c r="K18" s="178">
        <v>-11383</v>
      </c>
      <c r="L18" s="178">
        <v>-6922</v>
      </c>
      <c r="M18" s="178">
        <v>-1542</v>
      </c>
      <c r="N18" s="178">
        <v>-575</v>
      </c>
      <c r="O18" s="178">
        <v>-64</v>
      </c>
      <c r="P18" s="178">
        <v>-46</v>
      </c>
      <c r="Q18" s="178">
        <v>-101</v>
      </c>
      <c r="R18" s="178">
        <v>-465</v>
      </c>
      <c r="S18" s="178">
        <v>-4833</v>
      </c>
      <c r="T18" s="178">
        <v>-16184</v>
      </c>
      <c r="U18" s="178">
        <v>-76702</v>
      </c>
    </row>
    <row r="19" spans="2:22" x14ac:dyDescent="0.2">
      <c r="B19" t="s">
        <v>921</v>
      </c>
      <c r="C19" t="s">
        <v>932</v>
      </c>
      <c r="D19" t="s">
        <v>933</v>
      </c>
      <c r="E19" t="s">
        <v>927</v>
      </c>
      <c r="G19" t="s">
        <v>298</v>
      </c>
      <c r="I19" s="178">
        <v>2340</v>
      </c>
      <c r="J19" s="178">
        <v>18874</v>
      </c>
      <c r="K19" s="178">
        <v>33138</v>
      </c>
      <c r="L19" s="178">
        <v>15873</v>
      </c>
      <c r="M19" s="178">
        <v>52</v>
      </c>
      <c r="N19" s="178">
        <v>8612</v>
      </c>
      <c r="O19" s="178">
        <v>1611</v>
      </c>
      <c r="P19" s="178">
        <v>-4033</v>
      </c>
      <c r="Q19" s="178">
        <v>-673</v>
      </c>
      <c r="R19" s="178">
        <v>-25089</v>
      </c>
      <c r="S19" s="178">
        <v>-61996</v>
      </c>
      <c r="T19" s="178">
        <v>2204</v>
      </c>
      <c r="U19" s="178">
        <v>-9087</v>
      </c>
    </row>
    <row r="20" spans="2:22" x14ac:dyDescent="0.2">
      <c r="B20" t="s">
        <v>921</v>
      </c>
      <c r="C20" t="s">
        <v>934</v>
      </c>
      <c r="D20" t="s">
        <v>935</v>
      </c>
      <c r="E20" t="s">
        <v>927</v>
      </c>
      <c r="G20" t="s">
        <v>298</v>
      </c>
      <c r="I20" s="178"/>
      <c r="J20" s="178"/>
      <c r="K20" s="178"/>
      <c r="L20" s="178"/>
      <c r="M20" s="178"/>
      <c r="N20" s="178"/>
      <c r="O20" s="178"/>
      <c r="P20" s="178"/>
      <c r="Q20" s="178"/>
      <c r="R20" s="178"/>
      <c r="S20" s="178"/>
      <c r="T20" s="178"/>
      <c r="U20" s="178"/>
    </row>
    <row r="21" spans="2:22" x14ac:dyDescent="0.2">
      <c r="B21" t="s">
        <v>921</v>
      </c>
      <c r="C21" t="s">
        <v>936</v>
      </c>
      <c r="D21" t="s">
        <v>937</v>
      </c>
      <c r="E21" t="s">
        <v>670</v>
      </c>
      <c r="F21">
        <v>1</v>
      </c>
      <c r="G21" t="s">
        <v>924</v>
      </c>
      <c r="I21" s="178">
        <v>-37504</v>
      </c>
      <c r="J21" s="178">
        <v>-37543</v>
      </c>
      <c r="K21" s="178">
        <v>-27520</v>
      </c>
      <c r="L21" s="178">
        <v>-17016</v>
      </c>
      <c r="M21" s="178">
        <v>-5564</v>
      </c>
      <c r="N21" s="178">
        <v>-2540</v>
      </c>
      <c r="O21" s="178">
        <v>-1522</v>
      </c>
      <c r="P21" s="178">
        <v>-1430</v>
      </c>
      <c r="Q21" s="178">
        <v>-1577</v>
      </c>
      <c r="R21" s="178">
        <v>-12348</v>
      </c>
      <c r="S21" s="178">
        <v>-23834</v>
      </c>
      <c r="T21" s="178">
        <v>-81056</v>
      </c>
      <c r="U21" s="178">
        <v>-249454</v>
      </c>
    </row>
    <row r="22" spans="2:22" x14ac:dyDescent="0.2">
      <c r="B22" t="s">
        <v>921</v>
      </c>
      <c r="C22" t="s">
        <v>936</v>
      </c>
      <c r="D22" t="s">
        <v>937</v>
      </c>
      <c r="E22" t="s">
        <v>668</v>
      </c>
      <c r="F22">
        <v>1</v>
      </c>
      <c r="G22" t="s">
        <v>924</v>
      </c>
      <c r="I22" s="178">
        <v>-13146295</v>
      </c>
      <c r="J22" s="178">
        <v>-12576803</v>
      </c>
      <c r="K22" s="178">
        <v>-9599214</v>
      </c>
      <c r="L22" s="178">
        <v>-5711961</v>
      </c>
      <c r="M22" s="178">
        <v>-2612459</v>
      </c>
      <c r="N22" s="178">
        <v>-1729821</v>
      </c>
      <c r="O22" s="178">
        <v>-1145300</v>
      </c>
      <c r="P22" s="178">
        <v>-987730</v>
      </c>
      <c r="Q22" s="178">
        <v>-1087232</v>
      </c>
      <c r="R22" s="178">
        <v>-1582551</v>
      </c>
      <c r="S22" s="178">
        <v>-3093309</v>
      </c>
      <c r="T22" s="178">
        <v>-9669943</v>
      </c>
      <c r="U22" s="178">
        <v>-62942618</v>
      </c>
    </row>
    <row r="23" spans="2:22" x14ac:dyDescent="0.2">
      <c r="B23" t="s">
        <v>921</v>
      </c>
      <c r="C23" t="s">
        <v>938</v>
      </c>
      <c r="D23" t="s">
        <v>939</v>
      </c>
      <c r="E23" t="s">
        <v>927</v>
      </c>
      <c r="G23" t="s">
        <v>298</v>
      </c>
      <c r="I23" s="178">
        <v>-951076</v>
      </c>
      <c r="J23" s="178">
        <v>424362</v>
      </c>
      <c r="K23" s="178">
        <v>3281144</v>
      </c>
      <c r="L23" s="178">
        <v>1487752</v>
      </c>
      <c r="M23" s="178">
        <v>411036</v>
      </c>
      <c r="N23" s="178">
        <v>310062</v>
      </c>
      <c r="O23" s="178">
        <v>182055</v>
      </c>
      <c r="P23" s="178">
        <v>-55450</v>
      </c>
      <c r="Q23" s="178">
        <v>-27619</v>
      </c>
      <c r="R23" s="178">
        <v>-872772</v>
      </c>
      <c r="S23" s="178">
        <v>-2593311</v>
      </c>
      <c r="T23" s="178">
        <v>-1702685</v>
      </c>
      <c r="U23" s="178">
        <v>-106502</v>
      </c>
    </row>
    <row r="25" spans="2:22" x14ac:dyDescent="0.2">
      <c r="D25" s="340" t="s">
        <v>452</v>
      </c>
      <c r="F25" s="337">
        <v>1</v>
      </c>
      <c r="I25" s="31">
        <f>-SUMIF($F$4:$F$23,$F25,I$4:I$23)</f>
        <v>17159263</v>
      </c>
      <c r="J25" s="31">
        <f t="shared" ref="J25:T27" si="0">-SUMIF($F$4:$F$23,$F25,J$4:J$23)</f>
        <v>16755127</v>
      </c>
      <c r="K25" s="31">
        <f t="shared" si="0"/>
        <v>12485705</v>
      </c>
      <c r="L25" s="31">
        <f t="shared" si="0"/>
        <v>7437373</v>
      </c>
      <c r="M25" s="31">
        <f t="shared" si="0"/>
        <v>3328099</v>
      </c>
      <c r="N25" s="31">
        <f t="shared" si="0"/>
        <v>2190960</v>
      </c>
      <c r="O25" s="31">
        <f t="shared" si="0"/>
        <v>1481691</v>
      </c>
      <c r="P25" s="31">
        <f t="shared" si="0"/>
        <v>1272269</v>
      </c>
      <c r="Q25" s="31">
        <f t="shared" si="0"/>
        <v>1369796</v>
      </c>
      <c r="R25" s="31">
        <f t="shared" si="0"/>
        <v>2107133</v>
      </c>
      <c r="S25" s="31">
        <f t="shared" si="0"/>
        <v>4216328</v>
      </c>
      <c r="T25" s="31">
        <f t="shared" si="0"/>
        <v>13069691</v>
      </c>
      <c r="U25" s="5">
        <f>SUM(I25:T25)</f>
        <v>82873435</v>
      </c>
      <c r="V25" s="5"/>
    </row>
    <row r="26" spans="2:22" x14ac:dyDescent="0.2">
      <c r="D26" s="340" t="s">
        <v>453</v>
      </c>
      <c r="F26" s="337">
        <v>2</v>
      </c>
      <c r="I26" s="31">
        <f t="shared" ref="I26:I27" si="1">-SUMIF($F$4:$F$23,$F26,I$4:I$23)</f>
        <v>8284909</v>
      </c>
      <c r="J26" s="31">
        <f t="shared" si="0"/>
        <v>7548897</v>
      </c>
      <c r="K26" s="31">
        <f t="shared" si="0"/>
        <v>5856387</v>
      </c>
      <c r="L26" s="31">
        <f t="shared" si="0"/>
        <v>3977033</v>
      </c>
      <c r="M26" s="31">
        <f t="shared" si="0"/>
        <v>2501782</v>
      </c>
      <c r="N26" s="31">
        <f t="shared" si="0"/>
        <v>2035767</v>
      </c>
      <c r="O26" s="31">
        <f t="shared" si="0"/>
        <v>1622267</v>
      </c>
      <c r="P26" s="31">
        <f t="shared" si="0"/>
        <v>1611981</v>
      </c>
      <c r="Q26" s="31">
        <f t="shared" si="0"/>
        <v>1755982</v>
      </c>
      <c r="R26" s="31">
        <f t="shared" si="0"/>
        <v>1949557</v>
      </c>
      <c r="S26" s="31">
        <f t="shared" si="0"/>
        <v>3117605</v>
      </c>
      <c r="T26" s="31">
        <f t="shared" si="0"/>
        <v>6304064</v>
      </c>
      <c r="U26" s="5">
        <f t="shared" ref="U26:U27" si="2">SUM(I26:T26)</f>
        <v>46566231</v>
      </c>
    </row>
    <row r="27" spans="2:22" x14ac:dyDescent="0.2">
      <c r="D27" s="340" t="s">
        <v>454</v>
      </c>
      <c r="F27" s="337">
        <v>3</v>
      </c>
      <c r="I27" s="31">
        <f t="shared" si="1"/>
        <v>3268125</v>
      </c>
      <c r="J27" s="31">
        <f t="shared" si="0"/>
        <v>3538813</v>
      </c>
      <c r="K27" s="31">
        <f t="shared" si="0"/>
        <v>3450833</v>
      </c>
      <c r="L27" s="31">
        <f t="shared" si="0"/>
        <v>2880541</v>
      </c>
      <c r="M27" s="31">
        <f t="shared" si="0"/>
        <v>2498327</v>
      </c>
      <c r="N27" s="31">
        <f t="shared" si="0"/>
        <v>1911762</v>
      </c>
      <c r="O27" s="31">
        <f t="shared" si="0"/>
        <v>1775615</v>
      </c>
      <c r="P27" s="31">
        <f t="shared" si="0"/>
        <v>1733827</v>
      </c>
      <c r="Q27" s="31">
        <f t="shared" si="0"/>
        <v>1774230</v>
      </c>
      <c r="R27" s="31">
        <f t="shared" si="0"/>
        <v>1910631</v>
      </c>
      <c r="S27" s="31">
        <f t="shared" si="0"/>
        <v>2311427</v>
      </c>
      <c r="T27" s="31">
        <f t="shared" si="0"/>
        <v>2591666</v>
      </c>
      <c r="U27" s="5">
        <f t="shared" si="2"/>
        <v>29645797</v>
      </c>
    </row>
    <row r="28" spans="2:22" x14ac:dyDescent="0.2">
      <c r="D28" s="340"/>
      <c r="F28" s="340"/>
    </row>
    <row r="29" spans="2:22" x14ac:dyDescent="0.2">
      <c r="D29" s="340" t="s">
        <v>455</v>
      </c>
      <c r="F29" s="337">
        <v>1</v>
      </c>
      <c r="I29" s="31">
        <f>I25+SUMIF($F$11:$F$15,$F29,I$11:I$15)</f>
        <v>17206197</v>
      </c>
      <c r="J29" s="31">
        <f t="shared" ref="J29:T29" si="3">J25+SUMIF($F$11:$F$15,$F29,J$11:J$15)</f>
        <v>16659587</v>
      </c>
      <c r="K29" s="31">
        <f t="shared" si="3"/>
        <v>12390793</v>
      </c>
      <c r="L29" s="31">
        <f t="shared" si="3"/>
        <v>7373580</v>
      </c>
      <c r="M29" s="31">
        <f t="shared" si="3"/>
        <v>3283535</v>
      </c>
      <c r="N29" s="31">
        <f t="shared" si="3"/>
        <v>2170580</v>
      </c>
      <c r="O29" s="31">
        <f t="shared" si="3"/>
        <v>1458540</v>
      </c>
      <c r="P29" s="31">
        <f t="shared" si="3"/>
        <v>1252564</v>
      </c>
      <c r="Q29" s="31">
        <f t="shared" si="3"/>
        <v>1347836</v>
      </c>
      <c r="R29" s="31">
        <f t="shared" si="3"/>
        <v>2082446</v>
      </c>
      <c r="S29" s="31">
        <f t="shared" si="3"/>
        <v>4172453</v>
      </c>
      <c r="T29" s="31">
        <f t="shared" si="3"/>
        <v>12991775</v>
      </c>
      <c r="U29" s="5">
        <f>SUM(I29:T29)</f>
        <v>82389886</v>
      </c>
    </row>
    <row r="30" spans="2:22" x14ac:dyDescent="0.2">
      <c r="D30" s="340" t="s">
        <v>456</v>
      </c>
      <c r="F30" s="337">
        <v>2</v>
      </c>
      <c r="I30" s="31">
        <f t="shared" ref="I30:T30" si="4">I26+SUMIF($F$11:$F$15,$F30,I$11:I$15)</f>
        <v>4748704</v>
      </c>
      <c r="J30" s="31">
        <f t="shared" si="4"/>
        <v>4158443</v>
      </c>
      <c r="K30" s="31">
        <f t="shared" si="4"/>
        <v>3237437</v>
      </c>
      <c r="L30" s="31">
        <f t="shared" si="4"/>
        <v>2108530</v>
      </c>
      <c r="M30" s="31">
        <f t="shared" si="4"/>
        <v>1171819</v>
      </c>
      <c r="N30" s="31">
        <f t="shared" si="4"/>
        <v>854989</v>
      </c>
      <c r="O30" s="31">
        <f t="shared" si="4"/>
        <v>640908</v>
      </c>
      <c r="P30" s="31">
        <f t="shared" si="4"/>
        <v>634641</v>
      </c>
      <c r="Q30" s="31">
        <f t="shared" si="4"/>
        <v>741569</v>
      </c>
      <c r="R30" s="31">
        <f t="shared" si="4"/>
        <v>877930</v>
      </c>
      <c r="S30" s="31">
        <f t="shared" si="4"/>
        <v>1514856</v>
      </c>
      <c r="T30" s="31">
        <f t="shared" si="4"/>
        <v>3561141</v>
      </c>
      <c r="U30" s="5">
        <f t="shared" ref="U30:U31" si="5">SUM(I30:T30)</f>
        <v>24250967</v>
      </c>
    </row>
    <row r="31" spans="2:22" x14ac:dyDescent="0.2">
      <c r="D31" s="340" t="s">
        <v>457</v>
      </c>
      <c r="F31" s="337">
        <v>3</v>
      </c>
      <c r="I31" s="31">
        <f t="shared" ref="I31:T31" si="6">I27+SUMIF($F$11:$F$15,$F31,I$11:I$15)</f>
        <v>109340</v>
      </c>
      <c r="J31" s="31">
        <f t="shared" si="6"/>
        <v>114621</v>
      </c>
      <c r="K31" s="31">
        <f t="shared" si="6"/>
        <v>110783</v>
      </c>
      <c r="L31" s="31">
        <f t="shared" si="6"/>
        <v>90405</v>
      </c>
      <c r="M31" s="31">
        <f t="shared" si="6"/>
        <v>77068</v>
      </c>
      <c r="N31" s="31">
        <f t="shared" si="6"/>
        <v>56715</v>
      </c>
      <c r="O31" s="31">
        <f t="shared" si="6"/>
        <v>46195</v>
      </c>
      <c r="P31" s="31">
        <f t="shared" si="6"/>
        <v>45931</v>
      </c>
      <c r="Q31" s="31">
        <f t="shared" si="6"/>
        <v>46708</v>
      </c>
      <c r="R31" s="31">
        <f t="shared" si="6"/>
        <v>48017</v>
      </c>
      <c r="S31" s="31">
        <f t="shared" si="6"/>
        <v>65076</v>
      </c>
      <c r="T31" s="31">
        <f t="shared" si="6"/>
        <v>88013</v>
      </c>
      <c r="U31" s="5">
        <f t="shared" si="5"/>
        <v>898872</v>
      </c>
    </row>
    <row r="34" spans="9:21" x14ac:dyDescent="0.2">
      <c r="I34" s="31"/>
      <c r="J34" s="31"/>
      <c r="K34" s="31"/>
      <c r="L34" s="31"/>
      <c r="M34" s="31"/>
      <c r="N34" s="31"/>
      <c r="O34" s="31"/>
      <c r="P34" s="31"/>
      <c r="Q34" s="31"/>
      <c r="R34" s="31"/>
      <c r="S34" s="31"/>
      <c r="T34" s="31"/>
      <c r="U34" s="5"/>
    </row>
    <row r="49" spans="2:2" x14ac:dyDescent="0.2">
      <c r="B49" s="70" t="s">
        <v>176</v>
      </c>
    </row>
    <row r="50" spans="2:2" x14ac:dyDescent="0.2">
      <c r="B50" s="70" t="s">
        <v>279</v>
      </c>
    </row>
    <row r="51" spans="2:2" x14ac:dyDescent="0.2">
      <c r="B51" s="70" t="s">
        <v>673</v>
      </c>
    </row>
    <row r="52" spans="2:2" x14ac:dyDescent="0.2">
      <c r="B52" s="340"/>
    </row>
    <row r="53" spans="2:2" x14ac:dyDescent="0.2">
      <c r="B53" s="70" t="s">
        <v>46</v>
      </c>
    </row>
    <row r="54" spans="2:2" x14ac:dyDescent="0.2">
      <c r="B54" s="70" t="s">
        <v>797</v>
      </c>
    </row>
    <row r="55" spans="2:2" x14ac:dyDescent="0.2">
      <c r="B55" s="70" t="s">
        <v>798</v>
      </c>
    </row>
    <row r="56" spans="2:2" x14ac:dyDescent="0.2">
      <c r="B56" s="340" t="s">
        <v>708</v>
      </c>
    </row>
    <row r="57" spans="2:2" x14ac:dyDescent="0.2">
      <c r="B57" s="340" t="s">
        <v>709</v>
      </c>
    </row>
  </sheetData>
  <pageMargins left="0.7" right="0.7" top="2" bottom="0.75" header="0.3" footer="0.3"/>
  <pageSetup orientation="portrait" horizontalDpi="360" verticalDpi="360" r:id="rId1"/>
  <headerFooter>
    <oddHeader>&amp;CRULE 20:10:13:98
STATEMENT O WORKPAPER - Tab &amp;A
South Dakota Jurisdictional Customers by Rate Code
Test Year Ending December 31, 2025
Utility: MidAmerican Energy Company
Docket No. NG26-___
Individual Responsible: Stephen Stratton&amp;RPage &amp;P of &amp;N</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4C371-7FEB-4F25-AB1D-290772976A12}">
  <sheetPr codeName="Sheet19"/>
  <dimension ref="A1:U40"/>
  <sheetViews>
    <sheetView view="pageLayout" zoomScaleNormal="100" workbookViewId="0">
      <selection activeCell="H20" sqref="H20"/>
    </sheetView>
  </sheetViews>
  <sheetFormatPr defaultRowHeight="12.75" x14ac:dyDescent="0.2"/>
  <cols>
    <col min="3" max="3" width="50.7109375" bestFit="1" customWidth="1"/>
    <col min="4" max="4" width="17.7109375" customWidth="1"/>
    <col min="6" max="6" width="13.42578125" bestFit="1" customWidth="1"/>
    <col min="7" max="7" width="14" bestFit="1" customWidth="1"/>
    <col min="8" max="18" width="12.85546875" bestFit="1" customWidth="1"/>
    <col min="19" max="19" width="16" bestFit="1" customWidth="1"/>
  </cols>
  <sheetData>
    <row r="1" spans="1:21" ht="31.5" customHeight="1" x14ac:dyDescent="0.2">
      <c r="A1" s="494"/>
      <c r="B1" s="494"/>
      <c r="C1" s="494"/>
      <c r="D1" s="494"/>
      <c r="E1" s="494"/>
      <c r="F1" s="494"/>
      <c r="G1" s="494"/>
      <c r="H1" s="494"/>
      <c r="I1" s="494"/>
      <c r="J1" s="494"/>
      <c r="K1" s="494"/>
      <c r="L1" s="494"/>
      <c r="M1" s="494"/>
      <c r="N1" s="494"/>
      <c r="O1" s="494"/>
      <c r="P1" s="494"/>
      <c r="Q1" s="494"/>
      <c r="R1" s="494"/>
      <c r="S1" s="494"/>
    </row>
    <row r="2" spans="1:21" ht="15" x14ac:dyDescent="0.25">
      <c r="A2" s="495" t="s">
        <v>284</v>
      </c>
      <c r="B2" s="495"/>
      <c r="C2" s="495"/>
      <c r="D2" s="495"/>
      <c r="E2" s="495"/>
      <c r="F2" s="495"/>
      <c r="G2" s="495"/>
      <c r="H2" s="495"/>
      <c r="I2" s="495"/>
      <c r="J2" s="495"/>
      <c r="K2" s="495"/>
      <c r="L2" s="495"/>
      <c r="M2" s="495"/>
      <c r="N2" s="495"/>
      <c r="O2" s="495"/>
      <c r="P2" s="495"/>
      <c r="Q2" s="495"/>
      <c r="R2" s="495"/>
      <c r="S2" s="495"/>
      <c r="T2" s="495"/>
      <c r="U2" s="495"/>
    </row>
    <row r="3" spans="1:21" ht="15" x14ac:dyDescent="0.25">
      <c r="A3" s="495" t="s">
        <v>991</v>
      </c>
      <c r="B3" s="495"/>
      <c r="C3" s="495"/>
      <c r="D3" s="495"/>
      <c r="E3" s="495"/>
      <c r="F3" s="495"/>
      <c r="G3" s="495"/>
      <c r="H3" s="495"/>
      <c r="I3" s="495"/>
      <c r="J3" s="495"/>
      <c r="K3" s="495"/>
      <c r="L3" s="495"/>
      <c r="M3" s="495"/>
      <c r="N3" s="495"/>
      <c r="O3" s="495"/>
      <c r="P3" s="495"/>
      <c r="Q3" s="495"/>
      <c r="R3" s="495"/>
      <c r="S3" s="495"/>
      <c r="T3" s="495"/>
      <c r="U3" s="495"/>
    </row>
    <row r="4" spans="1:21" ht="15" x14ac:dyDescent="0.25">
      <c r="A4" s="496" t="s">
        <v>992</v>
      </c>
      <c r="B4" s="496"/>
      <c r="C4" s="496"/>
      <c r="D4" s="496"/>
      <c r="E4" s="496"/>
      <c r="F4" s="496"/>
      <c r="G4" s="496"/>
      <c r="H4" s="496"/>
      <c r="I4" s="496"/>
      <c r="J4" s="496"/>
      <c r="K4" s="496"/>
      <c r="L4" s="496"/>
      <c r="M4" s="496"/>
      <c r="N4" s="496"/>
      <c r="O4" s="496"/>
      <c r="P4" s="496"/>
      <c r="Q4" s="496"/>
      <c r="R4" s="496"/>
      <c r="S4" s="496"/>
      <c r="T4" s="496"/>
      <c r="U4" s="496"/>
    </row>
    <row r="5" spans="1:21" ht="15" x14ac:dyDescent="0.25">
      <c r="A5" s="182"/>
      <c r="B5" s="182"/>
      <c r="C5" s="182"/>
      <c r="D5" s="182"/>
      <c r="E5" s="182"/>
      <c r="F5" s="182"/>
      <c r="G5" s="182"/>
      <c r="H5" s="182"/>
      <c r="I5" s="182"/>
      <c r="J5" s="182"/>
      <c r="K5" s="182"/>
      <c r="L5" s="182"/>
      <c r="M5" s="182"/>
      <c r="N5" s="182"/>
      <c r="O5" s="182"/>
      <c r="P5" s="182"/>
      <c r="Q5" s="182"/>
      <c r="R5" s="182"/>
      <c r="S5" s="182"/>
      <c r="T5" s="182"/>
      <c r="U5" s="182"/>
    </row>
    <row r="6" spans="1:21" x14ac:dyDescent="0.2">
      <c r="A6" s="156" t="s">
        <v>993</v>
      </c>
      <c r="B6" s="156"/>
      <c r="C6" s="156"/>
      <c r="D6" s="156"/>
      <c r="E6" s="156"/>
      <c r="F6" s="156"/>
      <c r="G6" s="156" t="s">
        <v>994</v>
      </c>
      <c r="H6" s="156"/>
      <c r="I6" s="156"/>
      <c r="J6" s="156"/>
      <c r="K6" s="156"/>
      <c r="L6" s="156"/>
      <c r="M6" s="156"/>
      <c r="N6" s="156"/>
      <c r="O6" s="156"/>
      <c r="P6" s="156"/>
      <c r="Q6" s="156"/>
      <c r="R6" s="156"/>
      <c r="S6" s="156"/>
      <c r="T6" s="183"/>
    </row>
    <row r="7" spans="1:21" x14ac:dyDescent="0.2">
      <c r="A7" s="156" t="s">
        <v>918</v>
      </c>
      <c r="B7" s="156" t="s">
        <v>972</v>
      </c>
      <c r="C7" s="156" t="s">
        <v>973</v>
      </c>
      <c r="D7" s="156"/>
      <c r="E7" s="156" t="s">
        <v>974</v>
      </c>
      <c r="F7" s="156" t="s">
        <v>975</v>
      </c>
      <c r="G7" s="156" t="s">
        <v>976</v>
      </c>
      <c r="H7" s="156" t="s">
        <v>977</v>
      </c>
      <c r="I7" s="156" t="s">
        <v>978</v>
      </c>
      <c r="J7" s="156" t="s">
        <v>979</v>
      </c>
      <c r="K7" s="156" t="s">
        <v>980</v>
      </c>
      <c r="L7" s="156" t="s">
        <v>981</v>
      </c>
      <c r="M7" s="156" t="s">
        <v>982</v>
      </c>
      <c r="N7" s="156" t="s">
        <v>983</v>
      </c>
      <c r="O7" s="156" t="s">
        <v>984</v>
      </c>
      <c r="P7" s="156" t="s">
        <v>985</v>
      </c>
      <c r="Q7" s="156" t="s">
        <v>986</v>
      </c>
      <c r="R7" s="156" t="s">
        <v>987</v>
      </c>
      <c r="S7" s="156" t="s">
        <v>988</v>
      </c>
    </row>
    <row r="8" spans="1:21" x14ac:dyDescent="0.2">
      <c r="A8" t="s">
        <v>921</v>
      </c>
      <c r="B8" t="s">
        <v>941</v>
      </c>
      <c r="C8" t="s">
        <v>942</v>
      </c>
      <c r="D8" s="66" t="s">
        <v>62</v>
      </c>
      <c r="E8" s="157" t="s">
        <v>670</v>
      </c>
      <c r="F8" t="s">
        <v>924</v>
      </c>
      <c r="G8" s="178">
        <v>-34542.26</v>
      </c>
      <c r="H8" s="178">
        <v>-35995.47</v>
      </c>
      <c r="I8" s="178">
        <v>-27027.19</v>
      </c>
      <c r="J8" s="178">
        <v>-18190.07</v>
      </c>
      <c r="K8" s="178">
        <v>-7254.63</v>
      </c>
      <c r="L8" s="178">
        <v>-4508.9399999999996</v>
      </c>
      <c r="M8" s="178">
        <v>-3290.12</v>
      </c>
      <c r="N8" s="178">
        <v>-3091.82</v>
      </c>
      <c r="O8" s="178">
        <v>-3150.73</v>
      </c>
      <c r="P8" s="178">
        <v>-13400.34</v>
      </c>
      <c r="Q8" s="178">
        <v>-20594.599999999999</v>
      </c>
      <c r="R8" s="178">
        <v>-75536.070000000007</v>
      </c>
      <c r="S8" s="178">
        <v>-246582.24000000005</v>
      </c>
    </row>
    <row r="9" spans="1:21" x14ac:dyDescent="0.2">
      <c r="A9" t="s">
        <v>921</v>
      </c>
      <c r="B9" t="s">
        <v>941</v>
      </c>
      <c r="C9" t="s">
        <v>942</v>
      </c>
      <c r="D9" s="66" t="s">
        <v>62</v>
      </c>
      <c r="E9" t="s">
        <v>668</v>
      </c>
      <c r="F9" t="s">
        <v>924</v>
      </c>
      <c r="G9" s="178">
        <v>-9920618.9399999995</v>
      </c>
      <c r="H9" s="178">
        <v>-9941619.3900000006</v>
      </c>
      <c r="I9" s="178">
        <v>-7730460.4000000004</v>
      </c>
      <c r="J9" s="178">
        <v>-5369156.75</v>
      </c>
      <c r="K9" s="178">
        <v>-3033408.67</v>
      </c>
      <c r="L9" s="178">
        <v>-2443144.87</v>
      </c>
      <c r="M9" s="178">
        <v>-2044549.15</v>
      </c>
      <c r="N9" s="178">
        <v>-1796961.59</v>
      </c>
      <c r="O9" s="178">
        <v>-1808676.34</v>
      </c>
      <c r="P9" s="178">
        <v>-2213364.62</v>
      </c>
      <c r="Q9" s="178">
        <v>-2728230.72</v>
      </c>
      <c r="R9" s="178">
        <v>-8170842.2199999997</v>
      </c>
      <c r="S9" s="178">
        <v>-57201033.659999996</v>
      </c>
    </row>
    <row r="10" spans="1:21" x14ac:dyDescent="0.2">
      <c r="A10" t="s">
        <v>921</v>
      </c>
      <c r="B10" t="s">
        <v>941</v>
      </c>
      <c r="C10" t="s">
        <v>942</v>
      </c>
      <c r="D10" s="66" t="s">
        <v>62</v>
      </c>
      <c r="E10" t="s">
        <v>927</v>
      </c>
      <c r="F10" t="s">
        <v>298</v>
      </c>
      <c r="G10" s="178">
        <v>-15105.71</v>
      </c>
      <c r="H10" s="178"/>
      <c r="I10" s="178"/>
      <c r="J10" s="178"/>
      <c r="K10" s="178"/>
      <c r="L10" s="178"/>
      <c r="M10" s="178"/>
      <c r="N10" s="178"/>
      <c r="O10" s="178"/>
      <c r="P10" s="178"/>
      <c r="Q10" s="178"/>
      <c r="R10" s="178"/>
      <c r="S10" s="178">
        <v>-15105.71</v>
      </c>
    </row>
    <row r="11" spans="1:21" x14ac:dyDescent="0.2">
      <c r="A11" t="s">
        <v>921</v>
      </c>
      <c r="B11" t="s">
        <v>943</v>
      </c>
      <c r="C11" t="s">
        <v>944</v>
      </c>
      <c r="D11" s="66" t="s">
        <v>62</v>
      </c>
      <c r="E11" t="s">
        <v>927</v>
      </c>
      <c r="F11" t="s">
        <v>298</v>
      </c>
      <c r="G11" s="178">
        <v>-75660.619999999893</v>
      </c>
      <c r="H11" s="178">
        <v>40131.599999999897</v>
      </c>
      <c r="I11" s="178">
        <v>630201.18999999994</v>
      </c>
      <c r="J11" s="178">
        <v>271542.71999999997</v>
      </c>
      <c r="K11" s="178">
        <v>81681.740000000005</v>
      </c>
      <c r="L11" s="178">
        <v>59701.24</v>
      </c>
      <c r="M11" s="178">
        <v>30375.179999999898</v>
      </c>
      <c r="N11" s="178">
        <v>-9338.6599999999198</v>
      </c>
      <c r="O11" s="178">
        <v>-5613.0300000000298</v>
      </c>
      <c r="P11" s="178">
        <v>-154030.92000000001</v>
      </c>
      <c r="Q11" s="178">
        <v>-475011.34</v>
      </c>
      <c r="R11" s="178">
        <v>-305379.48</v>
      </c>
      <c r="S11" s="178">
        <v>88599.619999999821</v>
      </c>
    </row>
    <row r="12" spans="1:21" x14ac:dyDescent="0.2">
      <c r="A12" t="s">
        <v>921</v>
      </c>
      <c r="B12" t="s">
        <v>945</v>
      </c>
      <c r="C12" t="s">
        <v>946</v>
      </c>
      <c r="D12" s="66" t="s">
        <v>62</v>
      </c>
      <c r="E12" t="s">
        <v>927</v>
      </c>
      <c r="F12" t="s">
        <v>298</v>
      </c>
      <c r="G12" s="178">
        <v>-695500.29</v>
      </c>
      <c r="H12" s="178">
        <v>-42375.47</v>
      </c>
      <c r="I12" s="178">
        <v>721042.28</v>
      </c>
      <c r="J12" s="178">
        <v>1360402.21</v>
      </c>
      <c r="K12" s="178">
        <v>527751.39</v>
      </c>
      <c r="L12" s="178">
        <v>387528.18</v>
      </c>
      <c r="M12" s="178">
        <v>26190.04</v>
      </c>
      <c r="N12" s="178">
        <v>-94504.15</v>
      </c>
      <c r="O12" s="178">
        <v>-119511.65</v>
      </c>
      <c r="P12" s="178">
        <v>-279883.34000000003</v>
      </c>
      <c r="Q12" s="178">
        <v>-1944333.8299999998</v>
      </c>
      <c r="R12" s="178">
        <v>431290.38</v>
      </c>
      <c r="S12" s="178">
        <v>278095.75000000058</v>
      </c>
    </row>
    <row r="13" spans="1:21" x14ac:dyDescent="0.2">
      <c r="A13" t="s">
        <v>921</v>
      </c>
      <c r="B13" t="s">
        <v>947</v>
      </c>
      <c r="C13" t="s">
        <v>948</v>
      </c>
      <c r="D13" s="66" t="s">
        <v>61</v>
      </c>
      <c r="E13" t="s">
        <v>434</v>
      </c>
      <c r="F13" t="s">
        <v>924</v>
      </c>
      <c r="G13" s="178">
        <v>-41504.14</v>
      </c>
      <c r="H13" s="178">
        <v>-64001.3</v>
      </c>
      <c r="I13" s="178">
        <v>-70009.759999999995</v>
      </c>
      <c r="J13" s="178">
        <v>-39744.089999999997</v>
      </c>
      <c r="K13" s="178">
        <v>-28276.73</v>
      </c>
      <c r="L13" s="178">
        <v>-19420.7</v>
      </c>
      <c r="M13" s="178">
        <v>-15667.97</v>
      </c>
      <c r="N13" s="178">
        <v>-16665.11</v>
      </c>
      <c r="O13" s="178">
        <v>-15401.07</v>
      </c>
      <c r="P13" s="178">
        <v>-16582.21</v>
      </c>
      <c r="Q13" s="178">
        <v>-22310.62</v>
      </c>
      <c r="R13" s="178">
        <v>-39744.589999999997</v>
      </c>
      <c r="S13" s="178">
        <v>-389328.29000000004</v>
      </c>
    </row>
    <row r="14" spans="1:21" x14ac:dyDescent="0.2">
      <c r="A14" t="s">
        <v>921</v>
      </c>
      <c r="B14" t="s">
        <v>947</v>
      </c>
      <c r="C14" t="s">
        <v>948</v>
      </c>
      <c r="D14" s="66" t="s">
        <v>61</v>
      </c>
      <c r="E14" t="s">
        <v>666</v>
      </c>
      <c r="F14" t="s">
        <v>924</v>
      </c>
      <c r="G14" s="178">
        <v>-2678366.56</v>
      </c>
      <c r="H14" s="178">
        <v>-2475326.25</v>
      </c>
      <c r="I14" s="178">
        <v>-1922280.79</v>
      </c>
      <c r="J14" s="178">
        <v>-1400733.72</v>
      </c>
      <c r="K14" s="178">
        <v>-844895.74</v>
      </c>
      <c r="L14" s="178">
        <v>-698607.33</v>
      </c>
      <c r="M14" s="178">
        <v>-568274.15</v>
      </c>
      <c r="N14" s="178">
        <v>-536577.07999999996</v>
      </c>
      <c r="O14" s="178">
        <v>-565931.43999999994</v>
      </c>
      <c r="P14" s="178">
        <v>-605997.59</v>
      </c>
      <c r="Q14" s="178">
        <v>-828615.97</v>
      </c>
      <c r="R14" s="178">
        <v>-2229149.25</v>
      </c>
      <c r="S14" s="178">
        <v>-15354755.870000001</v>
      </c>
    </row>
    <row r="15" spans="1:21" x14ac:dyDescent="0.2">
      <c r="A15" t="s">
        <v>921</v>
      </c>
      <c r="B15" t="s">
        <v>947</v>
      </c>
      <c r="C15" t="s">
        <v>948</v>
      </c>
      <c r="D15" s="66" t="s">
        <v>61</v>
      </c>
      <c r="E15" s="157" t="s">
        <v>670</v>
      </c>
      <c r="F15" t="s">
        <v>924</v>
      </c>
      <c r="G15" s="178">
        <v>-3512.18</v>
      </c>
      <c r="H15" s="178">
        <v>-3872.2</v>
      </c>
      <c r="I15" s="178">
        <v>-2155.81</v>
      </c>
      <c r="J15" s="178">
        <v>-1343.42</v>
      </c>
      <c r="K15" s="178">
        <v>-900.88</v>
      </c>
      <c r="L15" s="178">
        <v>-337.17</v>
      </c>
      <c r="M15" s="178">
        <v>-211.91</v>
      </c>
      <c r="N15" s="178">
        <v>-179.57</v>
      </c>
      <c r="O15" s="178">
        <v>-195.48</v>
      </c>
      <c r="P15" s="178">
        <v>-305.01</v>
      </c>
      <c r="Q15" s="178">
        <v>1347.61</v>
      </c>
      <c r="R15" s="178">
        <v>-2857.79</v>
      </c>
      <c r="S15" s="178">
        <v>-14523.809999999998</v>
      </c>
    </row>
    <row r="16" spans="1:21" x14ac:dyDescent="0.2">
      <c r="A16" t="s">
        <v>921</v>
      </c>
      <c r="B16" t="s">
        <v>947</v>
      </c>
      <c r="C16" t="s">
        <v>948</v>
      </c>
      <c r="D16" s="66" t="s">
        <v>61</v>
      </c>
      <c r="E16" t="s">
        <v>435</v>
      </c>
      <c r="F16" t="s">
        <v>924</v>
      </c>
      <c r="G16" s="178">
        <v>-14630.74</v>
      </c>
      <c r="H16" s="178">
        <v>-11432.13</v>
      </c>
      <c r="I16" s="178">
        <v>-22837.39</v>
      </c>
      <c r="J16" s="178">
        <v>-11468.48</v>
      </c>
      <c r="K16" s="178">
        <v>-12556.3</v>
      </c>
      <c r="L16" s="178">
        <v>-20601.71</v>
      </c>
      <c r="M16" s="178">
        <v>-16041.79</v>
      </c>
      <c r="N16" s="178">
        <v>-19330.25</v>
      </c>
      <c r="O16" s="178">
        <v>-19730.88</v>
      </c>
      <c r="P16" s="178">
        <v>-1219.31</v>
      </c>
      <c r="Q16" s="178">
        <v>-2541.84</v>
      </c>
      <c r="R16" s="178">
        <v>-517.77</v>
      </c>
      <c r="S16" s="178">
        <v>-152908.59</v>
      </c>
    </row>
    <row r="17" spans="1:19" x14ac:dyDescent="0.2">
      <c r="A17" t="s">
        <v>921</v>
      </c>
      <c r="B17" t="s">
        <v>947</v>
      </c>
      <c r="C17" t="s">
        <v>948</v>
      </c>
      <c r="D17" s="66" t="s">
        <v>61</v>
      </c>
      <c r="E17" t="s">
        <v>436</v>
      </c>
      <c r="F17" t="s">
        <v>924</v>
      </c>
      <c r="G17" s="178">
        <v>-265</v>
      </c>
      <c r="H17" s="178">
        <v>-265</v>
      </c>
      <c r="I17" s="178">
        <v>-265</v>
      </c>
      <c r="J17" s="178">
        <v>-265</v>
      </c>
      <c r="K17" s="178">
        <v>-265</v>
      </c>
      <c r="L17" s="178">
        <v>-265</v>
      </c>
      <c r="M17" s="178">
        <v>-265.37</v>
      </c>
      <c r="N17" s="178">
        <v>-265</v>
      </c>
      <c r="O17" s="178">
        <v>-323.60000000000002</v>
      </c>
      <c r="P17" s="178">
        <v>-28692.98</v>
      </c>
      <c r="Q17" s="178">
        <v>-10194.64</v>
      </c>
      <c r="R17" s="178">
        <v>-1646.85</v>
      </c>
      <c r="S17" s="178">
        <v>-42978.439999999995</v>
      </c>
    </row>
    <row r="18" spans="1:19" x14ac:dyDescent="0.2">
      <c r="A18" t="s">
        <v>921</v>
      </c>
      <c r="B18" t="s">
        <v>947</v>
      </c>
      <c r="C18" t="s">
        <v>948</v>
      </c>
      <c r="D18" s="66" t="s">
        <v>61</v>
      </c>
      <c r="E18" t="s">
        <v>668</v>
      </c>
      <c r="F18" t="s">
        <v>924</v>
      </c>
      <c r="G18" s="178">
        <v>-2732295.6</v>
      </c>
      <c r="H18" s="178">
        <v>-2837847.96</v>
      </c>
      <c r="I18" s="178">
        <v>-1970945.95</v>
      </c>
      <c r="J18" s="178">
        <v>-1321129.31</v>
      </c>
      <c r="K18" s="178">
        <v>-609336.65</v>
      </c>
      <c r="L18" s="178">
        <v>-450405.16</v>
      </c>
      <c r="M18" s="178">
        <v>-350531.6</v>
      </c>
      <c r="N18" s="178">
        <v>-298119.33</v>
      </c>
      <c r="O18" s="178">
        <v>-277274</v>
      </c>
      <c r="P18" s="178">
        <v>-393535.29</v>
      </c>
      <c r="Q18" s="178">
        <v>-731926.23</v>
      </c>
      <c r="R18" s="178">
        <v>-2442473.46</v>
      </c>
      <c r="S18" s="178">
        <v>-14415820.539999999</v>
      </c>
    </row>
    <row r="19" spans="1:19" x14ac:dyDescent="0.2">
      <c r="A19" t="s">
        <v>921</v>
      </c>
      <c r="B19" t="s">
        <v>947</v>
      </c>
      <c r="C19" t="s">
        <v>948</v>
      </c>
      <c r="D19" s="66" t="s">
        <v>61</v>
      </c>
      <c r="E19" t="s">
        <v>927</v>
      </c>
      <c r="F19" t="s">
        <v>298</v>
      </c>
      <c r="G19" s="178">
        <v>-7774.43</v>
      </c>
      <c r="H19" s="178"/>
      <c r="I19" s="178"/>
      <c r="J19" s="178"/>
      <c r="K19" s="178"/>
      <c r="L19" s="178"/>
      <c r="M19" s="178"/>
      <c r="N19" s="178"/>
      <c r="O19" s="178"/>
      <c r="P19" s="178"/>
      <c r="Q19" s="178"/>
      <c r="R19" s="178"/>
      <c r="S19" s="178">
        <v>-7774.43</v>
      </c>
    </row>
    <row r="20" spans="1:19" x14ac:dyDescent="0.2">
      <c r="A20" t="s">
        <v>921</v>
      </c>
      <c r="B20" t="s">
        <v>949</v>
      </c>
      <c r="C20" t="s">
        <v>950</v>
      </c>
      <c r="D20" s="66" t="s">
        <v>61</v>
      </c>
      <c r="E20" t="s">
        <v>927</v>
      </c>
      <c r="F20" t="s">
        <v>298</v>
      </c>
      <c r="G20" s="178">
        <v>-8645.6200000000008</v>
      </c>
      <c r="H20" s="178">
        <v>30598.89</v>
      </c>
      <c r="I20" s="178">
        <v>422143.26</v>
      </c>
      <c r="J20" s="178">
        <v>160348.17000000001</v>
      </c>
      <c r="K20" s="178">
        <v>43630.65</v>
      </c>
      <c r="L20" s="178">
        <v>36454.379999999997</v>
      </c>
      <c r="M20" s="178">
        <v>15555.76</v>
      </c>
      <c r="N20" s="178">
        <v>-15013.35</v>
      </c>
      <c r="O20" s="178">
        <v>-5320.91</v>
      </c>
      <c r="P20" s="178">
        <v>-122581.35</v>
      </c>
      <c r="Q20" s="178">
        <v>-378520.21</v>
      </c>
      <c r="R20" s="178">
        <v>-115164.95</v>
      </c>
      <c r="S20" s="178">
        <v>63484.720000000103</v>
      </c>
    </row>
    <row r="21" spans="1:19" x14ac:dyDescent="0.2">
      <c r="A21" t="s">
        <v>921</v>
      </c>
      <c r="B21" t="s">
        <v>951</v>
      </c>
      <c r="C21" t="s">
        <v>952</v>
      </c>
      <c r="D21" s="66" t="s">
        <v>61</v>
      </c>
      <c r="E21" t="s">
        <v>927</v>
      </c>
      <c r="F21" t="s">
        <v>298</v>
      </c>
      <c r="G21" s="178">
        <v>-484598.27</v>
      </c>
      <c r="H21" s="178">
        <v>-29489.99</v>
      </c>
      <c r="I21" s="178">
        <v>497008.96</v>
      </c>
      <c r="J21" s="178">
        <v>936610.97</v>
      </c>
      <c r="K21" s="178">
        <v>363134.87</v>
      </c>
      <c r="L21" s="178">
        <v>265550.40000000002</v>
      </c>
      <c r="M21" s="178">
        <v>17900.72</v>
      </c>
      <c r="N21" s="178">
        <v>-64596.6</v>
      </c>
      <c r="O21" s="178">
        <v>-81589.929999999993</v>
      </c>
      <c r="P21" s="178">
        <v>-190897.76</v>
      </c>
      <c r="Q21" s="178">
        <v>-1333879.43</v>
      </c>
      <c r="R21" s="178">
        <v>295385.43</v>
      </c>
      <c r="S21" s="178">
        <v>190539.36999999994</v>
      </c>
    </row>
    <row r="22" spans="1:19" x14ac:dyDescent="0.2">
      <c r="A22" t="s">
        <v>921</v>
      </c>
      <c r="B22" t="s">
        <v>953</v>
      </c>
      <c r="C22" t="s">
        <v>954</v>
      </c>
      <c r="D22" s="66" t="s">
        <v>60</v>
      </c>
      <c r="E22" t="s">
        <v>665</v>
      </c>
      <c r="F22" t="s">
        <v>924</v>
      </c>
      <c r="G22" s="178"/>
      <c r="H22" s="178">
        <v>8984.2999999999993</v>
      </c>
      <c r="I22" s="178">
        <v>-80</v>
      </c>
      <c r="J22" s="178">
        <v>-80</v>
      </c>
      <c r="K22" s="178">
        <v>-80</v>
      </c>
      <c r="L22" s="178">
        <v>-80</v>
      </c>
      <c r="M22" s="178">
        <v>-80</v>
      </c>
      <c r="N22" s="178">
        <v>-80</v>
      </c>
      <c r="O22" s="178">
        <v>-80</v>
      </c>
      <c r="P22" s="178"/>
      <c r="Q22" s="178"/>
      <c r="R22" s="178"/>
      <c r="S22" s="178">
        <v>8424.2999999999993</v>
      </c>
    </row>
    <row r="23" spans="1:19" x14ac:dyDescent="0.2">
      <c r="A23" t="s">
        <v>921</v>
      </c>
      <c r="B23" t="s">
        <v>953</v>
      </c>
      <c r="C23" t="s">
        <v>954</v>
      </c>
      <c r="D23" s="66" t="s">
        <v>60</v>
      </c>
      <c r="E23" t="s">
        <v>666</v>
      </c>
      <c r="F23" t="s">
        <v>924</v>
      </c>
      <c r="G23" s="178">
        <v>-93041.43</v>
      </c>
      <c r="H23" s="178">
        <v>-77469.47</v>
      </c>
      <c r="I23" s="178">
        <v>-71596.13</v>
      </c>
      <c r="J23" s="178">
        <v>-57147.62</v>
      </c>
      <c r="K23" s="178">
        <v>-38457.18</v>
      </c>
      <c r="L23" s="178">
        <v>-24727.89</v>
      </c>
      <c r="M23" s="178">
        <v>-18448.97</v>
      </c>
      <c r="N23" s="178">
        <v>-16436.759999999998</v>
      </c>
      <c r="O23" s="178">
        <v>-18128.8</v>
      </c>
      <c r="P23" s="178">
        <v>-24192.14</v>
      </c>
      <c r="Q23" s="178">
        <v>-39279.31</v>
      </c>
      <c r="R23" s="178">
        <v>-100544.18</v>
      </c>
      <c r="S23" s="178">
        <v>-579469.88000000012</v>
      </c>
    </row>
    <row r="24" spans="1:19" x14ac:dyDescent="0.2">
      <c r="A24" t="s">
        <v>921</v>
      </c>
      <c r="B24" t="s">
        <v>953</v>
      </c>
      <c r="C24" t="s">
        <v>954</v>
      </c>
      <c r="D24" s="66" t="s">
        <v>60</v>
      </c>
      <c r="E24" t="s">
        <v>667</v>
      </c>
      <c r="F24" t="s">
        <v>924</v>
      </c>
      <c r="G24" s="178"/>
      <c r="H24" s="178">
        <v>-341.11</v>
      </c>
      <c r="I24" s="178"/>
      <c r="J24" s="178"/>
      <c r="K24" s="178">
        <v>200.98</v>
      </c>
      <c r="L24" s="178">
        <v>-80</v>
      </c>
      <c r="M24" s="178">
        <v>-80</v>
      </c>
      <c r="N24" s="178">
        <v>-80</v>
      </c>
      <c r="O24" s="178"/>
      <c r="P24" s="178"/>
      <c r="Q24" s="178"/>
      <c r="R24" s="178"/>
      <c r="S24" s="178">
        <v>-380.13</v>
      </c>
    </row>
    <row r="25" spans="1:19" x14ac:dyDescent="0.2">
      <c r="A25" t="s">
        <v>921</v>
      </c>
      <c r="B25" t="s">
        <v>953</v>
      </c>
      <c r="C25" t="s">
        <v>954</v>
      </c>
      <c r="D25" s="66" t="s">
        <v>60</v>
      </c>
      <c r="E25" t="s">
        <v>436</v>
      </c>
      <c r="F25" t="s">
        <v>924</v>
      </c>
      <c r="G25" s="178">
        <v>-2309.2199999999998</v>
      </c>
      <c r="H25" s="178">
        <v>-3673.09</v>
      </c>
      <c r="I25" s="178">
        <v>-2363.08</v>
      </c>
      <c r="J25" s="178">
        <v>-3247.43</v>
      </c>
      <c r="K25" s="178">
        <v>-3505.53</v>
      </c>
      <c r="L25" s="178">
        <v>-3335.76</v>
      </c>
      <c r="M25" s="178">
        <v>-4014.17</v>
      </c>
      <c r="N25" s="178">
        <v>-4702.6499999999996</v>
      </c>
      <c r="O25" s="178">
        <v>-3879.95</v>
      </c>
      <c r="P25" s="178">
        <v>-3349.3</v>
      </c>
      <c r="Q25" s="178">
        <v>-3004.46</v>
      </c>
      <c r="R25" s="178">
        <v>-3434.1</v>
      </c>
      <c r="S25" s="178">
        <v>-40818.74</v>
      </c>
    </row>
    <row r="26" spans="1:19" x14ac:dyDescent="0.2">
      <c r="A26" t="s">
        <v>921</v>
      </c>
      <c r="B26" t="s">
        <v>953</v>
      </c>
      <c r="C26" t="s">
        <v>954</v>
      </c>
      <c r="D26" s="66" t="s">
        <v>60</v>
      </c>
      <c r="E26" t="s">
        <v>668</v>
      </c>
      <c r="F26" t="s">
        <v>924</v>
      </c>
      <c r="G26" s="178">
        <v>-13549.33</v>
      </c>
      <c r="H26" s="178">
        <v>-9865</v>
      </c>
      <c r="I26" s="178">
        <v>-8035.86</v>
      </c>
      <c r="J26" s="178">
        <v>-5497.86</v>
      </c>
      <c r="K26" s="178">
        <v>-1531.1</v>
      </c>
      <c r="L26" s="178">
        <v>-777.83</v>
      </c>
      <c r="M26" s="178">
        <v>-332.07</v>
      </c>
      <c r="N26" s="178">
        <v>-314.08</v>
      </c>
      <c r="O26" s="178">
        <v>-345.57</v>
      </c>
      <c r="P26" s="178">
        <v>-613.54</v>
      </c>
      <c r="Q26" s="178">
        <v>-3327.71</v>
      </c>
      <c r="R26" s="178">
        <v>-12064.34</v>
      </c>
      <c r="S26" s="178">
        <v>-56254.290000000008</v>
      </c>
    </row>
    <row r="27" spans="1:19" x14ac:dyDescent="0.2">
      <c r="A27" t="s">
        <v>921</v>
      </c>
      <c r="B27" t="s">
        <v>953</v>
      </c>
      <c r="C27" t="s">
        <v>954</v>
      </c>
      <c r="D27" s="66" t="s">
        <v>60</v>
      </c>
      <c r="E27" t="s">
        <v>927</v>
      </c>
      <c r="F27" t="s">
        <v>298</v>
      </c>
      <c r="G27" s="178">
        <v>-191274.06</v>
      </c>
      <c r="H27" s="178">
        <v>-210491.8</v>
      </c>
      <c r="I27" s="178">
        <v>-194702.85</v>
      </c>
      <c r="J27" s="178">
        <v>-191997.84</v>
      </c>
      <c r="K27" s="178">
        <v>-188463.44</v>
      </c>
      <c r="L27" s="178">
        <v>-230014.91</v>
      </c>
      <c r="M27" s="178">
        <v>-149242.65</v>
      </c>
      <c r="N27" s="178">
        <v>-196632.58</v>
      </c>
      <c r="O27" s="178">
        <v>-202714.85</v>
      </c>
      <c r="P27" s="178">
        <v>-221415.17</v>
      </c>
      <c r="Q27" s="178">
        <v>-209376.68</v>
      </c>
      <c r="R27" s="178">
        <v>-214425.93</v>
      </c>
      <c r="S27" s="178">
        <v>-2400752.7600000002</v>
      </c>
    </row>
    <row r="28" spans="1:19" x14ac:dyDescent="0.2">
      <c r="A28" t="s">
        <v>921</v>
      </c>
      <c r="B28" t="s">
        <v>956</v>
      </c>
      <c r="C28" t="s">
        <v>957</v>
      </c>
      <c r="D28" s="66" t="s">
        <v>60</v>
      </c>
      <c r="E28" t="s">
        <v>927</v>
      </c>
      <c r="F28" t="s">
        <v>298</v>
      </c>
      <c r="G28" s="178">
        <v>2002.95</v>
      </c>
      <c r="H28" s="178">
        <v>2741.66</v>
      </c>
      <c r="I28" s="178">
        <v>6428.05</v>
      </c>
      <c r="J28" s="178">
        <v>2901.97</v>
      </c>
      <c r="K28" s="178">
        <v>168.78</v>
      </c>
      <c r="L28" s="178">
        <v>1624.44</v>
      </c>
      <c r="M28" s="178">
        <v>268.68</v>
      </c>
      <c r="N28" s="178">
        <v>-659.41</v>
      </c>
      <c r="O28" s="178">
        <v>-120.6</v>
      </c>
      <c r="P28" s="178">
        <v>-4357</v>
      </c>
      <c r="Q28" s="178">
        <v>-11358.29</v>
      </c>
      <c r="R28" s="178">
        <v>361.21999999999798</v>
      </c>
      <c r="S28" s="178">
        <v>2.4499999999975444</v>
      </c>
    </row>
    <row r="29" spans="1:19" x14ac:dyDescent="0.2">
      <c r="A29" t="s">
        <v>921</v>
      </c>
      <c r="B29" t="s">
        <v>958</v>
      </c>
      <c r="C29" t="s">
        <v>959</v>
      </c>
      <c r="D29" s="66" t="s">
        <v>60</v>
      </c>
      <c r="E29" t="s">
        <v>927</v>
      </c>
      <c r="F29" t="s">
        <v>298</v>
      </c>
      <c r="G29" s="178">
        <v>-12463.67</v>
      </c>
      <c r="H29" s="178">
        <v>-727.95</v>
      </c>
      <c r="I29" s="178">
        <v>11978.29</v>
      </c>
      <c r="J29" s="178">
        <v>22428.3</v>
      </c>
      <c r="K29" s="178">
        <v>8790.84</v>
      </c>
      <c r="L29" s="178">
        <v>6411.23</v>
      </c>
      <c r="M29" s="178">
        <v>433.72</v>
      </c>
      <c r="N29" s="178">
        <v>-1563.34</v>
      </c>
      <c r="O29" s="178">
        <v>-1977.9</v>
      </c>
      <c r="P29" s="178">
        <v>-4639.93</v>
      </c>
      <c r="Q29" s="178">
        <v>-32510.82</v>
      </c>
      <c r="R29" s="178">
        <v>7296.1</v>
      </c>
      <c r="S29" s="178">
        <v>3454.8700000000044</v>
      </c>
    </row>
    <row r="30" spans="1:19" x14ac:dyDescent="0.2">
      <c r="A30" t="s">
        <v>921</v>
      </c>
      <c r="B30" t="s">
        <v>995</v>
      </c>
      <c r="C30" t="s">
        <v>996</v>
      </c>
      <c r="E30" t="s">
        <v>927</v>
      </c>
      <c r="F30" t="s">
        <v>924</v>
      </c>
      <c r="G30" s="178">
        <v>-13738.98</v>
      </c>
      <c r="H30" s="178">
        <v>-62.25</v>
      </c>
      <c r="I30" s="178">
        <v>-18835.28</v>
      </c>
      <c r="J30" s="178">
        <v>-20739.009999999998</v>
      </c>
      <c r="K30" s="178">
        <v>-14198.65</v>
      </c>
      <c r="L30" s="178">
        <v>-13018.98</v>
      </c>
      <c r="M30" s="178">
        <v>-11785.74</v>
      </c>
      <c r="N30" s="178">
        <v>-10154.16</v>
      </c>
      <c r="O30" s="178">
        <v>-10356.64</v>
      </c>
      <c r="P30" s="178">
        <v>-9261.2099999999991</v>
      </c>
      <c r="Q30" s="178">
        <v>-8820.65</v>
      </c>
      <c r="R30" s="178">
        <v>-13121.26</v>
      </c>
      <c r="S30" s="178">
        <v>-144092.81</v>
      </c>
    </row>
    <row r="31" spans="1:19" x14ac:dyDescent="0.2">
      <c r="A31" t="s">
        <v>921</v>
      </c>
      <c r="B31" t="s">
        <v>997</v>
      </c>
      <c r="C31" t="s">
        <v>998</v>
      </c>
      <c r="D31" t="s">
        <v>146</v>
      </c>
      <c r="E31" t="s">
        <v>927</v>
      </c>
      <c r="F31" t="s">
        <v>924</v>
      </c>
      <c r="G31" s="178">
        <v>-5102</v>
      </c>
      <c r="H31" s="178">
        <v>-4907</v>
      </c>
      <c r="I31" s="178">
        <v>-7949</v>
      </c>
      <c r="J31" s="178">
        <v>-15838.14</v>
      </c>
      <c r="K31" s="178">
        <v>-13023.869999999999</v>
      </c>
      <c r="L31" s="178">
        <v>-9392</v>
      </c>
      <c r="M31" s="178">
        <v>-9813</v>
      </c>
      <c r="N31" s="178">
        <v>-9982.17</v>
      </c>
      <c r="O31" s="178">
        <v>-7673.17</v>
      </c>
      <c r="P31" s="178">
        <v>-10786.54</v>
      </c>
      <c r="Q31" s="178">
        <v>-3665.65</v>
      </c>
      <c r="R31" s="178">
        <v>-4758</v>
      </c>
      <c r="S31" s="178">
        <v>-102890.53999999998</v>
      </c>
    </row>
    <row r="32" spans="1:19" x14ac:dyDescent="0.2">
      <c r="A32" t="s">
        <v>921</v>
      </c>
      <c r="B32" t="s">
        <v>960</v>
      </c>
      <c r="C32" t="s">
        <v>961</v>
      </c>
      <c r="D32" t="s">
        <v>146</v>
      </c>
      <c r="E32" t="s">
        <v>665</v>
      </c>
      <c r="F32" t="s">
        <v>924</v>
      </c>
      <c r="G32" s="178">
        <v>-180989.56</v>
      </c>
      <c r="H32" s="178">
        <v>-175481.87</v>
      </c>
      <c r="I32" s="178">
        <v>-196035.34000000003</v>
      </c>
      <c r="J32" s="178">
        <v>-149484.20000000001</v>
      </c>
      <c r="K32" s="178">
        <v>-133109.41</v>
      </c>
      <c r="L32" s="178">
        <v>-109673.89</v>
      </c>
      <c r="M32" s="178">
        <v>-104474.17</v>
      </c>
      <c r="N32" s="178">
        <v>-102755.48</v>
      </c>
      <c r="O32" s="178">
        <v>-104395.59999999999</v>
      </c>
      <c r="P32" s="178">
        <v>-110057.06999999999</v>
      </c>
      <c r="Q32" s="178">
        <v>-125939.94</v>
      </c>
      <c r="R32" s="178">
        <v>-136589.66</v>
      </c>
      <c r="S32" s="178">
        <v>-1628986.19</v>
      </c>
    </row>
    <row r="33" spans="1:19" x14ac:dyDescent="0.2">
      <c r="A33" t="s">
        <v>921</v>
      </c>
      <c r="B33" t="s">
        <v>960</v>
      </c>
      <c r="C33" t="s">
        <v>961</v>
      </c>
      <c r="D33" t="s">
        <v>146</v>
      </c>
      <c r="E33" t="s">
        <v>438</v>
      </c>
      <c r="F33" t="s">
        <v>924</v>
      </c>
      <c r="G33" s="178">
        <v>-317883.46999999997</v>
      </c>
      <c r="H33" s="178">
        <v>-276400.87</v>
      </c>
      <c r="I33" s="178">
        <v>-197484.78</v>
      </c>
      <c r="J33" s="178">
        <v>-150264.74</v>
      </c>
      <c r="K33" s="178">
        <v>-101970.2</v>
      </c>
      <c r="L33" s="178">
        <v>-93090.65</v>
      </c>
      <c r="M33" s="178">
        <v>-79451.350000000006</v>
      </c>
      <c r="N33" s="178">
        <v>-78515.56</v>
      </c>
      <c r="O33" s="178">
        <v>-81267.509999999995</v>
      </c>
      <c r="P33" s="178">
        <v>-87044.79</v>
      </c>
      <c r="Q33" s="178">
        <v>-121963.86</v>
      </c>
      <c r="R33" s="178">
        <v>-239402.45</v>
      </c>
      <c r="S33" s="178">
        <v>-1824740.2300000002</v>
      </c>
    </row>
    <row r="34" spans="1:19" x14ac:dyDescent="0.2">
      <c r="A34" t="s">
        <v>921</v>
      </c>
      <c r="B34" t="s">
        <v>960</v>
      </c>
      <c r="C34" t="s">
        <v>961</v>
      </c>
      <c r="D34" t="s">
        <v>146</v>
      </c>
      <c r="E34" t="s">
        <v>667</v>
      </c>
      <c r="F34" t="s">
        <v>924</v>
      </c>
      <c r="G34" s="178">
        <v>-122110.32</v>
      </c>
      <c r="H34" s="178">
        <v>-136427.19</v>
      </c>
      <c r="I34" s="178">
        <v>-125205.55</v>
      </c>
      <c r="J34" s="178">
        <v>-92804.54</v>
      </c>
      <c r="K34" s="178">
        <v>-81690.899999999994</v>
      </c>
      <c r="L34" s="178">
        <v>-74944.33</v>
      </c>
      <c r="M34" s="178">
        <v>-67771.58</v>
      </c>
      <c r="N34" s="178">
        <v>-67194.39</v>
      </c>
      <c r="O34" s="178">
        <v>-66660.94</v>
      </c>
      <c r="P34" s="178">
        <v>-67550.63</v>
      </c>
      <c r="Q34" s="178">
        <v>-84125.67</v>
      </c>
      <c r="R34" s="178">
        <v>-92284.25</v>
      </c>
      <c r="S34" s="178">
        <v>-1078770.29</v>
      </c>
    </row>
    <row r="35" spans="1:19" x14ac:dyDescent="0.2">
      <c r="A35" t="s">
        <v>921</v>
      </c>
      <c r="B35" t="s">
        <v>960</v>
      </c>
      <c r="C35" t="s">
        <v>961</v>
      </c>
      <c r="D35" t="s">
        <v>146</v>
      </c>
      <c r="E35" t="s">
        <v>439</v>
      </c>
      <c r="F35" t="s">
        <v>924</v>
      </c>
      <c r="G35" s="178">
        <v>10245.219999999999</v>
      </c>
      <c r="H35" s="178">
        <v>-19951.7</v>
      </c>
      <c r="I35" s="178">
        <v>-22051.73</v>
      </c>
      <c r="J35" s="178">
        <v>-16306.44</v>
      </c>
      <c r="K35" s="178">
        <v>-12305.79</v>
      </c>
      <c r="L35" s="178">
        <v>-7706.69</v>
      </c>
      <c r="M35" s="178">
        <v>-8258.36</v>
      </c>
      <c r="N35" s="178">
        <v>-7449.82</v>
      </c>
      <c r="O35" s="178">
        <v>-7110.41</v>
      </c>
      <c r="P35" s="178">
        <v>-8302.4</v>
      </c>
      <c r="Q35" s="178">
        <v>-11831.9</v>
      </c>
      <c r="R35" s="178">
        <v>-18274.849999999999</v>
      </c>
      <c r="S35" s="178">
        <v>-129304.87</v>
      </c>
    </row>
    <row r="36" spans="1:19" x14ac:dyDescent="0.2">
      <c r="A36" t="s">
        <v>921</v>
      </c>
      <c r="B36" t="s">
        <v>960</v>
      </c>
      <c r="C36" t="s">
        <v>961</v>
      </c>
      <c r="D36" t="s">
        <v>146</v>
      </c>
      <c r="E36" t="s">
        <v>927</v>
      </c>
      <c r="F36" t="s">
        <v>924</v>
      </c>
      <c r="G36" s="178">
        <v>-82.28</v>
      </c>
      <c r="H36" s="178">
        <v>-20.57</v>
      </c>
      <c r="I36" s="178">
        <v>-61.71</v>
      </c>
      <c r="J36" s="178">
        <v>-370.16</v>
      </c>
      <c r="K36" s="178">
        <v>-82.28</v>
      </c>
      <c r="L36" s="178">
        <v>-41.14</v>
      </c>
      <c r="M36" s="178">
        <v>-41.14</v>
      </c>
      <c r="N36" s="178">
        <v>-20.57</v>
      </c>
      <c r="O36" s="178">
        <v>-20.57</v>
      </c>
      <c r="P36" s="178">
        <v>-102.85</v>
      </c>
      <c r="Q36" s="178">
        <v>-143.99</v>
      </c>
      <c r="R36" s="178"/>
      <c r="S36" s="178">
        <v>-987.2600000000001</v>
      </c>
    </row>
    <row r="37" spans="1:19" x14ac:dyDescent="0.2">
      <c r="A37" t="s">
        <v>921</v>
      </c>
      <c r="B37" t="s">
        <v>960</v>
      </c>
      <c r="C37" t="s">
        <v>961</v>
      </c>
      <c r="D37" t="s">
        <v>146</v>
      </c>
      <c r="E37" t="s">
        <v>927</v>
      </c>
      <c r="F37" t="s">
        <v>298</v>
      </c>
      <c r="G37" s="178">
        <v>-93468.14</v>
      </c>
      <c r="H37" s="178">
        <v>2363</v>
      </c>
      <c r="I37" s="178">
        <v>194869.01</v>
      </c>
      <c r="J37" s="178">
        <v>45580.95</v>
      </c>
      <c r="K37" s="178">
        <v>59512.219999999994</v>
      </c>
      <c r="L37" s="178">
        <v>24233.97</v>
      </c>
      <c r="M37" s="178">
        <v>13290.75</v>
      </c>
      <c r="N37" s="178">
        <v>-21100.23</v>
      </c>
      <c r="O37" s="178">
        <v>-3532.0400000000081</v>
      </c>
      <c r="P37" s="178">
        <v>-70205.47</v>
      </c>
      <c r="Q37" s="178">
        <v>-124202.49</v>
      </c>
      <c r="R37" s="178">
        <v>-174842.54</v>
      </c>
      <c r="S37" s="178">
        <v>-147501.01</v>
      </c>
    </row>
    <row r="38" spans="1:19" x14ac:dyDescent="0.2">
      <c r="A38" t="s">
        <v>921</v>
      </c>
      <c r="B38" t="s">
        <v>999</v>
      </c>
      <c r="C38" t="s">
        <v>1000</v>
      </c>
      <c r="E38" t="s">
        <v>927</v>
      </c>
      <c r="F38" t="s">
        <v>298</v>
      </c>
      <c r="G38" s="178">
        <v>-1221301.46</v>
      </c>
      <c r="H38" s="178">
        <v>-1730859.1</v>
      </c>
      <c r="I38" s="178">
        <v>-2223450.59</v>
      </c>
      <c r="J38" s="178">
        <v>-535959.31999999983</v>
      </c>
      <c r="K38" s="178">
        <v>-629903.80000000005</v>
      </c>
      <c r="L38" s="178">
        <v>-455812.98</v>
      </c>
      <c r="M38" s="178">
        <v>-332303.25</v>
      </c>
      <c r="N38" s="178">
        <v>-661252.54</v>
      </c>
      <c r="O38" s="178">
        <v>-339162.13</v>
      </c>
      <c r="P38" s="178">
        <v>-451015.9</v>
      </c>
      <c r="Q38" s="178">
        <v>-1187214.8400000001</v>
      </c>
      <c r="R38" s="178">
        <v>-438864.87</v>
      </c>
      <c r="S38" s="178">
        <v>-10207100.779999999</v>
      </c>
    </row>
    <row r="39" spans="1:19" x14ac:dyDescent="0.2">
      <c r="C39" t="s">
        <v>78</v>
      </c>
    </row>
    <row r="40" spans="1:19" x14ac:dyDescent="0.2">
      <c r="G40" s="186">
        <f>SUM(G8:G11,G13:G20,G22:G28,G32:G37)</f>
        <v>-16535381.440000001</v>
      </c>
      <c r="H40" s="186">
        <f t="shared" ref="H40:S40" si="0">SUM(H8:H11,H13:H20,H22:H28,H32:H37)</f>
        <v>-16195662.919999998</v>
      </c>
      <c r="I40" s="186">
        <f t="shared" si="0"/>
        <v>-11309957.810000001</v>
      </c>
      <c r="J40" s="186">
        <f t="shared" si="0"/>
        <v>-8348857.8600000022</v>
      </c>
      <c r="K40" s="186">
        <f t="shared" si="0"/>
        <v>-4912896.0599999996</v>
      </c>
      <c r="L40" s="186">
        <f t="shared" si="0"/>
        <v>-4059749.9400000004</v>
      </c>
      <c r="M40" s="186">
        <f t="shared" si="0"/>
        <v>-3371536.1500000004</v>
      </c>
      <c r="N40" s="186">
        <f t="shared" si="0"/>
        <v>-3191483.29</v>
      </c>
      <c r="O40" s="186">
        <f t="shared" si="0"/>
        <v>-3189874.3200000003</v>
      </c>
      <c r="P40" s="186">
        <f t="shared" si="0"/>
        <v>-4146899.9799999995</v>
      </c>
      <c r="Q40" s="186">
        <f t="shared" si="0"/>
        <v>-5931152.8600000003</v>
      </c>
      <c r="R40" s="186">
        <f t="shared" si="0"/>
        <v>-14374813.509999992</v>
      </c>
      <c r="S40" s="186">
        <f t="shared" si="0"/>
        <v>-95568266.14000003</v>
      </c>
    </row>
  </sheetData>
  <mergeCells count="4">
    <mergeCell ref="A1:S1"/>
    <mergeCell ref="A2:U2"/>
    <mergeCell ref="A3:U3"/>
    <mergeCell ref="A4:U4"/>
  </mergeCells>
  <pageMargins left="0.7" right="0.7" top="2" bottom="0.75" header="0.3" footer="0.3"/>
  <pageSetup orientation="portrait" horizontalDpi="360" verticalDpi="360" r:id="rId1"/>
  <headerFooter>
    <oddHeader>&amp;CRULE 20:10:13:98
STATEMENT O WORKPAPER - Tab &amp;A
South Dakota Jurisdictional Revenues by Rate Code
Test Year Ending December 31, 2025
Utility: MidAmerican Energy Company
Docket No. NG26-___
Individual Responsible: Stephen Stratton&amp;RPage &amp;P of &amp;N</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Q88"/>
  <sheetViews>
    <sheetView view="pageLayout" zoomScaleNormal="100" workbookViewId="0">
      <selection activeCell="D1" sqref="D1"/>
    </sheetView>
  </sheetViews>
  <sheetFormatPr defaultColWidth="9.140625" defaultRowHeight="14.25" x14ac:dyDescent="0.2"/>
  <cols>
    <col min="1" max="1" width="6.42578125" style="72" customWidth="1"/>
    <col min="2" max="2" width="16.140625" style="72" customWidth="1"/>
    <col min="3" max="3" width="14.140625" style="72" customWidth="1"/>
    <col min="4" max="4" width="13.85546875" style="72" customWidth="1"/>
    <col min="5" max="5" width="13.7109375" style="72" customWidth="1"/>
    <col min="6" max="6" width="13.5703125" style="72" customWidth="1"/>
    <col min="7" max="8" width="14.42578125" style="72" customWidth="1"/>
    <col min="9" max="9" width="13.85546875" style="72" customWidth="1"/>
    <col min="10" max="10" width="14.140625" style="72" customWidth="1"/>
    <col min="11" max="11" width="13.140625" style="72" customWidth="1"/>
    <col min="12" max="12" width="11.85546875" style="72" customWidth="1"/>
    <col min="13" max="16" width="9.140625" style="72"/>
    <col min="17" max="17" width="10.28515625" style="72" bestFit="1" customWidth="1"/>
    <col min="18" max="16384" width="9.140625" style="72"/>
  </cols>
  <sheetData>
    <row r="1" spans="1:12" ht="18" x14ac:dyDescent="0.25">
      <c r="A1" s="145" t="s">
        <v>458</v>
      </c>
    </row>
    <row r="2" spans="1:12" ht="30" customHeight="1" x14ac:dyDescent="0.25">
      <c r="C2" s="497" t="s">
        <v>1009</v>
      </c>
      <c r="D2" s="497"/>
      <c r="E2" s="497"/>
      <c r="F2" s="497"/>
      <c r="G2" s="497"/>
      <c r="H2" s="497"/>
      <c r="I2" s="497"/>
      <c r="J2" s="497"/>
    </row>
    <row r="3" spans="1:12" x14ac:dyDescent="0.2">
      <c r="C3" s="161" t="s">
        <v>417</v>
      </c>
      <c r="D3" s="161" t="s">
        <v>418</v>
      </c>
      <c r="E3" s="161" t="s">
        <v>419</v>
      </c>
      <c r="F3" s="161"/>
      <c r="G3" s="161" t="s">
        <v>417</v>
      </c>
      <c r="H3" s="161" t="s">
        <v>418</v>
      </c>
      <c r="I3" s="161" t="s">
        <v>419</v>
      </c>
      <c r="J3" s="161"/>
      <c r="K3" s="161" t="s">
        <v>916</v>
      </c>
      <c r="L3" s="112"/>
    </row>
    <row r="4" spans="1:12" x14ac:dyDescent="0.2">
      <c r="B4" s="73"/>
      <c r="C4" s="161" t="s">
        <v>299</v>
      </c>
      <c r="D4" s="161" t="s">
        <v>299</v>
      </c>
      <c r="E4" s="161" t="s">
        <v>299</v>
      </c>
      <c r="F4" s="161" t="s">
        <v>463</v>
      </c>
      <c r="G4" s="161" t="s">
        <v>299</v>
      </c>
      <c r="H4" s="161" t="s">
        <v>299</v>
      </c>
      <c r="I4" s="161" t="s">
        <v>299</v>
      </c>
      <c r="J4" s="161" t="s">
        <v>463</v>
      </c>
      <c r="K4" s="161" t="s">
        <v>460</v>
      </c>
      <c r="L4" s="161" t="s">
        <v>459</v>
      </c>
    </row>
    <row r="5" spans="1:12" x14ac:dyDescent="0.2">
      <c r="A5" s="77" t="s">
        <v>24</v>
      </c>
      <c r="B5" s="76" t="s">
        <v>247</v>
      </c>
      <c r="C5" s="162" t="s">
        <v>177</v>
      </c>
      <c r="D5" s="162" t="s">
        <v>177</v>
      </c>
      <c r="E5" s="162" t="s">
        <v>177</v>
      </c>
      <c r="F5" s="162" t="s">
        <v>177</v>
      </c>
      <c r="G5" s="162" t="s">
        <v>449</v>
      </c>
      <c r="H5" s="162" t="s">
        <v>449</v>
      </c>
      <c r="I5" s="162" t="s">
        <v>449</v>
      </c>
      <c r="J5" s="162" t="s">
        <v>449</v>
      </c>
      <c r="K5" s="162" t="s">
        <v>676</v>
      </c>
      <c r="L5" s="162" t="s">
        <v>676</v>
      </c>
    </row>
    <row r="6" spans="1:12" x14ac:dyDescent="0.2">
      <c r="A6" s="79"/>
      <c r="B6" s="86" t="s">
        <v>26</v>
      </c>
      <c r="C6" s="86" t="s">
        <v>27</v>
      </c>
      <c r="D6" s="86" t="s">
        <v>28</v>
      </c>
      <c r="E6" s="86" t="s">
        <v>29</v>
      </c>
      <c r="F6" s="86" t="s">
        <v>36</v>
      </c>
      <c r="G6" s="86" t="s">
        <v>30</v>
      </c>
      <c r="H6" s="86" t="s">
        <v>31</v>
      </c>
      <c r="I6" s="86" t="s">
        <v>32</v>
      </c>
      <c r="J6" s="86" t="s">
        <v>33</v>
      </c>
      <c r="K6" s="86" t="s">
        <v>34</v>
      </c>
      <c r="L6" s="112" t="s">
        <v>35</v>
      </c>
    </row>
    <row r="7" spans="1:12" x14ac:dyDescent="0.2">
      <c r="A7" s="79"/>
      <c r="B7" s="86"/>
      <c r="C7" s="86"/>
      <c r="D7" s="86"/>
      <c r="E7" s="86"/>
      <c r="F7" s="86"/>
      <c r="G7" s="86"/>
      <c r="H7" s="86"/>
      <c r="I7" s="86"/>
      <c r="J7" s="86"/>
      <c r="K7" s="346"/>
    </row>
    <row r="8" spans="1:12" x14ac:dyDescent="0.2">
      <c r="A8" s="79">
        <v>1</v>
      </c>
      <c r="B8" s="78">
        <v>0</v>
      </c>
      <c r="C8" s="78"/>
      <c r="D8" s="78"/>
      <c r="E8" s="78"/>
      <c r="F8" s="78"/>
      <c r="G8" s="78"/>
      <c r="H8" s="78"/>
      <c r="I8" s="78"/>
      <c r="J8" s="78"/>
      <c r="K8" s="49">
        <v>1210</v>
      </c>
      <c r="L8" s="97"/>
    </row>
    <row r="9" spans="1:12" x14ac:dyDescent="0.2">
      <c r="A9" s="79">
        <v>2</v>
      </c>
      <c r="B9" s="73">
        <v>1</v>
      </c>
      <c r="C9" s="132">
        <f>+'SRC5 (Monthly Sales)'!I25</f>
        <v>17159263</v>
      </c>
      <c r="D9" s="132">
        <f>+'SRC5 (Monthly Sales)'!I26</f>
        <v>8284909</v>
      </c>
      <c r="E9" s="132">
        <f>+'SRC5 (Monthly Sales)'!I27</f>
        <v>3268125</v>
      </c>
      <c r="F9" s="132">
        <f>SUM(C9:E9)</f>
        <v>28712297</v>
      </c>
      <c r="G9" s="132">
        <f>+'SRC5 (Monthly Sales)'!$I$29</f>
        <v>17206197</v>
      </c>
      <c r="H9" s="132">
        <f>+'SRC5 (Monthly Sales)'!$I$30</f>
        <v>4748704</v>
      </c>
      <c r="I9" s="132">
        <f>+'SRC5 (Monthly Sales)'!$I$31</f>
        <v>109340</v>
      </c>
      <c r="J9" s="80">
        <f>SUM(G9:I9)</f>
        <v>22064241</v>
      </c>
      <c r="K9" s="49">
        <v>1446</v>
      </c>
      <c r="L9" s="81">
        <f>+K8*0.6+K9*0.4</f>
        <v>1304.4000000000001</v>
      </c>
    </row>
    <row r="10" spans="1:12" x14ac:dyDescent="0.2">
      <c r="A10" s="79">
        <v>3</v>
      </c>
      <c r="B10" s="73">
        <v>2</v>
      </c>
      <c r="C10" s="132">
        <f>+'SRC5 (Monthly Sales)'!J25</f>
        <v>16755127</v>
      </c>
      <c r="D10" s="132">
        <f>+'SRC5 (Monthly Sales)'!J26</f>
        <v>7548897</v>
      </c>
      <c r="E10" s="132">
        <f>+'SRC5 (Monthly Sales)'!J27</f>
        <v>3538813</v>
      </c>
      <c r="F10" s="132">
        <f t="shared" ref="F10:F20" si="0">SUM(C10:E10)</f>
        <v>27842837</v>
      </c>
      <c r="G10" s="132">
        <f>+'SRC5 (Monthly Sales)'!$J$29</f>
        <v>16659587</v>
      </c>
      <c r="H10" s="132">
        <f>+'SRC5 (Monthly Sales)'!$J$30</f>
        <v>4158443</v>
      </c>
      <c r="I10" s="132">
        <f>+'SRC5 (Monthly Sales)'!$J$31</f>
        <v>114621</v>
      </c>
      <c r="J10" s="80">
        <f t="shared" ref="J10:J20" si="1">SUM(G10:I10)</f>
        <v>20932651</v>
      </c>
      <c r="K10" s="49">
        <v>1346</v>
      </c>
      <c r="L10" s="81">
        <f t="shared" ref="L10:L20" si="2">+K9*0.6+K10*0.4</f>
        <v>1406</v>
      </c>
    </row>
    <row r="11" spans="1:12" x14ac:dyDescent="0.2">
      <c r="A11" s="79">
        <v>4</v>
      </c>
      <c r="B11" s="73">
        <v>3</v>
      </c>
      <c r="C11" s="132">
        <f>+'SRC5 (Monthly Sales)'!K25</f>
        <v>12485705</v>
      </c>
      <c r="D11" s="132">
        <f>+'SRC5 (Monthly Sales)'!K26</f>
        <v>5856387</v>
      </c>
      <c r="E11" s="132">
        <f>+'SRC5 (Monthly Sales)'!K27</f>
        <v>3450833</v>
      </c>
      <c r="F11" s="132">
        <f t="shared" si="0"/>
        <v>21792925</v>
      </c>
      <c r="G11" s="132">
        <f>+'SRC5 (Monthly Sales)'!$K$29</f>
        <v>12390793</v>
      </c>
      <c r="H11" s="132">
        <f>+'SRC5 (Monthly Sales)'!$K$30</f>
        <v>3237437</v>
      </c>
      <c r="I11" s="132">
        <f>+'SRC5 (Monthly Sales)'!$K$31</f>
        <v>110783</v>
      </c>
      <c r="J11" s="80">
        <f t="shared" si="1"/>
        <v>15739013</v>
      </c>
      <c r="K11" s="49">
        <v>731</v>
      </c>
      <c r="L11" s="81">
        <f t="shared" si="2"/>
        <v>1100</v>
      </c>
    </row>
    <row r="12" spans="1:12" x14ac:dyDescent="0.2">
      <c r="A12" s="79">
        <v>5</v>
      </c>
      <c r="B12" s="73">
        <v>4</v>
      </c>
      <c r="C12" s="132">
        <f>+'SRC5 (Monthly Sales)'!L25</f>
        <v>7437373</v>
      </c>
      <c r="D12" s="132">
        <f>+'SRC5 (Monthly Sales)'!L26</f>
        <v>3977033</v>
      </c>
      <c r="E12" s="132">
        <f>+'SRC5 (Monthly Sales)'!L27</f>
        <v>2880541</v>
      </c>
      <c r="F12" s="132">
        <f t="shared" si="0"/>
        <v>14294947</v>
      </c>
      <c r="G12" s="132">
        <f>+'SRC5 (Monthly Sales)'!$L$29</f>
        <v>7373580</v>
      </c>
      <c r="H12" s="132">
        <f>+'SRC5 (Monthly Sales)'!$L$30</f>
        <v>2108530</v>
      </c>
      <c r="I12" s="132">
        <f>+'SRC5 (Monthly Sales)'!$L$31</f>
        <v>90405</v>
      </c>
      <c r="J12" s="80">
        <f t="shared" si="1"/>
        <v>9572515</v>
      </c>
      <c r="K12" s="49">
        <v>470</v>
      </c>
      <c r="L12" s="81">
        <f t="shared" si="2"/>
        <v>626.59999999999991</v>
      </c>
    </row>
    <row r="13" spans="1:12" x14ac:dyDescent="0.2">
      <c r="A13" s="79">
        <v>6</v>
      </c>
      <c r="B13" s="73">
        <v>5</v>
      </c>
      <c r="C13" s="132">
        <f>+'SRC5 (Monthly Sales)'!M25</f>
        <v>3328099</v>
      </c>
      <c r="D13" s="132">
        <f>+'SRC5 (Monthly Sales)'!M26</f>
        <v>2501782</v>
      </c>
      <c r="E13" s="132">
        <f>+'SRC5 (Monthly Sales)'!M27</f>
        <v>2498327</v>
      </c>
      <c r="F13" s="132">
        <f t="shared" si="0"/>
        <v>8328208</v>
      </c>
      <c r="G13" s="132">
        <f>+'SRC5 (Monthly Sales)'!$M$29</f>
        <v>3283535</v>
      </c>
      <c r="H13" s="132">
        <f>+'SRC5 (Monthly Sales)'!$M$30</f>
        <v>1171819</v>
      </c>
      <c r="I13" s="132">
        <f>+'SRC5 (Monthly Sales)'!$M$31</f>
        <v>77068</v>
      </c>
      <c r="J13" s="80">
        <f t="shared" si="1"/>
        <v>4532422</v>
      </c>
      <c r="K13" s="49">
        <v>230</v>
      </c>
      <c r="L13" s="81">
        <f t="shared" si="2"/>
        <v>374</v>
      </c>
    </row>
    <row r="14" spans="1:12" x14ac:dyDescent="0.2">
      <c r="A14" s="79">
        <v>7</v>
      </c>
      <c r="B14" s="73">
        <v>6</v>
      </c>
      <c r="C14" s="132">
        <f>+'SRC5 (Monthly Sales)'!N25</f>
        <v>2190960</v>
      </c>
      <c r="D14" s="132">
        <f>+'SRC5 (Monthly Sales)'!N26</f>
        <v>2035767</v>
      </c>
      <c r="E14" s="132">
        <f>+'SRC5 (Monthly Sales)'!N27</f>
        <v>1911762</v>
      </c>
      <c r="F14" s="132">
        <f t="shared" si="0"/>
        <v>6138489</v>
      </c>
      <c r="G14" s="132">
        <f>+'SRC5 (Monthly Sales)'!$N$29</f>
        <v>2170580</v>
      </c>
      <c r="H14" s="132">
        <f>+'SRC5 (Monthly Sales)'!$N$30</f>
        <v>854989</v>
      </c>
      <c r="I14" s="132">
        <f>+'SRC5 (Monthly Sales)'!$N$31</f>
        <v>56715</v>
      </c>
      <c r="J14" s="80">
        <f t="shared" si="1"/>
        <v>3082284</v>
      </c>
      <c r="K14" s="49">
        <v>24</v>
      </c>
      <c r="L14" s="81">
        <f t="shared" si="2"/>
        <v>147.6</v>
      </c>
    </row>
    <row r="15" spans="1:12" x14ac:dyDescent="0.2">
      <c r="A15" s="79">
        <v>8</v>
      </c>
      <c r="B15" s="73">
        <v>7</v>
      </c>
      <c r="C15" s="132">
        <f>+'SRC5 (Monthly Sales)'!O25</f>
        <v>1481691</v>
      </c>
      <c r="D15" s="132">
        <f>+'SRC5 (Monthly Sales)'!O26</f>
        <v>1622267</v>
      </c>
      <c r="E15" s="132">
        <f>+'SRC5 (Monthly Sales)'!O27</f>
        <v>1775615</v>
      </c>
      <c r="F15" s="132">
        <f t="shared" si="0"/>
        <v>4879573</v>
      </c>
      <c r="G15" s="132">
        <f>+'SRC5 (Monthly Sales)'!$O$29</f>
        <v>1458540</v>
      </c>
      <c r="H15" s="132">
        <f>+'SRC5 (Monthly Sales)'!$O$30</f>
        <v>640908</v>
      </c>
      <c r="I15" s="132">
        <f>+'SRC5 (Monthly Sales)'!$O$31</f>
        <v>46195</v>
      </c>
      <c r="J15" s="80">
        <f t="shared" si="1"/>
        <v>2145643</v>
      </c>
      <c r="K15" s="49">
        <v>4</v>
      </c>
      <c r="L15" s="81">
        <f t="shared" si="2"/>
        <v>15.999999999999998</v>
      </c>
    </row>
    <row r="16" spans="1:12" x14ac:dyDescent="0.2">
      <c r="A16" s="79">
        <v>9</v>
      </c>
      <c r="B16" s="73">
        <v>8</v>
      </c>
      <c r="C16" s="132">
        <f>+'SRC5 (Monthly Sales)'!P25</f>
        <v>1272269</v>
      </c>
      <c r="D16" s="132">
        <f>+'SRC5 (Monthly Sales)'!P26</f>
        <v>1611981</v>
      </c>
      <c r="E16" s="132">
        <f>+'SRC5 (Monthly Sales)'!P27</f>
        <v>1733827</v>
      </c>
      <c r="F16" s="132">
        <f t="shared" si="0"/>
        <v>4618077</v>
      </c>
      <c r="G16" s="132">
        <f>+'SRC5 (Monthly Sales)'!$P$29</f>
        <v>1252564</v>
      </c>
      <c r="H16" s="132">
        <f>+'SRC5 (Monthly Sales)'!$P$30</f>
        <v>634641</v>
      </c>
      <c r="I16" s="132">
        <f>+'SRC5 (Monthly Sales)'!$P$31</f>
        <v>45931</v>
      </c>
      <c r="J16" s="80">
        <f t="shared" si="1"/>
        <v>1933136</v>
      </c>
      <c r="K16" s="49">
        <v>19</v>
      </c>
      <c r="L16" s="81">
        <f t="shared" si="2"/>
        <v>10</v>
      </c>
    </row>
    <row r="17" spans="1:17" x14ac:dyDescent="0.2">
      <c r="A17" s="79">
        <v>10</v>
      </c>
      <c r="B17" s="73">
        <v>9</v>
      </c>
      <c r="C17" s="132">
        <f>+'SRC5 (Monthly Sales)'!Q25</f>
        <v>1369796</v>
      </c>
      <c r="D17" s="132">
        <f>+'SRC5 (Monthly Sales)'!Q26</f>
        <v>1755982</v>
      </c>
      <c r="E17" s="132">
        <f>+'SRC5 (Monthly Sales)'!Q27</f>
        <v>1774230</v>
      </c>
      <c r="F17" s="132">
        <f t="shared" si="0"/>
        <v>4900008</v>
      </c>
      <c r="G17" s="132">
        <f>+'SRC5 (Monthly Sales)'!$Q$29</f>
        <v>1347836</v>
      </c>
      <c r="H17" s="132">
        <f>+'SRC5 (Monthly Sales)'!$Q$30</f>
        <v>741569</v>
      </c>
      <c r="I17" s="132">
        <f>+'SRC5 (Monthly Sales)'!$Q$31</f>
        <v>46708</v>
      </c>
      <c r="J17" s="80">
        <f t="shared" si="1"/>
        <v>2136113</v>
      </c>
      <c r="K17" s="49">
        <v>55</v>
      </c>
      <c r="L17" s="81">
        <f t="shared" si="2"/>
        <v>33.4</v>
      </c>
    </row>
    <row r="18" spans="1:17" x14ac:dyDescent="0.2">
      <c r="A18" s="79">
        <v>11</v>
      </c>
      <c r="B18" s="73">
        <v>10</v>
      </c>
      <c r="C18" s="132">
        <f>+'SRC5 (Monthly Sales)'!R25</f>
        <v>2107133</v>
      </c>
      <c r="D18" s="132">
        <f>+'SRC5 (Monthly Sales)'!R26</f>
        <v>1949557</v>
      </c>
      <c r="E18" s="132">
        <f>+'SRC5 (Monthly Sales)'!R27</f>
        <v>1910631</v>
      </c>
      <c r="F18" s="132">
        <f t="shared" si="0"/>
        <v>5967321</v>
      </c>
      <c r="G18" s="132">
        <f>+'SRC5 (Monthly Sales)'!$R$29</f>
        <v>2082446</v>
      </c>
      <c r="H18" s="132">
        <f>+'SRC5 (Monthly Sales)'!$R$30</f>
        <v>877930</v>
      </c>
      <c r="I18" s="132">
        <f>+'SRC5 (Monthly Sales)'!$R$31</f>
        <v>48017</v>
      </c>
      <c r="J18" s="80">
        <f t="shared" si="1"/>
        <v>3008393</v>
      </c>
      <c r="K18" s="49">
        <v>349</v>
      </c>
      <c r="L18" s="81">
        <f t="shared" si="2"/>
        <v>172.6</v>
      </c>
    </row>
    <row r="19" spans="1:17" x14ac:dyDescent="0.2">
      <c r="A19" s="79">
        <v>12</v>
      </c>
      <c r="B19" s="73">
        <v>11</v>
      </c>
      <c r="C19" s="132">
        <f>+'SRC5 (Monthly Sales)'!S25</f>
        <v>4216328</v>
      </c>
      <c r="D19" s="132">
        <f>+'SRC5 (Monthly Sales)'!S26</f>
        <v>3117605</v>
      </c>
      <c r="E19" s="132">
        <f>+'SRC5 (Monthly Sales)'!S27</f>
        <v>2311427</v>
      </c>
      <c r="F19" s="132">
        <f t="shared" si="0"/>
        <v>9645360</v>
      </c>
      <c r="G19" s="132">
        <f>+'SRC5 (Monthly Sales)'!$S$29</f>
        <v>4172453</v>
      </c>
      <c r="H19" s="132">
        <f>+'SRC5 (Monthly Sales)'!$S$30</f>
        <v>1514856</v>
      </c>
      <c r="I19" s="132">
        <f>+'SRC5 (Monthly Sales)'!$S$31</f>
        <v>65076</v>
      </c>
      <c r="J19" s="80">
        <f t="shared" si="1"/>
        <v>5752385</v>
      </c>
      <c r="K19" s="49">
        <v>857</v>
      </c>
      <c r="L19" s="81">
        <f t="shared" si="2"/>
        <v>552.20000000000005</v>
      </c>
    </row>
    <row r="20" spans="1:17" x14ac:dyDescent="0.2">
      <c r="A20" s="79">
        <v>13</v>
      </c>
      <c r="B20" s="73">
        <v>12</v>
      </c>
      <c r="C20" s="132">
        <f>+'SRC5 (Monthly Sales)'!T25</f>
        <v>13069691</v>
      </c>
      <c r="D20" s="132">
        <f>+'SRC5 (Monthly Sales)'!T26</f>
        <v>6304064</v>
      </c>
      <c r="E20" s="132">
        <f>+'SRC5 (Monthly Sales)'!T27</f>
        <v>2591666</v>
      </c>
      <c r="F20" s="132">
        <f t="shared" si="0"/>
        <v>21965421</v>
      </c>
      <c r="G20" s="132">
        <f>+'SRC5 (Monthly Sales)'!$T$29</f>
        <v>12991775</v>
      </c>
      <c r="H20" s="132">
        <f>+'SRC5 (Monthly Sales)'!$T$30</f>
        <v>3561141</v>
      </c>
      <c r="I20" s="132">
        <f>+'SRC5 (Monthly Sales)'!$T$31</f>
        <v>88013</v>
      </c>
      <c r="J20" s="80">
        <f t="shared" si="1"/>
        <v>16640929</v>
      </c>
      <c r="K20" s="49">
        <v>1301</v>
      </c>
      <c r="L20" s="81">
        <f t="shared" si="2"/>
        <v>1034.5999999999999</v>
      </c>
    </row>
    <row r="22" spans="1:17" x14ac:dyDescent="0.2">
      <c r="C22" s="78" t="s">
        <v>417</v>
      </c>
      <c r="D22" s="78" t="s">
        <v>418</v>
      </c>
      <c r="E22" s="78" t="s">
        <v>419</v>
      </c>
      <c r="F22" s="78"/>
      <c r="G22" s="78" t="s">
        <v>417</v>
      </c>
      <c r="H22" s="78" t="s">
        <v>418</v>
      </c>
      <c r="I22" s="78" t="s">
        <v>419</v>
      </c>
      <c r="J22" s="78"/>
      <c r="K22" s="78"/>
      <c r="L22" s="78"/>
    </row>
    <row r="23" spans="1:17" x14ac:dyDescent="0.2">
      <c r="B23" s="73"/>
      <c r="C23" s="78" t="s">
        <v>299</v>
      </c>
      <c r="D23" s="78" t="s">
        <v>299</v>
      </c>
      <c r="E23" s="78" t="s">
        <v>299</v>
      </c>
      <c r="F23" s="78" t="s">
        <v>463</v>
      </c>
      <c r="G23" s="78" t="s">
        <v>299</v>
      </c>
      <c r="H23" s="78" t="s">
        <v>299</v>
      </c>
      <c r="I23" s="78" t="s">
        <v>299</v>
      </c>
      <c r="J23" s="78" t="s">
        <v>463</v>
      </c>
      <c r="K23" s="78"/>
      <c r="L23" s="78"/>
    </row>
    <row r="24" spans="1:17" x14ac:dyDescent="0.2">
      <c r="A24" s="77" t="s">
        <v>24</v>
      </c>
      <c r="B24" s="76" t="s">
        <v>247</v>
      </c>
      <c r="C24" s="76" t="s">
        <v>177</v>
      </c>
      <c r="D24" s="76" t="s">
        <v>177</v>
      </c>
      <c r="E24" s="76" t="s">
        <v>177</v>
      </c>
      <c r="F24" s="76" t="s">
        <v>177</v>
      </c>
      <c r="G24" s="76" t="s">
        <v>449</v>
      </c>
      <c r="H24" s="76" t="s">
        <v>449</v>
      </c>
      <c r="I24" s="76" t="s">
        <v>449</v>
      </c>
      <c r="J24" s="76" t="s">
        <v>449</v>
      </c>
      <c r="K24" s="162" t="s">
        <v>906</v>
      </c>
      <c r="L24" s="78" t="s">
        <v>44</v>
      </c>
    </row>
    <row r="25" spans="1:17" x14ac:dyDescent="0.2">
      <c r="A25" s="79"/>
      <c r="B25" s="86" t="s">
        <v>26</v>
      </c>
      <c r="C25" s="86" t="s">
        <v>27</v>
      </c>
      <c r="D25" s="86" t="s">
        <v>28</v>
      </c>
      <c r="E25" s="86" t="s">
        <v>29</v>
      </c>
      <c r="F25" s="86" t="s">
        <v>36</v>
      </c>
      <c r="G25" s="86" t="s">
        <v>30</v>
      </c>
      <c r="H25" s="86" t="s">
        <v>31</v>
      </c>
      <c r="I25" s="86" t="s">
        <v>32</v>
      </c>
      <c r="J25" s="86" t="s">
        <v>33</v>
      </c>
      <c r="K25" s="86" t="s">
        <v>34</v>
      </c>
      <c r="L25" s="78"/>
    </row>
    <row r="26" spans="1:17" x14ac:dyDescent="0.2">
      <c r="A26" s="79"/>
      <c r="B26" s="86"/>
      <c r="C26" s="86"/>
      <c r="D26" s="86"/>
      <c r="E26" s="86"/>
      <c r="F26" s="86"/>
      <c r="G26" s="86"/>
      <c r="H26" s="86"/>
      <c r="I26" s="86"/>
      <c r="J26" s="86"/>
      <c r="K26" s="78"/>
      <c r="L26" s="78"/>
    </row>
    <row r="27" spans="1:17" x14ac:dyDescent="0.2">
      <c r="A27" s="79">
        <v>14</v>
      </c>
      <c r="B27" s="78" t="s">
        <v>461</v>
      </c>
      <c r="C27" s="80">
        <f>SLOPE(C9:C20,$L9:$L20)</f>
        <v>11714.205274668053</v>
      </c>
      <c r="D27" s="80">
        <f t="shared" ref="D27:J27" si="3">SLOPE(D9:D20,$L9:$L20)</f>
        <v>4624.2964589247131</v>
      </c>
      <c r="E27" s="80">
        <f t="shared" si="3"/>
        <v>1226.2384925955637</v>
      </c>
      <c r="F27" s="80">
        <f t="shared" si="3"/>
        <v>17564.740226188329</v>
      </c>
      <c r="G27" s="80">
        <f t="shared" si="3"/>
        <v>11689.560921612345</v>
      </c>
      <c r="H27" s="80">
        <f t="shared" si="3"/>
        <v>2814.9277026649966</v>
      </c>
      <c r="I27" s="80">
        <f>SLOPE(I9:I20,$L9:$L20)</f>
        <v>49.597883681391203</v>
      </c>
      <c r="J27" s="80">
        <f t="shared" si="3"/>
        <v>14554.086507958731</v>
      </c>
      <c r="L27" s="73" t="s">
        <v>607</v>
      </c>
    </row>
    <row r="28" spans="1:17" x14ac:dyDescent="0.2">
      <c r="A28" s="79">
        <v>15</v>
      </c>
      <c r="B28" s="78" t="s">
        <v>462</v>
      </c>
      <c r="C28" s="132">
        <f>INTERCEPT(C9:C20,$L9:$L20)</f>
        <v>290131.6809553951</v>
      </c>
      <c r="D28" s="80">
        <f t="shared" ref="D28:J28" si="4">INTERCEPT(D9:D20,$L9:$L20)</f>
        <v>1268793.6816069707</v>
      </c>
      <c r="E28" s="80">
        <f t="shared" si="4"/>
        <v>1777924.020023569</v>
      </c>
      <c r="F28" s="80">
        <f t="shared" si="4"/>
        <v>3336849.3825859353</v>
      </c>
      <c r="G28" s="80">
        <f t="shared" si="4"/>
        <v>263754.65082204156</v>
      </c>
      <c r="H28" s="80">
        <f t="shared" si="4"/>
        <v>431089.66566318786</v>
      </c>
      <c r="I28" s="80">
        <f t="shared" si="4"/>
        <v>46893.941928144937</v>
      </c>
      <c r="J28" s="80">
        <f t="shared" si="4"/>
        <v>741738.25841337536</v>
      </c>
      <c r="L28" s="73" t="s">
        <v>608</v>
      </c>
    </row>
    <row r="29" spans="1:17" x14ac:dyDescent="0.2">
      <c r="L29" s="73"/>
      <c r="Q29" s="163"/>
    </row>
    <row r="30" spans="1:17" x14ac:dyDescent="0.2">
      <c r="A30" s="79">
        <v>16</v>
      </c>
      <c r="B30" s="341" t="s">
        <v>1056</v>
      </c>
      <c r="C30" s="342">
        <f>C27*$K30</f>
        <v>1147992.1169174691</v>
      </c>
      <c r="D30" s="342">
        <f t="shared" ref="D30:J30" si="5">D27*$K30</f>
        <v>453181.05297462188</v>
      </c>
      <c r="E30" s="342">
        <f>+E35-E31</f>
        <v>106988.10848048754</v>
      </c>
      <c r="F30" s="342">
        <f>SUM(C30:E30)</f>
        <v>1708161.2783725783</v>
      </c>
      <c r="G30" s="342">
        <f t="shared" si="5"/>
        <v>1145576.9703180098</v>
      </c>
      <c r="H30" s="342">
        <f t="shared" si="5"/>
        <v>275862.91486116964</v>
      </c>
      <c r="I30" s="342">
        <f t="shared" si="5"/>
        <v>4860.5926007763383</v>
      </c>
      <c r="J30" s="342">
        <f t="shared" si="5"/>
        <v>1426300.4777799556</v>
      </c>
      <c r="K30" s="343">
        <v>98</v>
      </c>
      <c r="L30" s="345" t="s">
        <v>1055</v>
      </c>
      <c r="M30" s="344"/>
      <c r="N30" s="344"/>
    </row>
    <row r="31" spans="1:17" x14ac:dyDescent="0.2">
      <c r="A31" s="79">
        <v>17</v>
      </c>
      <c r="B31" s="78" t="s">
        <v>246</v>
      </c>
      <c r="C31" s="75">
        <f>C28/$K31</f>
        <v>9537.5306033989182</v>
      </c>
      <c r="D31" s="75">
        <f t="shared" ref="D31:J31" si="6">D28/$K31</f>
        <v>41709.194004173922</v>
      </c>
      <c r="E31" s="75">
        <f t="shared" si="6"/>
        <v>58445.891519512457</v>
      </c>
      <c r="F31" s="75">
        <f t="shared" si="6"/>
        <v>109692.6161270853</v>
      </c>
      <c r="G31" s="75">
        <f t="shared" si="6"/>
        <v>8670.4355957278622</v>
      </c>
      <c r="H31" s="75">
        <f t="shared" si="6"/>
        <v>14171.257911347397</v>
      </c>
      <c r="I31" s="75">
        <f t="shared" si="6"/>
        <v>1541.5497017799123</v>
      </c>
      <c r="J31" s="75">
        <f t="shared" si="6"/>
        <v>24383.243208855205</v>
      </c>
      <c r="K31" s="345">
        <v>30.42</v>
      </c>
      <c r="L31" s="345" t="s">
        <v>677</v>
      </c>
    </row>
    <row r="32" spans="1:17" x14ac:dyDescent="0.2">
      <c r="A32" s="79">
        <v>18</v>
      </c>
      <c r="B32" s="78" t="s">
        <v>177</v>
      </c>
      <c r="C32" s="75">
        <f>SUM(C30:C31)</f>
        <v>1157529.6475208681</v>
      </c>
      <c r="D32" s="75">
        <f t="shared" ref="D32:H32" si="7">SUM(D30:D31)</f>
        <v>494890.2469787958</v>
      </c>
      <c r="E32" s="75">
        <f t="shared" si="7"/>
        <v>165434</v>
      </c>
      <c r="F32" s="75">
        <f>SUM(C32:E32)</f>
        <v>1817853.894499664</v>
      </c>
      <c r="G32" s="75">
        <f t="shared" si="7"/>
        <v>1154247.4059137376</v>
      </c>
      <c r="H32" s="75">
        <f t="shared" si="7"/>
        <v>290034.17277251702</v>
      </c>
      <c r="I32" s="75">
        <f>SUM(I30:I31)</f>
        <v>6402.1423025562508</v>
      </c>
      <c r="J32" s="75">
        <f>SUM(G32:I32)</f>
        <v>1450683.7209888108</v>
      </c>
      <c r="K32" s="344"/>
      <c r="L32" s="345" t="s">
        <v>605</v>
      </c>
    </row>
    <row r="33" spans="1:12" x14ac:dyDescent="0.2">
      <c r="A33" s="79"/>
      <c r="B33" s="78"/>
      <c r="C33" s="75"/>
      <c r="D33" s="75"/>
      <c r="E33" s="75"/>
      <c r="F33" s="75"/>
      <c r="G33" s="75"/>
      <c r="H33" s="75"/>
      <c r="I33" s="75"/>
      <c r="J33" s="75"/>
      <c r="K33" s="344"/>
      <c r="L33" s="164"/>
    </row>
    <row r="34" spans="1:12" x14ac:dyDescent="0.2">
      <c r="A34" s="79">
        <v>19</v>
      </c>
      <c r="B34" s="78" t="s">
        <v>521</v>
      </c>
      <c r="C34" s="75">
        <f>SUM(C9:C20)/$K34</f>
        <v>227050.50684931508</v>
      </c>
      <c r="D34" s="75">
        <f>SUM(D9:D20)/$K34</f>
        <v>127578.71506849315</v>
      </c>
      <c r="E34" s="75">
        <f t="shared" ref="E34:J34" si="8">SUM(E9:E20)/$K34</f>
        <v>81221.361643835611</v>
      </c>
      <c r="F34" s="75">
        <f t="shared" si="8"/>
        <v>435850.58356164384</v>
      </c>
      <c r="G34" s="75">
        <f t="shared" si="8"/>
        <v>225725.71506849315</v>
      </c>
      <c r="H34" s="75">
        <f t="shared" si="8"/>
        <v>66441.005479452055</v>
      </c>
      <c r="I34" s="75">
        <f t="shared" si="8"/>
        <v>2462.66301369863</v>
      </c>
      <c r="J34" s="75">
        <f t="shared" si="8"/>
        <v>294629.38356164383</v>
      </c>
      <c r="K34" s="345">
        <v>365</v>
      </c>
      <c r="L34" s="345" t="s">
        <v>603</v>
      </c>
    </row>
    <row r="35" spans="1:12" x14ac:dyDescent="0.2">
      <c r="A35" s="79">
        <v>20</v>
      </c>
      <c r="B35" s="78" t="s">
        <v>522</v>
      </c>
      <c r="C35" s="75">
        <f>C32</f>
        <v>1157529.6475208681</v>
      </c>
      <c r="D35" s="75">
        <f t="shared" ref="D35:J35" si="9">D32</f>
        <v>494890.2469787958</v>
      </c>
      <c r="E35" s="75">
        <v>165434</v>
      </c>
      <c r="F35" s="75">
        <f t="shared" si="9"/>
        <v>1817853.894499664</v>
      </c>
      <c r="G35" s="75">
        <f t="shared" si="9"/>
        <v>1154247.4059137376</v>
      </c>
      <c r="H35" s="75">
        <f t="shared" si="9"/>
        <v>290034.17277251702</v>
      </c>
      <c r="I35" s="75">
        <f>I32</f>
        <v>6402.1423025562508</v>
      </c>
      <c r="J35" s="75">
        <f t="shared" si="9"/>
        <v>1450683.7209888108</v>
      </c>
      <c r="L35" s="345" t="s">
        <v>1199</v>
      </c>
    </row>
    <row r="36" spans="1:12" x14ac:dyDescent="0.2">
      <c r="L36" s="164"/>
    </row>
    <row r="37" spans="1:12" x14ac:dyDescent="0.2">
      <c r="A37" s="79">
        <v>21</v>
      </c>
      <c r="B37" s="193" t="s">
        <v>523</v>
      </c>
      <c r="C37" s="194">
        <f>C32/$F32</f>
        <v>0.63675615021825516</v>
      </c>
      <c r="D37" s="194">
        <f>D32/$F32</f>
        <v>0.27223873627919182</v>
      </c>
      <c r="E37" s="194">
        <f>E32/$F32</f>
        <v>9.1005113502553039E-2</v>
      </c>
      <c r="F37" s="195">
        <f>SUM(C37:E37)</f>
        <v>1</v>
      </c>
      <c r="G37" s="194">
        <f>G32/$J32</f>
        <v>0.79565751597941892</v>
      </c>
      <c r="H37" s="194">
        <f>H32/$J32</f>
        <v>0.19992929442595853</v>
      </c>
      <c r="I37" s="194">
        <f>I32/$J32</f>
        <v>4.4131895946226251E-3</v>
      </c>
      <c r="J37" s="195">
        <f>SUM(G37:I37)</f>
        <v>1</v>
      </c>
      <c r="L37" s="345" t="s">
        <v>613</v>
      </c>
    </row>
    <row r="38" spans="1:12" x14ac:dyDescent="0.2">
      <c r="A38" s="79">
        <v>22</v>
      </c>
      <c r="B38" s="78" t="s">
        <v>499</v>
      </c>
      <c r="C38" s="74">
        <f>C34/C35</f>
        <v>0.196150921348407</v>
      </c>
      <c r="D38" s="74">
        <f>D34/D35</f>
        <v>0.25779193638859371</v>
      </c>
      <c r="E38" s="74">
        <f>E34/E35</f>
        <v>0.49095930488192036</v>
      </c>
      <c r="F38" s="98"/>
      <c r="G38" s="74"/>
      <c r="H38" s="74"/>
      <c r="I38" s="74"/>
      <c r="J38" s="98"/>
      <c r="L38" s="345" t="s">
        <v>606</v>
      </c>
    </row>
    <row r="39" spans="1:12" x14ac:dyDescent="0.2">
      <c r="K39" s="73"/>
    </row>
    <row r="40" spans="1:12" x14ac:dyDescent="0.2">
      <c r="A40" s="79">
        <v>23</v>
      </c>
      <c r="E40" s="78" t="s">
        <v>451</v>
      </c>
      <c r="F40" s="75">
        <f>SUM(F9:F20)</f>
        <v>159085463</v>
      </c>
      <c r="G40" s="73" t="s">
        <v>609</v>
      </c>
      <c r="K40" s="73"/>
    </row>
    <row r="41" spans="1:12" x14ac:dyDescent="0.2">
      <c r="A41" s="79">
        <v>24</v>
      </c>
      <c r="E41" s="78" t="s">
        <v>497</v>
      </c>
      <c r="F41" s="80">
        <f>F40/365</f>
        <v>435850.58356164384</v>
      </c>
      <c r="G41" s="73" t="s">
        <v>610</v>
      </c>
      <c r="K41" s="73"/>
    </row>
    <row r="42" spans="1:12" x14ac:dyDescent="0.2">
      <c r="A42" s="79">
        <v>25</v>
      </c>
      <c r="E42" s="78" t="s">
        <v>498</v>
      </c>
      <c r="F42" s="75">
        <f>F32</f>
        <v>1817853.894499664</v>
      </c>
      <c r="G42" s="73" t="s">
        <v>604</v>
      </c>
      <c r="K42" s="73"/>
    </row>
    <row r="43" spans="1:12" x14ac:dyDescent="0.2">
      <c r="A43" s="79">
        <v>26</v>
      </c>
      <c r="E43" s="78" t="s">
        <v>499</v>
      </c>
      <c r="F43" s="169">
        <f>F41/F42</f>
        <v>0.23976106379088566</v>
      </c>
      <c r="G43" s="73" t="s">
        <v>611</v>
      </c>
      <c r="K43" s="73"/>
    </row>
    <row r="45" spans="1:12" x14ac:dyDescent="0.2">
      <c r="A45" s="73" t="s">
        <v>45</v>
      </c>
    </row>
    <row r="46" spans="1:12" x14ac:dyDescent="0.2">
      <c r="A46" s="345" t="s">
        <v>1136</v>
      </c>
    </row>
    <row r="47" spans="1:12" x14ac:dyDescent="0.2">
      <c r="A47" s="345" t="s">
        <v>1137</v>
      </c>
    </row>
    <row r="48" spans="1:12" x14ac:dyDescent="0.2">
      <c r="A48" s="345" t="s">
        <v>600</v>
      </c>
    </row>
    <row r="49" spans="1:1" x14ac:dyDescent="0.2">
      <c r="A49" s="345" t="s">
        <v>601</v>
      </c>
    </row>
    <row r="50" spans="1:1" x14ac:dyDescent="0.2">
      <c r="A50" s="345" t="s">
        <v>602</v>
      </c>
    </row>
    <row r="51" spans="1:1" x14ac:dyDescent="0.2">
      <c r="A51" s="345" t="s">
        <v>1193</v>
      </c>
    </row>
    <row r="52" spans="1:1" x14ac:dyDescent="0.2">
      <c r="A52" s="345" t="s">
        <v>1201</v>
      </c>
    </row>
    <row r="53" spans="1:1" x14ac:dyDescent="0.2">
      <c r="A53" s="345" t="s">
        <v>1114</v>
      </c>
    </row>
    <row r="54" spans="1:1" x14ac:dyDescent="0.2">
      <c r="A54" s="73" t="s">
        <v>612</v>
      </c>
    </row>
    <row r="55" spans="1:1" x14ac:dyDescent="0.2">
      <c r="A55" s="345" t="s">
        <v>799</v>
      </c>
    </row>
    <row r="56" spans="1:1" x14ac:dyDescent="0.2">
      <c r="A56" s="345" t="s">
        <v>800</v>
      </c>
    </row>
    <row r="57" spans="1:1" x14ac:dyDescent="0.2">
      <c r="A57" s="404"/>
    </row>
    <row r="88" spans="17:17" ht="15" x14ac:dyDescent="0.25">
      <c r="Q88" s="165"/>
    </row>
  </sheetData>
  <mergeCells count="1">
    <mergeCell ref="C2:J2"/>
  </mergeCells>
  <pageMargins left="0.7" right="0.7" top="1.2291666666666667" bottom="0.75" header="0.3" footer="0.3"/>
  <pageSetup scale="59" pageOrder="overThenDown" orientation="landscape" useFirstPageNumber="1" r:id="rId1"/>
  <headerFooter alignWithMargins="0">
    <oddHeader>&amp;CRULE 20:10:13:98
STATEMENT O WORKPAPER - Tab &amp;A
Design Day Peak Calculations
Test Year Ending December 31, 2025
Utility: MidAmerican Energy Company
Docket No. NG26-___
Individual Responsible: Stephen Stratton&amp;RPage &amp;P of &amp;N</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FEF3B-D00F-41CB-81C8-CA43BADA32F0}">
  <sheetPr codeName="Sheet20">
    <pageSetUpPr fitToPage="1"/>
  </sheetPr>
  <dimension ref="A1:O95"/>
  <sheetViews>
    <sheetView view="pageLayout" zoomScaleNormal="100" workbookViewId="0">
      <selection activeCell="K15" sqref="K15"/>
    </sheetView>
  </sheetViews>
  <sheetFormatPr defaultRowHeight="12.75" x14ac:dyDescent="0.2"/>
  <cols>
    <col min="1" max="1" width="15.7109375" style="66" customWidth="1"/>
    <col min="2" max="2" width="12.140625" style="66" customWidth="1"/>
    <col min="3" max="3" width="15.5703125" style="66" customWidth="1"/>
    <col min="4" max="4" width="14.7109375" style="66" customWidth="1"/>
    <col min="5" max="5" width="14" style="67" customWidth="1"/>
    <col min="6" max="6" width="15.5703125" style="66" customWidth="1"/>
    <col min="7" max="7" width="15.28515625" style="66" customWidth="1"/>
    <col min="8" max="8" width="15" customWidth="1"/>
    <col min="9" max="9" width="19.5703125" customWidth="1"/>
    <col min="10" max="10" width="11.7109375" bestFit="1" customWidth="1"/>
    <col min="11" max="11" width="14.7109375" customWidth="1"/>
    <col min="13" max="13" width="16.5703125" bestFit="1" customWidth="1"/>
    <col min="14" max="14" width="19" bestFit="1" customWidth="1"/>
    <col min="15" max="15" width="12.28515625" bestFit="1" customWidth="1"/>
  </cols>
  <sheetData>
    <row r="1" spans="1:11" s="39" customFormat="1" ht="18" x14ac:dyDescent="0.25">
      <c r="A1" s="39" t="s">
        <v>284</v>
      </c>
    </row>
    <row r="2" spans="1:11" s="39" customFormat="1" ht="18" x14ac:dyDescent="0.25">
      <c r="A2" s="39" t="s">
        <v>909</v>
      </c>
    </row>
    <row r="3" spans="1:11" s="39" customFormat="1" ht="18" x14ac:dyDescent="0.25">
      <c r="A3" s="39" t="s">
        <v>552</v>
      </c>
    </row>
    <row r="4" spans="1:11" s="39" customFormat="1" ht="18" x14ac:dyDescent="0.25"/>
    <row r="6" spans="1:11" x14ac:dyDescent="0.2">
      <c r="A6" s="66" t="s">
        <v>1021</v>
      </c>
      <c r="H6" s="4"/>
      <c r="I6" s="4"/>
    </row>
    <row r="7" spans="1:11" x14ac:dyDescent="0.2">
      <c r="H7" s="4"/>
      <c r="I7" s="4"/>
    </row>
    <row r="8" spans="1:11" x14ac:dyDescent="0.2">
      <c r="C8" s="67" t="s">
        <v>501</v>
      </c>
      <c r="D8" s="67"/>
      <c r="F8" s="67" t="s">
        <v>370</v>
      </c>
      <c r="G8" s="350"/>
      <c r="H8" s="351" t="s">
        <v>177</v>
      </c>
      <c r="I8" s="352" t="s">
        <v>450</v>
      </c>
    </row>
    <row r="9" spans="1:11" x14ac:dyDescent="0.2">
      <c r="A9" s="347" t="s">
        <v>249</v>
      </c>
      <c r="B9" s="353" t="s">
        <v>175</v>
      </c>
      <c r="C9" s="353" t="s">
        <v>142</v>
      </c>
      <c r="D9" s="353" t="s">
        <v>283</v>
      </c>
      <c r="E9" s="353" t="s">
        <v>450</v>
      </c>
      <c r="F9" s="353" t="s">
        <v>371</v>
      </c>
      <c r="G9" s="354" t="s">
        <v>177</v>
      </c>
      <c r="H9" s="353" t="s">
        <v>504</v>
      </c>
      <c r="I9" s="355" t="s">
        <v>504</v>
      </c>
    </row>
    <row r="10" spans="1:11" x14ac:dyDescent="0.2">
      <c r="A10" s="96" t="s">
        <v>670</v>
      </c>
      <c r="B10" s="66">
        <v>1</v>
      </c>
      <c r="C10" s="24">
        <f>SUMIF('SRC-1 (S.D. Sales)'!$F$9:$F$28,'Billing Determinants'!A10,'SRC-1 (S.D. Sales)'!$H$9:$H$28)</f>
        <v>264091</v>
      </c>
      <c r="D10" s="24">
        <f>SUMIF('SRC-1 (S.D. Sales)'!$F$9:$F$28,$A10,'SRC-1 (S.D. Sales)'!I$9:I$28)</f>
        <v>562.67775176625298</v>
      </c>
      <c r="E10" s="24">
        <f>SUMIF('SRC-1 (S.D. Sales)'!$F$9:$F$28,$A10,'SRC-1 (S.D. Sales)'!J$9:J$28)</f>
        <v>0</v>
      </c>
      <c r="F10" s="24">
        <f>SUMIF('SRC-1 (S.D. Sales)'!$F$9:$F$28,$A10,'SRC-1 (S.D. Sales)'!K$9:K$28)</f>
        <v>0</v>
      </c>
      <c r="G10" s="356">
        <f>SUM(C10:F10)</f>
        <v>264653.67775176623</v>
      </c>
      <c r="H10" s="357">
        <f>SUMIF('SRC-4 (S.D. Customers)'!$E$9:$E$24,$A10,'SRC-4 (S.D. Customers)'!G$9:G$24)</f>
        <v>1756</v>
      </c>
      <c r="I10" s="358">
        <v>0</v>
      </c>
      <c r="K10" s="101"/>
    </row>
    <row r="11" spans="1:11" x14ac:dyDescent="0.2">
      <c r="A11" s="96" t="s">
        <v>435</v>
      </c>
      <c r="B11" s="66">
        <v>1</v>
      </c>
      <c r="C11" s="24">
        <f>SUMIF('SRC-1 (S.D. Sales)'!$F$9:$F$28,'Billing Determinants'!A11,'SRC-1 (S.D. Sales)'!$H$9:$H$28)</f>
        <v>232691</v>
      </c>
      <c r="D11" s="24">
        <f>SUMIF('SRC-1 (S.D. Sales)'!$F$9:$F$28,$A11,'SRC-1 (S.D. Sales)'!I$9:I$28)</f>
        <v>44.413208795351657</v>
      </c>
      <c r="E11" s="24">
        <f>SUMIF('SRC-1 (S.D. Sales)'!$F$9:$F$28,$A11,'SRC-1 (S.D. Sales)'!J$9:J$28)</f>
        <v>0</v>
      </c>
      <c r="F11" s="24">
        <f>SUMIF('SRC-1 (S.D. Sales)'!$F$9:$F$28,$A11,'SRC-1 (S.D. Sales)'!K$9:K$28)</f>
        <v>0</v>
      </c>
      <c r="G11" s="356">
        <f>SUM(C11:F11)</f>
        <v>232735.41320879536</v>
      </c>
      <c r="H11" s="357">
        <f>SUMIF('SRC-4 (S.D. Customers)'!$E$9:$E$24,$A11,'SRC-4 (S.D. Customers)'!G$9:G$24)</f>
        <v>42</v>
      </c>
      <c r="I11" s="358">
        <f>SUMIF('SRC-4 (S.D. Customers)'!$E$20:$E$24,$A11,'SRC-4 (S.D. Customers)'!G$20:G$24)</f>
        <v>0</v>
      </c>
    </row>
    <row r="12" spans="1:11" x14ac:dyDescent="0.2">
      <c r="A12" s="96" t="s">
        <v>669</v>
      </c>
      <c r="B12" s="66">
        <v>1</v>
      </c>
      <c r="C12" s="24">
        <f>SUMIF('SRC-1 (S.D. Sales)'!$F$9:$F$28,'Billing Determinants'!A12,'SRC-1 (S.D. Sales)'!$H$9:$H$28)</f>
        <v>0</v>
      </c>
      <c r="D12" s="24">
        <f>SUMIF('SRC-1 (S.D. Sales)'!$F$9:$F$28,$A12,'SRC-1 (S.D. Sales)'!I$9:I$28)</f>
        <v>0</v>
      </c>
      <c r="E12" s="24">
        <f>SUMIF('SRC-1 (S.D. Sales)'!$F$9:$F$28,$A12,'SRC-1 (S.D. Sales)'!J$9:J$28)</f>
        <v>0</v>
      </c>
      <c r="F12" s="24">
        <f>SUMIF('SRC-1 (S.D. Sales)'!$F$9:$F$28,$A12,'SRC-1 (S.D. Sales)'!K$9:K$28)</f>
        <v>0</v>
      </c>
      <c r="G12" s="356">
        <f t="shared" ref="G12:G22" si="0">SUM(C12:F12)</f>
        <v>0</v>
      </c>
      <c r="H12" s="357">
        <f>SUMIF('SRC-4 (S.D. Customers)'!$E$9:$E$24,$A12,'SRC-4 (S.D. Customers)'!G$9:G$24)</f>
        <v>0</v>
      </c>
      <c r="I12" s="358">
        <f>SUMIF('SRC-4 (S.D. Customers)'!$E$20:$E$24,$A12,'SRC-4 (S.D. Customers)'!G$20:G$24)</f>
        <v>0</v>
      </c>
    </row>
    <row r="13" spans="1:11" x14ac:dyDescent="0.2">
      <c r="A13" s="96" t="s">
        <v>439</v>
      </c>
      <c r="B13" s="66">
        <v>1</v>
      </c>
      <c r="C13" s="24">
        <f>SUMIF('SRC-1 (S.D. Sales)'!$F$9:$F$28,'Billing Determinants'!A13,'SRC-1 (S.D. Sales)'!$H$9:$H$28)</f>
        <v>483549</v>
      </c>
      <c r="D13" s="24">
        <f>SUMIF('SRC-1 (S.D. Sales)'!$F$9:$F$28,$A13,'SRC-1 (S.D. Sales)'!I$9:I$28)</f>
        <v>0</v>
      </c>
      <c r="E13" s="24">
        <f>SUMIF('SRC-1 (S.D. Sales)'!$F$9:$F$28,$A13,'SRC-1 (S.D. Sales)'!J$9:J$28)</f>
        <v>4782.7560052394629</v>
      </c>
      <c r="F13" s="24">
        <f>SUMIF('SRC-1 (S.D. Sales)'!$F$9:$F$28,$A13,'SRC-1 (S.D. Sales)'!K$9:K$28)</f>
        <v>17743</v>
      </c>
      <c r="G13" s="356">
        <f t="shared" si="0"/>
        <v>506074.75600523944</v>
      </c>
      <c r="H13" s="357">
        <f>SUMIF('SRC-4 (S.D. Customers)'!$E$9:$E$24,$A13,'SRC-4 (S.D. Customers)'!G$9:G$24)</f>
        <v>1352</v>
      </c>
      <c r="I13" s="358">
        <f>H13</f>
        <v>1352</v>
      </c>
    </row>
    <row r="14" spans="1:11" x14ac:dyDescent="0.2">
      <c r="A14" s="96" t="s">
        <v>668</v>
      </c>
      <c r="B14" s="66">
        <v>1</v>
      </c>
      <c r="C14" s="24">
        <f>SUMIF('SRC-1 (S.D. Sales)'!$F$9:$F$28,'Billing Determinants'!A14,'SRC-1 (S.D. Sales)'!$H$9:$H$28)</f>
        <v>81705045</v>
      </c>
      <c r="D14" s="24">
        <f>SUMIF('SRC-1 (S.D. Sales)'!$F$9:$F$28,$A14,'SRC-1 (S.D. Sales)'!I$9:I$28)</f>
        <v>119787.91001258072</v>
      </c>
      <c r="E14" s="24">
        <f>SUMIF('SRC-1 (S.D. Sales)'!$F$9:$F$28,$A14,'SRC-1 (S.D. Sales)'!J$9:J$28)</f>
        <v>0</v>
      </c>
      <c r="F14" s="24">
        <f>SUMIF('SRC-1 (S.D. Sales)'!$F$9:$F$28,$A14,'SRC-1 (S.D. Sales)'!K$9:K$28)</f>
        <v>3035577</v>
      </c>
      <c r="G14" s="356">
        <f t="shared" si="0"/>
        <v>84860409.910012588</v>
      </c>
      <c r="H14" s="357">
        <f>SUMIF('SRC-4 (S.D. Customers)'!$E$9:$E$24,$A14,'SRC-4 (S.D. Customers)'!G$9:G$24)</f>
        <v>1341995</v>
      </c>
      <c r="I14" s="358">
        <v>0</v>
      </c>
    </row>
    <row r="15" spans="1:11" x14ac:dyDescent="0.2">
      <c r="A15" s="96" t="s">
        <v>436</v>
      </c>
      <c r="B15" s="66">
        <v>1</v>
      </c>
      <c r="C15" s="24">
        <f>SUMIF('SRC-1 (S.D. Sales)'!$F$9:$F$28,'Billing Determinants'!A15,'SRC-1 (S.D. Sales)'!$H$9:$H$28)</f>
        <v>188059</v>
      </c>
      <c r="D15" s="24">
        <f>SUMIF('SRC-1 (S.D. Sales)'!$F$9:$F$28,$A15,'SRC-1 (S.D. Sales)'!I$9:I$28)</f>
        <v>278.67501488833557</v>
      </c>
      <c r="E15" s="24">
        <f>SUMIF('SRC-1 (S.D. Sales)'!$F$9:$F$28,$A15,'SRC-1 (S.D. Sales)'!J$9:J$28)</f>
        <v>0</v>
      </c>
      <c r="F15" s="24">
        <f>SUMIF('SRC-1 (S.D. Sales)'!$F$9:$F$28,$A15,'SRC-1 (S.D. Sales)'!K$9:K$28)</f>
        <v>0</v>
      </c>
      <c r="G15" s="356">
        <f t="shared" si="0"/>
        <v>188337.67501488834</v>
      </c>
      <c r="H15" s="357">
        <f>SUMIF('SRC-4 (S.D. Customers)'!$E$9:$E$24,$A15,'SRC-4 (S.D. Customers)'!G$9:G$24)</f>
        <v>62</v>
      </c>
      <c r="I15" s="358">
        <v>0</v>
      </c>
      <c r="K15" s="101"/>
    </row>
    <row r="16" spans="1:11" x14ac:dyDescent="0.2">
      <c r="A16" s="96" t="s">
        <v>667</v>
      </c>
      <c r="B16" s="66">
        <v>2</v>
      </c>
      <c r="C16" s="24">
        <f>SUMIF('SRC-1 (S.D. Sales)'!$F$9:$F$28,'Billing Determinants'!A16,'SRC-1 (S.D. Sales)'!$H$9:$H$28)</f>
        <v>9566541</v>
      </c>
      <c r="D16" s="24">
        <f>SUMIF('SRC-1 (S.D. Sales)'!$F$9:$F$28,$A16,'SRC-1 (S.D. Sales)'!I$9:I$28)</f>
        <v>0</v>
      </c>
      <c r="E16" s="24">
        <f>SUMIF('SRC-1 (S.D. Sales)'!$F$9:$F$28,$A16,'SRC-1 (S.D. Sales)'!J$9:J$28)</f>
        <v>94622.119820575666</v>
      </c>
      <c r="F16" s="24">
        <f>SUMIF('SRC-1 (S.D. Sales)'!$F$9:$F$28,$A16,'SRC-1 (S.D. Sales)'!K$9:K$28)</f>
        <v>170659</v>
      </c>
      <c r="G16" s="356">
        <f t="shared" si="0"/>
        <v>9831822.1198205762</v>
      </c>
      <c r="H16" s="357">
        <f>SUMIF('SRC-4 (S.D. Customers)'!$E$9:$E$24,$A16,'SRC-4 (S.D. Customers)'!G$9:G$24)</f>
        <v>994</v>
      </c>
      <c r="I16" s="358">
        <f>H16</f>
        <v>994</v>
      </c>
    </row>
    <row r="17" spans="1:14" x14ac:dyDescent="0.2">
      <c r="A17" s="96" t="s">
        <v>438</v>
      </c>
      <c r="B17" s="66">
        <v>2</v>
      </c>
      <c r="C17" s="24">
        <f>SUMIF('SRC-1 (S.D. Sales)'!$F$9:$F$28,'Billing Determinants'!A17,'SRC-1 (S.D. Sales)'!$H$9:$H$28)</f>
        <v>12748723</v>
      </c>
      <c r="D17" s="24">
        <f>SUMIF('SRC-1 (S.D. Sales)'!$F$9:$F$28,$A17,'SRC-1 (S.D. Sales)'!I$9:I$28)</f>
        <v>0</v>
      </c>
      <c r="E17" s="24">
        <f>SUMIF('SRC-1 (S.D. Sales)'!$F$9:$F$28,$A17,'SRC-1 (S.D. Sales)'!J$9:J$28)</f>
        <v>126096.9032867082</v>
      </c>
      <c r="F17" s="24">
        <f>SUMIF('SRC-1 (S.D. Sales)'!$F$9:$F$28,$A17,'SRC-1 (S.D. Sales)'!K$9:K$28)</f>
        <v>381266</v>
      </c>
      <c r="G17" s="356">
        <f t="shared" si="0"/>
        <v>13256085.903286709</v>
      </c>
      <c r="H17" s="357">
        <f>SUMIF('SRC-4 (S.D. Customers)'!$E$9:$E$24,$A17,'SRC-4 (S.D. Customers)'!G$9:G$24)</f>
        <v>4386</v>
      </c>
      <c r="I17" s="358">
        <f>H17</f>
        <v>4386</v>
      </c>
    </row>
    <row r="18" spans="1:14" x14ac:dyDescent="0.2">
      <c r="A18" s="96" t="s">
        <v>666</v>
      </c>
      <c r="B18" s="66">
        <v>2</v>
      </c>
      <c r="C18" s="24">
        <f>SUMIF('SRC-1 (S.D. Sales)'!$F$9:$F$28,'Billing Determinants'!A18,'SRC-1 (S.D. Sales)'!$H$9:$H$28)</f>
        <v>24250967</v>
      </c>
      <c r="D18" s="24">
        <f>SUMIF('SRC-1 (S.D. Sales)'!$F$9:$F$28,$A18,'SRC-1 (S.D. Sales)'!I$9:I$28)</f>
        <v>22282.318746866513</v>
      </c>
      <c r="E18" s="24">
        <f>SUMIF('SRC-1 (S.D. Sales)'!$F$9:$F$28,$A18,'SRC-1 (S.D. Sales)'!J$9:J$28)</f>
        <v>0</v>
      </c>
      <c r="F18" s="24">
        <f>SUMIF('SRC-1 (S.D. Sales)'!$F$9:$F$28,$A18,'SRC-1 (S.D. Sales)'!K$9:K$28)</f>
        <v>456139</v>
      </c>
      <c r="G18" s="356">
        <f t="shared" si="0"/>
        <v>24729388.318746865</v>
      </c>
      <c r="H18" s="357">
        <f>SUMIF('SRC-4 (S.D. Customers)'!$E$9:$E$24,$A18,'SRC-4 (S.D. Customers)'!G$9:G$24)</f>
        <v>18090</v>
      </c>
      <c r="I18" s="358">
        <v>0</v>
      </c>
    </row>
    <row r="19" spans="1:14" x14ac:dyDescent="0.2">
      <c r="A19" s="96" t="s">
        <v>671</v>
      </c>
      <c r="B19" s="66">
        <v>3</v>
      </c>
      <c r="C19" s="24">
        <f>SUMIF('SRC-1 (S.D. Sales)'!$F$9:$F$28,'Billing Determinants'!A19,'SRC-1 (S.D. Sales)'!$H$9:$H$28)</f>
        <v>0</v>
      </c>
      <c r="D19" s="24">
        <f>SUMIF('SRC-1 (S.D. Sales)'!$F$9:$F$28,$A19,'SRC-1 (S.D. Sales)'!I$9:I$28)</f>
        <v>0</v>
      </c>
      <c r="E19" s="24">
        <f>SUMIF('SRC-1 (S.D. Sales)'!$F$9:$F$28,$A19,'SRC-1 (S.D. Sales)'!J$9:J$28)</f>
        <v>0</v>
      </c>
      <c r="F19" s="24">
        <f>SUMIF('SRC-1 (S.D. Sales)'!$F$9:$F$28,$A19,'SRC-1 (S.D. Sales)'!K$9:K$28)</f>
        <v>0</v>
      </c>
      <c r="G19" s="356">
        <f t="shared" si="0"/>
        <v>0</v>
      </c>
      <c r="H19" s="357">
        <f>SUMIF('SRC-4 (S.D. Customers)'!$E$9:$E$24,$A19,'SRC-4 (S.D. Customers)'!G$9:G$24)</f>
        <v>0</v>
      </c>
      <c r="I19" s="358">
        <f>SUMIF('SRC-4 (S.D. Customers)'!$E$20:$E$24,$A19,'SRC-4 (S.D. Customers)'!G$20:G$24)</f>
        <v>0</v>
      </c>
    </row>
    <row r="20" spans="1:14" x14ac:dyDescent="0.2">
      <c r="A20" s="96" t="s">
        <v>437</v>
      </c>
      <c r="B20" s="66">
        <v>3</v>
      </c>
      <c r="C20" s="24">
        <f>SUMIF('SRC-1 (S.D. Sales)'!$F$9:$F$28,'Billing Determinants'!A20,'SRC-1 (S.D. Sales)'!$H$9:$H$28)</f>
        <v>0</v>
      </c>
      <c r="D20" s="24">
        <f>SUMIF('SRC-1 (S.D. Sales)'!$F$9:$F$28,$A20,'SRC-1 (S.D. Sales)'!I$9:I$28)</f>
        <v>0</v>
      </c>
      <c r="E20" s="24">
        <f>SUMIF('SRC-1 (S.D. Sales)'!$F$9:$F$28,$A20,'SRC-1 (S.D. Sales)'!J$9:J$28)</f>
        <v>0</v>
      </c>
      <c r="F20" s="24">
        <f>SUMIF('SRC-1 (S.D. Sales)'!$F$9:$F$28,$A20,'SRC-1 (S.D. Sales)'!K$9:K$28)</f>
        <v>0</v>
      </c>
      <c r="G20" s="356">
        <f t="shared" si="0"/>
        <v>0</v>
      </c>
      <c r="H20" s="357">
        <f>SUMIF('SRC-4 (S.D. Customers)'!$E$9:$E$24,$A20,'SRC-4 (S.D. Customers)'!G$9:G$24)</f>
        <v>0</v>
      </c>
      <c r="I20" s="358">
        <f>SUMIF('SRC-4 (S.D. Customers)'!$E$20:$E$24,$A20,'SRC-4 (S.D. Customers)'!G$20:G$24)</f>
        <v>0</v>
      </c>
    </row>
    <row r="21" spans="1:14" x14ac:dyDescent="0.2">
      <c r="A21" s="96" t="s">
        <v>665</v>
      </c>
      <c r="B21" s="66">
        <v>3</v>
      </c>
      <c r="C21" s="24">
        <f>SUMIF('SRC-1 (S.D. Sales)'!$F$9:$F$28,'Billing Determinants'!A21,'SRC-1 (S.D. Sales)'!$H$9:$H$28)</f>
        <v>28746925</v>
      </c>
      <c r="D21" s="24">
        <f>SUMIF('SRC-1 (S.D. Sales)'!$F$9:$F$28,$A21,'SRC-1 (S.D. Sales)'!I$9:I$28)</f>
        <v>0</v>
      </c>
      <c r="E21" s="24">
        <f>SUMIF('SRC-1 (S.D. Sales)'!$F$9:$F$28,$A21,'SRC-1 (S.D. Sales)'!J$9:J$28)</f>
        <v>284334.22088747669</v>
      </c>
      <c r="F21" s="24">
        <f>SUMIF('SRC-1 (S.D. Sales)'!$F$9:$F$28,$A21,'SRC-1 (S.D. Sales)'!K$9:K$28)</f>
        <v>0</v>
      </c>
      <c r="G21" s="356">
        <f t="shared" si="0"/>
        <v>29031259.220887478</v>
      </c>
      <c r="H21" s="357">
        <f>SUMIF('SRC-4 (S.D. Customers)'!$E$9:$E$24,$A21,'SRC-4 (S.D. Customers)'!G$9:G$24)</f>
        <v>243</v>
      </c>
      <c r="I21" s="358">
        <f>H21</f>
        <v>243</v>
      </c>
    </row>
    <row r="22" spans="1:14" x14ac:dyDescent="0.2">
      <c r="A22" s="347" t="s">
        <v>434</v>
      </c>
      <c r="B22" s="69">
        <v>3</v>
      </c>
      <c r="C22" s="325">
        <f>SUMIF('SRC-1 (S.D. Sales)'!$F$9:$F$28,'Billing Determinants'!A22,'SRC-1 (S.D. Sales)'!$H$9:$H$28)</f>
        <v>898872</v>
      </c>
      <c r="D22" s="325">
        <f>SUMIF('SRC-1 (S.D. Sales)'!$F$9:$F$28,$A22,'SRC-1 (S.D. Sales)'!I$9:I$28)</f>
        <v>355.00526510283663</v>
      </c>
      <c r="E22" s="325">
        <f>SUMIF('SRC-1 (S.D. Sales)'!$F$9:$F$28,$A22,'SRC-1 (S.D. Sales)'!J$9:J$28)</f>
        <v>0</v>
      </c>
      <c r="F22" s="325">
        <f>SUMIF('SRC-1 (S.D. Sales)'!$F$9:$F$28,$A22,'SRC-1 (S.D. Sales)'!K$9:K$28)</f>
        <v>0</v>
      </c>
      <c r="G22" s="359">
        <f t="shared" si="0"/>
        <v>899227.00526510284</v>
      </c>
      <c r="H22" s="360">
        <f>SUMIF('SRC-4 (S.D. Customers)'!$E$9:$E$24,$A22,'SRC-4 (S.D. Customers)'!G$9:G$24)</f>
        <v>12</v>
      </c>
      <c r="I22" s="361">
        <f>SUMIF('SRC-4 (S.D. Customers)'!$E$20:$E$24,$A22,'SRC-4 (S.D. Customers)'!G$20:G$24)</f>
        <v>0</v>
      </c>
    </row>
    <row r="23" spans="1:14" x14ac:dyDescent="0.2">
      <c r="A23" s="190" t="s">
        <v>177</v>
      </c>
      <c r="C23" s="24">
        <f>SUM(C10:C22)</f>
        <v>159085463</v>
      </c>
      <c r="D23" s="24">
        <f>SUM(D10:D22)</f>
        <v>143311</v>
      </c>
      <c r="E23" s="24">
        <f t="shared" ref="E23:F23" si="1">SUM(E10:E22)</f>
        <v>509836</v>
      </c>
      <c r="F23" s="24">
        <f t="shared" si="1"/>
        <v>4061384</v>
      </c>
      <c r="G23" s="359">
        <f>SUM(G10:G22)</f>
        <v>163799994.00000003</v>
      </c>
      <c r="H23" s="362">
        <f>SUM(H10:H22)</f>
        <v>1368932</v>
      </c>
      <c r="I23" s="363">
        <f>SUM(I10:I22)</f>
        <v>6975</v>
      </c>
    </row>
    <row r="24" spans="1:14" x14ac:dyDescent="0.2">
      <c r="A24" s="4"/>
      <c r="C24" s="24"/>
      <c r="D24" s="24"/>
      <c r="E24" s="357"/>
      <c r="F24" s="24"/>
      <c r="G24" s="24"/>
      <c r="H24" s="4"/>
      <c r="I24" s="4"/>
    </row>
    <row r="25" spans="1:14" x14ac:dyDescent="0.2">
      <c r="A25" s="66" t="s">
        <v>1020</v>
      </c>
      <c r="C25" s="24"/>
      <c r="D25" s="24"/>
      <c r="E25" s="357"/>
      <c r="F25" s="24"/>
      <c r="G25" s="24"/>
      <c r="H25" s="4"/>
      <c r="I25" s="4"/>
    </row>
    <row r="26" spans="1:14" x14ac:dyDescent="0.2">
      <c r="A26" s="4"/>
      <c r="C26" s="24"/>
      <c r="D26" s="24"/>
      <c r="E26" s="357"/>
      <c r="F26" s="24"/>
      <c r="G26" s="24"/>
      <c r="H26" s="4"/>
      <c r="I26" s="4"/>
    </row>
    <row r="27" spans="1:14" x14ac:dyDescent="0.2">
      <c r="A27" s="190"/>
      <c r="C27" s="67" t="s">
        <v>501</v>
      </c>
      <c r="D27" s="67"/>
      <c r="F27" s="67" t="s">
        <v>370</v>
      </c>
      <c r="H27" s="6"/>
      <c r="I27" s="4"/>
    </row>
    <row r="28" spans="1:14" x14ac:dyDescent="0.2">
      <c r="A28" s="347" t="s">
        <v>249</v>
      </c>
      <c r="B28" s="353" t="s">
        <v>518</v>
      </c>
      <c r="C28" s="353" t="s">
        <v>142</v>
      </c>
      <c r="D28" s="353" t="s">
        <v>283</v>
      </c>
      <c r="E28" s="353" t="s">
        <v>450</v>
      </c>
      <c r="F28" s="353" t="s">
        <v>371</v>
      </c>
      <c r="G28" s="364" t="s">
        <v>177</v>
      </c>
      <c r="H28" s="4"/>
      <c r="I28" s="4"/>
      <c r="M28" s="159" t="s">
        <v>989</v>
      </c>
      <c r="N28" s="159" t="s">
        <v>990</v>
      </c>
    </row>
    <row r="29" spans="1:14" x14ac:dyDescent="0.2">
      <c r="A29" s="96" t="s">
        <v>670</v>
      </c>
      <c r="B29" s="67" t="s">
        <v>505</v>
      </c>
      <c r="C29" s="24">
        <v>264091</v>
      </c>
      <c r="D29" s="24">
        <v>562.67775176625298</v>
      </c>
      <c r="E29" s="357">
        <v>0</v>
      </c>
      <c r="F29" s="357"/>
      <c r="G29" s="365">
        <f>SUM(C29:F29)</f>
        <v>264653.67775176623</v>
      </c>
      <c r="H29" s="6"/>
      <c r="I29" s="4"/>
    </row>
    <row r="30" spans="1:14" x14ac:dyDescent="0.2">
      <c r="A30" s="96" t="s">
        <v>668</v>
      </c>
      <c r="B30" s="67" t="s">
        <v>502</v>
      </c>
      <c r="C30" s="202">
        <v>71444280.058858395</v>
      </c>
      <c r="D30" s="357">
        <f>D14*M30</f>
        <v>104744.58450642973</v>
      </c>
      <c r="E30" s="357">
        <v>0</v>
      </c>
      <c r="F30" s="24">
        <f>F14*M30</f>
        <v>2654360.1233954304</v>
      </c>
      <c r="G30" s="365">
        <f>SUM(C30:F30)</f>
        <v>74203384.766760245</v>
      </c>
      <c r="H30" s="4"/>
      <c r="I30" s="366"/>
      <c r="M30" s="179">
        <f>C30/SUM(C30:C31)</f>
        <v>0.87441699663537786</v>
      </c>
    </row>
    <row r="31" spans="1:14" x14ac:dyDescent="0.2">
      <c r="A31" s="96" t="s">
        <v>668</v>
      </c>
      <c r="B31" s="67" t="s">
        <v>503</v>
      </c>
      <c r="C31" s="24">
        <v>10260764.941141611</v>
      </c>
      <c r="D31" s="357">
        <f>D14*M31</f>
        <v>15043.325506150977</v>
      </c>
      <c r="E31" s="357">
        <v>0</v>
      </c>
      <c r="F31" s="24">
        <f>F14*M31</f>
        <v>381216.87660456955</v>
      </c>
      <c r="G31" s="365">
        <f t="shared" ref="G31:G35" si="2">SUM(C31:F31)</f>
        <v>10657025.143252332</v>
      </c>
      <c r="H31" s="4"/>
      <c r="I31" s="4"/>
      <c r="M31" s="158">
        <f>1-M30</f>
        <v>0.12558300336462214</v>
      </c>
    </row>
    <row r="32" spans="1:14" x14ac:dyDescent="0.2">
      <c r="A32" s="96" t="s">
        <v>669</v>
      </c>
      <c r="B32" s="67" t="s">
        <v>502</v>
      </c>
      <c r="C32" s="367"/>
      <c r="D32" s="368">
        <v>0</v>
      </c>
      <c r="E32" s="68">
        <v>0</v>
      </c>
      <c r="F32" s="68"/>
      <c r="G32" s="365">
        <f t="shared" si="2"/>
        <v>0</v>
      </c>
      <c r="H32" s="4"/>
      <c r="I32" s="4"/>
    </row>
    <row r="33" spans="1:15" x14ac:dyDescent="0.2">
      <c r="A33" s="96" t="s">
        <v>669</v>
      </c>
      <c r="B33" s="67" t="s">
        <v>503</v>
      </c>
      <c r="C33" s="367"/>
      <c r="D33" s="368">
        <v>0</v>
      </c>
      <c r="E33" s="369">
        <v>0</v>
      </c>
      <c r="F33" s="68"/>
      <c r="G33" s="365">
        <f t="shared" si="2"/>
        <v>0</v>
      </c>
      <c r="H33" s="4"/>
      <c r="I33" s="4"/>
    </row>
    <row r="34" spans="1:15" x14ac:dyDescent="0.2">
      <c r="A34" s="96" t="s">
        <v>435</v>
      </c>
      <c r="B34" s="67" t="s">
        <v>505</v>
      </c>
      <c r="C34" s="367">
        <v>232691</v>
      </c>
      <c r="D34" s="24">
        <v>44.4132087953517</v>
      </c>
      <c r="E34" s="369">
        <v>0</v>
      </c>
      <c r="F34" s="68"/>
      <c r="G34" s="365">
        <f t="shared" si="2"/>
        <v>232735.41320879536</v>
      </c>
      <c r="H34" s="4"/>
      <c r="I34" s="4"/>
    </row>
    <row r="35" spans="1:15" x14ac:dyDescent="0.2">
      <c r="A35" s="96" t="s">
        <v>436</v>
      </c>
      <c r="B35" s="67" t="s">
        <v>505</v>
      </c>
      <c r="C35" s="367">
        <f>C15</f>
        <v>188059</v>
      </c>
      <c r="D35" s="24">
        <v>278.67501488833602</v>
      </c>
      <c r="E35" s="369">
        <v>0</v>
      </c>
      <c r="F35" s="68"/>
      <c r="G35" s="365">
        <f t="shared" si="2"/>
        <v>188337.67501488834</v>
      </c>
      <c r="H35" s="4"/>
      <c r="I35" s="4"/>
    </row>
    <row r="36" spans="1:15" x14ac:dyDescent="0.2">
      <c r="A36" s="96" t="s">
        <v>439</v>
      </c>
      <c r="B36" s="67" t="s">
        <v>502</v>
      </c>
      <c r="C36" s="370">
        <v>138364.61592112025</v>
      </c>
      <c r="D36" s="368">
        <v>0</v>
      </c>
      <c r="E36" s="366">
        <f>E13*N36</f>
        <v>1368.5566461917813</v>
      </c>
      <c r="F36" s="68">
        <f>F13*N36</f>
        <v>5077.0519229456304</v>
      </c>
      <c r="G36" s="365">
        <f>SUM(C36:F36)</f>
        <v>144810.22449025765</v>
      </c>
      <c r="H36" s="4"/>
      <c r="I36" s="366"/>
      <c r="N36" s="158">
        <f>C36/SUM(C36:C37)</f>
        <v>0.28614393974782337</v>
      </c>
    </row>
    <row r="37" spans="1:15" x14ac:dyDescent="0.2">
      <c r="A37" s="347" t="s">
        <v>439</v>
      </c>
      <c r="B37" s="353" t="s">
        <v>503</v>
      </c>
      <c r="C37" s="371">
        <v>345184.38407887972</v>
      </c>
      <c r="D37" s="372">
        <v>0</v>
      </c>
      <c r="E37" s="373">
        <f>E13*N37</f>
        <v>3414.1993590476818</v>
      </c>
      <c r="F37" s="374">
        <f>F13*N37</f>
        <v>12665.948077054371</v>
      </c>
      <c r="G37" s="375">
        <f>SUM(C37:F37)</f>
        <v>361264.53151498176</v>
      </c>
      <c r="H37" s="4"/>
      <c r="I37" s="366"/>
      <c r="N37" s="158">
        <f>1-N36</f>
        <v>0.71385606025217663</v>
      </c>
    </row>
    <row r="38" spans="1:15" x14ac:dyDescent="0.2">
      <c r="A38" s="96" t="s">
        <v>177</v>
      </c>
      <c r="C38" s="68">
        <f>SUM(C29:C37)</f>
        <v>82873435</v>
      </c>
      <c r="D38" s="68">
        <f>SUM(D29:D37)</f>
        <v>120673.67598803065</v>
      </c>
      <c r="E38" s="68">
        <f>SUM(E29:E37)</f>
        <v>4782.7560052394629</v>
      </c>
      <c r="F38" s="68">
        <f>SUM(F29:F37)</f>
        <v>3053320</v>
      </c>
      <c r="G38" s="376">
        <f>SUM(G29:G37)</f>
        <v>86052211.431993261</v>
      </c>
      <c r="H38" s="4"/>
      <c r="I38" s="4"/>
    </row>
    <row r="39" spans="1:15" x14ac:dyDescent="0.2">
      <c r="H39" s="4"/>
      <c r="I39" s="4"/>
    </row>
    <row r="40" spans="1:15" x14ac:dyDescent="0.2">
      <c r="A40" s="66" t="s">
        <v>1019</v>
      </c>
      <c r="H40" s="377"/>
      <c r="I40" s="4"/>
    </row>
    <row r="41" spans="1:15" x14ac:dyDescent="0.2">
      <c r="H41" s="4"/>
      <c r="I41" s="4"/>
      <c r="O41" s="498"/>
    </row>
    <row r="42" spans="1:15" x14ac:dyDescent="0.2">
      <c r="A42" s="190"/>
      <c r="C42" s="67" t="s">
        <v>501</v>
      </c>
      <c r="D42" s="67"/>
      <c r="F42" s="67" t="s">
        <v>370</v>
      </c>
      <c r="H42" s="13" t="s">
        <v>177</v>
      </c>
      <c r="I42" s="13" t="s">
        <v>450</v>
      </c>
      <c r="J42" s="494" t="s">
        <v>1198</v>
      </c>
      <c r="K42" s="494"/>
      <c r="O42" s="498"/>
    </row>
    <row r="43" spans="1:15" x14ac:dyDescent="0.2">
      <c r="A43" s="347" t="s">
        <v>249</v>
      </c>
      <c r="B43" s="353" t="s">
        <v>518</v>
      </c>
      <c r="C43" s="353" t="s">
        <v>142</v>
      </c>
      <c r="D43" s="353" t="s">
        <v>283</v>
      </c>
      <c r="E43" s="353" t="s">
        <v>450</v>
      </c>
      <c r="F43" s="353" t="s">
        <v>371</v>
      </c>
      <c r="G43" s="353" t="s">
        <v>177</v>
      </c>
      <c r="H43" s="353" t="s">
        <v>504</v>
      </c>
      <c r="I43" s="353" t="s">
        <v>504</v>
      </c>
      <c r="J43" s="87" t="s">
        <v>553</v>
      </c>
      <c r="K43" s="87" t="s">
        <v>554</v>
      </c>
      <c r="O43" s="160"/>
    </row>
    <row r="44" spans="1:15" x14ac:dyDescent="0.2">
      <c r="A44" s="83" t="s">
        <v>417</v>
      </c>
      <c r="B44" s="67" t="s">
        <v>502</v>
      </c>
      <c r="C44" s="68">
        <f t="shared" ref="C44:C45" si="3">C30+C32+C36</f>
        <v>71582644.674779519</v>
      </c>
      <c r="D44" s="68">
        <f>D30+D32+D36</f>
        <v>104744.58450642973</v>
      </c>
      <c r="E44" s="68">
        <f>E36</f>
        <v>1368.5566461917813</v>
      </c>
      <c r="F44" s="68">
        <f>F30+F32+F36</f>
        <v>2659437.1753183762</v>
      </c>
      <c r="G44" s="68">
        <f>SUM(C44:F44)</f>
        <v>74348194.99125053</v>
      </c>
      <c r="H44" s="5">
        <f>SUM(H12:H14)</f>
        <v>1343347</v>
      </c>
      <c r="I44" s="5">
        <f>SUM(I12:I14)</f>
        <v>1352</v>
      </c>
      <c r="J44" s="154" t="s">
        <v>519</v>
      </c>
      <c r="K44" s="154" t="s">
        <v>519</v>
      </c>
      <c r="O44" s="385"/>
    </row>
    <row r="45" spans="1:15" x14ac:dyDescent="0.2">
      <c r="A45" s="83" t="s">
        <v>417</v>
      </c>
      <c r="B45" s="67" t="s">
        <v>503</v>
      </c>
      <c r="C45" s="68">
        <f t="shared" si="3"/>
        <v>10605949.32522049</v>
      </c>
      <c r="D45" s="68">
        <f>D31+D33+D37</f>
        <v>15043.325506150977</v>
      </c>
      <c r="E45" s="68">
        <f>E37</f>
        <v>3414.1993590476818</v>
      </c>
      <c r="F45" s="68">
        <f>F31+F33+F37</f>
        <v>393882.8246816239</v>
      </c>
      <c r="G45" s="68">
        <f>SUM(C45:F45)</f>
        <v>11018289.674767314</v>
      </c>
      <c r="H45" s="154" t="s">
        <v>519</v>
      </c>
      <c r="I45" s="154" t="s">
        <v>519</v>
      </c>
      <c r="J45" s="154" t="s">
        <v>519</v>
      </c>
      <c r="K45" s="154" t="s">
        <v>519</v>
      </c>
      <c r="M45" s="180"/>
      <c r="O45" s="385"/>
    </row>
    <row r="46" spans="1:15" x14ac:dyDescent="0.2">
      <c r="A46" s="83" t="s">
        <v>417</v>
      </c>
      <c r="B46" s="67" t="s">
        <v>67</v>
      </c>
      <c r="C46" s="68">
        <f>C34+C35+C29</f>
        <v>684841</v>
      </c>
      <c r="D46" s="68">
        <f>D35+D34+D29</f>
        <v>885.7659754499407</v>
      </c>
      <c r="E46" s="68">
        <f>E29+E34+E35</f>
        <v>0</v>
      </c>
      <c r="F46" s="68">
        <f>F29+F34+F35</f>
        <v>0</v>
      </c>
      <c r="G46" s="68">
        <f>SUM(C46:F46)</f>
        <v>685726.76597544993</v>
      </c>
      <c r="H46" s="384">
        <f>H11+H15+H10</f>
        <v>1860</v>
      </c>
      <c r="I46" s="154" t="s">
        <v>519</v>
      </c>
      <c r="J46" s="154" t="s">
        <v>519</v>
      </c>
      <c r="K46" s="154" t="s">
        <v>519</v>
      </c>
      <c r="L46" s="14"/>
      <c r="O46" s="385"/>
    </row>
    <row r="47" spans="1:15" x14ac:dyDescent="0.2">
      <c r="A47" s="83" t="s">
        <v>418</v>
      </c>
      <c r="B47" s="67" t="s">
        <v>505</v>
      </c>
      <c r="C47" s="68">
        <f>SUM(C16:C18)</f>
        <v>46566231</v>
      </c>
      <c r="D47" s="68">
        <f>SUM(D16:D18)</f>
        <v>22282.318746866513</v>
      </c>
      <c r="E47" s="68">
        <f>SUM(E16:E18)</f>
        <v>220719.02310728387</v>
      </c>
      <c r="F47" s="68">
        <f>SUM(F16:F18)</f>
        <v>1008064</v>
      </c>
      <c r="G47" s="68">
        <f>SUM(C47:F47)</f>
        <v>47817296.341854148</v>
      </c>
      <c r="H47" s="68">
        <f>SUM(H16:H18)</f>
        <v>23470</v>
      </c>
      <c r="I47" s="68">
        <f>SUM(I16:I18)</f>
        <v>5380</v>
      </c>
      <c r="J47" s="154" t="s">
        <v>519</v>
      </c>
      <c r="K47" s="154" t="s">
        <v>519</v>
      </c>
      <c r="O47" s="385"/>
    </row>
    <row r="48" spans="1:15" x14ac:dyDescent="0.2">
      <c r="A48" s="105" t="s">
        <v>419</v>
      </c>
      <c r="B48" s="353" t="s">
        <v>505</v>
      </c>
      <c r="C48" s="374">
        <f>SUM(C19:C22)</f>
        <v>29645797</v>
      </c>
      <c r="D48" s="374">
        <f>SUM(D19:D22)</f>
        <v>355.00526510283663</v>
      </c>
      <c r="E48" s="374">
        <f>SUM(E19:E22)</f>
        <v>284334.22088747669</v>
      </c>
      <c r="F48" s="374">
        <f t="shared" ref="F48" si="4">SUM(F19:F22)</f>
        <v>0</v>
      </c>
      <c r="G48" s="374">
        <f>SUM(C48:F48)</f>
        <v>29930486.22615258</v>
      </c>
      <c r="H48" s="374">
        <f>SUM(H19:H22)</f>
        <v>255</v>
      </c>
      <c r="I48" s="374">
        <f>SUM(I19:I22)</f>
        <v>243</v>
      </c>
      <c r="J48" s="181">
        <v>2050578.1176470588</v>
      </c>
      <c r="K48" s="181">
        <v>128657.88235294117</v>
      </c>
      <c r="O48" s="160"/>
    </row>
    <row r="49" spans="1:15" x14ac:dyDescent="0.2">
      <c r="A49" s="96" t="s">
        <v>177</v>
      </c>
      <c r="C49" s="68">
        <f>SUM(C44:C48)</f>
        <v>159085463</v>
      </c>
      <c r="D49" s="68">
        <f>SUM(D44:D48)</f>
        <v>143311</v>
      </c>
      <c r="E49" s="68">
        <f t="shared" ref="E49:K49" si="5">SUM(E44:E48)</f>
        <v>509836</v>
      </c>
      <c r="F49" s="68">
        <f>SUM(F44:F48)</f>
        <v>4061384</v>
      </c>
      <c r="G49" s="68">
        <f>SUM(G44:G48)</f>
        <v>163799994</v>
      </c>
      <c r="H49" s="68">
        <f t="shared" si="5"/>
        <v>1368932</v>
      </c>
      <c r="I49" s="68">
        <f t="shared" si="5"/>
        <v>6975</v>
      </c>
      <c r="J49" s="68">
        <f t="shared" si="5"/>
        <v>2050578.1176470588</v>
      </c>
      <c r="K49" s="68">
        <f t="shared" si="5"/>
        <v>128657.88235294117</v>
      </c>
      <c r="O49" s="386"/>
    </row>
    <row r="50" spans="1:15" x14ac:dyDescent="0.2">
      <c r="C50" s="68"/>
      <c r="H50" s="377">
        <f>+H23-H49</f>
        <v>0</v>
      </c>
      <c r="I50" s="4"/>
      <c r="J50" s="188"/>
      <c r="K50" s="188"/>
      <c r="L50" s="160"/>
    </row>
    <row r="51" spans="1:15" x14ac:dyDescent="0.2">
      <c r="A51" s="66" t="s">
        <v>1018</v>
      </c>
      <c r="H51" s="4"/>
      <c r="I51" s="4"/>
      <c r="J51" s="189"/>
      <c r="K51" s="188"/>
      <c r="L51" s="160"/>
    </row>
    <row r="52" spans="1:15" x14ac:dyDescent="0.2">
      <c r="H52" s="4"/>
      <c r="I52" s="4"/>
    </row>
    <row r="53" spans="1:15" x14ac:dyDescent="0.2">
      <c r="A53" s="190"/>
      <c r="C53" s="67" t="s">
        <v>501</v>
      </c>
      <c r="D53" s="67"/>
      <c r="F53" s="67" t="s">
        <v>370</v>
      </c>
      <c r="G53" s="350"/>
      <c r="H53" s="352" t="s">
        <v>177</v>
      </c>
      <c r="I53" s="4"/>
    </row>
    <row r="54" spans="1:15" x14ac:dyDescent="0.2">
      <c r="A54" s="347" t="s">
        <v>249</v>
      </c>
      <c r="B54" s="353" t="s">
        <v>687</v>
      </c>
      <c r="C54" s="353" t="s">
        <v>142</v>
      </c>
      <c r="D54" s="353" t="s">
        <v>283</v>
      </c>
      <c r="E54" s="353" t="s">
        <v>450</v>
      </c>
      <c r="F54" s="353" t="s">
        <v>371</v>
      </c>
      <c r="G54" s="354" t="s">
        <v>177</v>
      </c>
      <c r="H54" s="355" t="s">
        <v>504</v>
      </c>
      <c r="I54" s="4"/>
      <c r="J54" s="181">
        <v>1952308</v>
      </c>
      <c r="K54" s="181">
        <v>122516</v>
      </c>
    </row>
    <row r="55" spans="1:15" x14ac:dyDescent="0.2">
      <c r="A55" s="96" t="s">
        <v>435</v>
      </c>
      <c r="B55" s="67" t="s">
        <v>688</v>
      </c>
      <c r="C55" s="24">
        <f>-SUM('SRC5 (Monthly Sales)'!K7:S7)</f>
        <v>189827</v>
      </c>
      <c r="D55" s="24">
        <f>ROUND(D11*(C55/(C55+C56)),0)</f>
        <v>36</v>
      </c>
      <c r="E55" s="357">
        <v>0</v>
      </c>
      <c r="F55" s="357">
        <v>0</v>
      </c>
      <c r="G55" s="356">
        <f>SUM(C55:F55)</f>
        <v>189863</v>
      </c>
      <c r="H55" s="348">
        <v>31.7</v>
      </c>
      <c r="I55" s="4" t="s">
        <v>1196</v>
      </c>
    </row>
    <row r="56" spans="1:15" x14ac:dyDescent="0.2">
      <c r="A56" s="96" t="s">
        <v>435</v>
      </c>
      <c r="B56" s="67" t="s">
        <v>689</v>
      </c>
      <c r="C56" s="24">
        <f>-SUM('SRC5 (Monthly Sales)'!I7:J7,'SRC5 (Monthly Sales)'!T7)</f>
        <v>42864</v>
      </c>
      <c r="D56" s="24">
        <f>+D11-D55</f>
        <v>8.4132087953516574</v>
      </c>
      <c r="E56" s="357">
        <v>0</v>
      </c>
      <c r="F56" s="368">
        <v>0</v>
      </c>
      <c r="G56" s="356">
        <f>SUM(C56:F56)</f>
        <v>42872.413208795355</v>
      </c>
      <c r="H56" s="349">
        <v>11</v>
      </c>
      <c r="I56" s="4" t="s">
        <v>1196</v>
      </c>
    </row>
    <row r="57" spans="1:15" x14ac:dyDescent="0.2">
      <c r="A57" s="96" t="s">
        <v>437</v>
      </c>
      <c r="B57" s="67" t="s">
        <v>688</v>
      </c>
      <c r="C57" s="24">
        <v>0</v>
      </c>
      <c r="D57" s="24">
        <v>0</v>
      </c>
      <c r="E57" s="357">
        <v>0</v>
      </c>
      <c r="F57" s="368">
        <v>0</v>
      </c>
      <c r="G57" s="356">
        <f t="shared" ref="G57:G58" si="6">SUM(C57:F57)</f>
        <v>0</v>
      </c>
      <c r="H57" s="378" t="s">
        <v>519</v>
      </c>
      <c r="I57" s="4"/>
    </row>
    <row r="58" spans="1:15" x14ac:dyDescent="0.2">
      <c r="A58" s="347" t="s">
        <v>437</v>
      </c>
      <c r="B58" s="353" t="s">
        <v>689</v>
      </c>
      <c r="C58" s="372">
        <v>0</v>
      </c>
      <c r="D58" s="372">
        <v>0</v>
      </c>
      <c r="E58" s="374">
        <v>0</v>
      </c>
      <c r="F58" s="374">
        <v>0</v>
      </c>
      <c r="G58" s="359">
        <f t="shared" si="6"/>
        <v>0</v>
      </c>
      <c r="H58" s="379" t="s">
        <v>519</v>
      </c>
      <c r="I58" s="4"/>
    </row>
    <row r="59" spans="1:15" x14ac:dyDescent="0.2">
      <c r="A59" s="96" t="s">
        <v>177</v>
      </c>
      <c r="C59" s="68">
        <f t="shared" ref="C59:H59" si="7">SUM(C55:C58)</f>
        <v>232691</v>
      </c>
      <c r="D59" s="68">
        <f t="shared" si="7"/>
        <v>44.413208795351657</v>
      </c>
      <c r="E59" s="68">
        <f t="shared" si="7"/>
        <v>0</v>
      </c>
      <c r="F59" s="68">
        <f t="shared" si="7"/>
        <v>0</v>
      </c>
      <c r="G59" s="380">
        <f t="shared" si="7"/>
        <v>232735.41320879536</v>
      </c>
      <c r="H59" s="381">
        <f t="shared" si="7"/>
        <v>42.7</v>
      </c>
      <c r="I59" s="4"/>
    </row>
    <row r="60" spans="1:15" x14ac:dyDescent="0.2">
      <c r="H60" s="4"/>
      <c r="I60" s="4"/>
    </row>
    <row r="61" spans="1:15" x14ac:dyDescent="0.2">
      <c r="A61" s="66" t="s">
        <v>1017</v>
      </c>
      <c r="H61" s="387"/>
      <c r="I61" s="4"/>
    </row>
    <row r="62" spans="1:15" x14ac:dyDescent="0.2">
      <c r="H62" s="387"/>
      <c r="I62" s="4"/>
    </row>
    <row r="63" spans="1:15" x14ac:dyDescent="0.2">
      <c r="A63" s="105" t="s">
        <v>175</v>
      </c>
      <c r="B63" s="353" t="s">
        <v>555</v>
      </c>
      <c r="C63" s="353" t="s">
        <v>514</v>
      </c>
      <c r="H63" s="387"/>
      <c r="I63" s="4"/>
    </row>
    <row r="64" spans="1:15" x14ac:dyDescent="0.2">
      <c r="A64" s="83">
        <v>1</v>
      </c>
      <c r="B64" s="67" t="s">
        <v>556</v>
      </c>
      <c r="C64" s="49">
        <f>+B85</f>
        <v>1342532.6</v>
      </c>
      <c r="H64" s="387"/>
      <c r="I64" s="4"/>
    </row>
    <row r="65" spans="1:9" x14ac:dyDescent="0.2">
      <c r="A65" s="83">
        <v>2</v>
      </c>
      <c r="B65" s="67" t="s">
        <v>557</v>
      </c>
      <c r="C65" s="49">
        <f>+C85</f>
        <v>20703.98</v>
      </c>
      <c r="H65" s="387"/>
      <c r="I65" s="4"/>
    </row>
    <row r="66" spans="1:9" x14ac:dyDescent="0.2">
      <c r="A66" s="83">
        <v>3</v>
      </c>
      <c r="B66" s="67" t="s">
        <v>558</v>
      </c>
      <c r="C66" s="49">
        <f>+D85</f>
        <v>5281.45</v>
      </c>
      <c r="H66" s="387"/>
      <c r="I66" s="4"/>
    </row>
    <row r="67" spans="1:9" x14ac:dyDescent="0.2">
      <c r="A67" s="105">
        <v>4</v>
      </c>
      <c r="B67" s="353" t="s">
        <v>559</v>
      </c>
      <c r="C67" s="325">
        <f>+E85</f>
        <v>413.923</v>
      </c>
      <c r="H67" s="387"/>
      <c r="I67" s="4"/>
    </row>
    <row r="68" spans="1:9" x14ac:dyDescent="0.2">
      <c r="A68" s="96" t="s">
        <v>177</v>
      </c>
      <c r="C68" s="68">
        <f>SUM(C64:C67)</f>
        <v>1368931.953</v>
      </c>
      <c r="H68" s="387"/>
      <c r="I68" s="4"/>
    </row>
    <row r="69" spans="1:9" x14ac:dyDescent="0.2">
      <c r="H69" s="387"/>
      <c r="I69" s="4"/>
    </row>
    <row r="70" spans="1:9" x14ac:dyDescent="0.2">
      <c r="A70" s="66" t="s">
        <v>1016</v>
      </c>
      <c r="H70" s="387"/>
      <c r="I70" s="4"/>
    </row>
    <row r="71" spans="1:9" x14ac:dyDescent="0.2">
      <c r="H71" s="387"/>
      <c r="I71" s="4"/>
    </row>
    <row r="72" spans="1:9" x14ac:dyDescent="0.2">
      <c r="A72" s="347" t="s">
        <v>249</v>
      </c>
      <c r="B72" s="105">
        <v>1</v>
      </c>
      <c r="C72" s="105">
        <v>2</v>
      </c>
      <c r="D72" s="105">
        <v>3</v>
      </c>
      <c r="E72" s="105">
        <v>4</v>
      </c>
      <c r="F72" s="105" t="s">
        <v>177</v>
      </c>
      <c r="H72" s="387"/>
      <c r="I72" s="4"/>
    </row>
    <row r="73" spans="1:9" x14ac:dyDescent="0.2">
      <c r="A73" s="96" t="s">
        <v>670</v>
      </c>
      <c r="B73" s="49">
        <f>+'RD-4 (MTR)'!C238</f>
        <v>1263.04</v>
      </c>
      <c r="C73" s="49">
        <f>+'RD-4 (MTR)'!D238</f>
        <v>471.92</v>
      </c>
      <c r="D73" s="49">
        <f>+'RD-4 (MTR)'!E238</f>
        <v>21.03</v>
      </c>
      <c r="E73" s="49">
        <f>+'RD-4 (MTR)'!F238</f>
        <v>0</v>
      </c>
      <c r="F73" s="68">
        <f>SUM(B73:E73)</f>
        <v>1755.99</v>
      </c>
      <c r="H73" s="387"/>
      <c r="I73" s="4"/>
    </row>
    <row r="74" spans="1:9" x14ac:dyDescent="0.2">
      <c r="A74" s="96" t="s">
        <v>435</v>
      </c>
      <c r="B74" s="49">
        <f>+'RD-4 (MTR)'!C239</f>
        <v>0</v>
      </c>
      <c r="C74" s="49">
        <f>+'RD-4 (MTR)'!D239</f>
        <v>29.21</v>
      </c>
      <c r="D74" s="49">
        <f>+'RD-4 (MTR)'!E239</f>
        <v>1.97</v>
      </c>
      <c r="E74" s="49">
        <f>+'RD-4 (MTR)'!F239</f>
        <v>10.82</v>
      </c>
      <c r="F74" s="68">
        <f t="shared" ref="F74:F84" si="8">SUM(B74:E74)</f>
        <v>42</v>
      </c>
      <c r="H74" s="387"/>
      <c r="I74" s="4"/>
    </row>
    <row r="75" spans="1:9" x14ac:dyDescent="0.2">
      <c r="A75" s="96" t="s">
        <v>669</v>
      </c>
      <c r="B75" s="49">
        <f>+'RD-4 (MTR)'!C240</f>
        <v>0</v>
      </c>
      <c r="C75" s="49">
        <f>+'RD-4 (MTR)'!D240</f>
        <v>0</v>
      </c>
      <c r="D75" s="49">
        <f>+'RD-4 (MTR)'!E240</f>
        <v>0</v>
      </c>
      <c r="E75" s="49">
        <f>+'RD-4 (MTR)'!F240</f>
        <v>0</v>
      </c>
      <c r="F75" s="68">
        <f t="shared" si="8"/>
        <v>0</v>
      </c>
      <c r="H75" s="387"/>
      <c r="I75" s="4"/>
    </row>
    <row r="76" spans="1:9" x14ac:dyDescent="0.2">
      <c r="A76" s="96" t="s">
        <v>439</v>
      </c>
      <c r="B76" s="49">
        <f>+'RD-4 (MTR)'!C241</f>
        <v>977.93</v>
      </c>
      <c r="C76" s="49">
        <f>+'RD-4 (MTR)'!D241</f>
        <v>279.83999999999997</v>
      </c>
      <c r="D76" s="49">
        <f>+'RD-4 (MTR)'!E241</f>
        <v>94.23</v>
      </c>
      <c r="E76" s="49">
        <f>+'RD-4 (MTR)'!F241</f>
        <v>0</v>
      </c>
      <c r="F76" s="68">
        <f t="shared" si="8"/>
        <v>1352</v>
      </c>
      <c r="H76" s="387"/>
      <c r="I76" s="4"/>
    </row>
    <row r="77" spans="1:9" x14ac:dyDescent="0.2">
      <c r="A77" s="96" t="s">
        <v>668</v>
      </c>
      <c r="B77" s="49">
        <f>+'RD-4 (MTR)'!C242</f>
        <v>1333223.07</v>
      </c>
      <c r="C77" s="49">
        <f>+'RD-4 (MTR)'!D242</f>
        <v>8197.18</v>
      </c>
      <c r="D77" s="49">
        <f>+'RD-4 (MTR)'!E242</f>
        <v>574.75</v>
      </c>
      <c r="E77" s="49">
        <f>+'RD-4 (MTR)'!F242</f>
        <v>0</v>
      </c>
      <c r="F77" s="68">
        <f t="shared" si="8"/>
        <v>1341995</v>
      </c>
      <c r="H77" s="387"/>
      <c r="I77" s="4"/>
    </row>
    <row r="78" spans="1:9" x14ac:dyDescent="0.2">
      <c r="A78" s="96" t="s">
        <v>436</v>
      </c>
      <c r="B78" s="49">
        <f>+'RD-4 (MTR)'!C243</f>
        <v>0</v>
      </c>
      <c r="C78" s="49">
        <f>+'RD-4 (MTR)'!D243</f>
        <v>0</v>
      </c>
      <c r="D78" s="49">
        <f>+'RD-4 (MTR)'!E243</f>
        <v>24</v>
      </c>
      <c r="E78" s="49">
        <f>+'RD-4 (MTR)'!F243</f>
        <v>37.953000000000003</v>
      </c>
      <c r="F78" s="68">
        <f t="shared" si="8"/>
        <v>61.953000000000003</v>
      </c>
      <c r="H78" s="387"/>
      <c r="I78" s="4"/>
    </row>
    <row r="79" spans="1:9" x14ac:dyDescent="0.2">
      <c r="A79" s="96" t="s">
        <v>667</v>
      </c>
      <c r="B79" s="49">
        <f>+'RD-4 (MTR)'!C244</f>
        <v>0</v>
      </c>
      <c r="C79" s="49">
        <f>+'RD-4 (MTR)'!D244</f>
        <v>334.96</v>
      </c>
      <c r="D79" s="49">
        <f>+'RD-4 (MTR)'!E244</f>
        <v>540.48</v>
      </c>
      <c r="E79" s="49">
        <f>+'RD-4 (MTR)'!F244</f>
        <v>118.57</v>
      </c>
      <c r="F79" s="68">
        <f t="shared" si="8"/>
        <v>994.01</v>
      </c>
      <c r="H79" s="387"/>
      <c r="I79" s="4"/>
    </row>
    <row r="80" spans="1:9" x14ac:dyDescent="0.2">
      <c r="A80" s="96" t="s">
        <v>438</v>
      </c>
      <c r="B80" s="49">
        <f>+'RD-4 (MTR)'!C245</f>
        <v>723.86</v>
      </c>
      <c r="C80" s="49">
        <f>+'RD-4 (MTR)'!D245</f>
        <v>1942.7</v>
      </c>
      <c r="D80" s="49">
        <f>+'RD-4 (MTR)'!E245</f>
        <v>1651.8</v>
      </c>
      <c r="E80" s="49">
        <f>+'RD-4 (MTR)'!F245</f>
        <v>67.64</v>
      </c>
      <c r="F80" s="68">
        <f t="shared" si="8"/>
        <v>4386</v>
      </c>
      <c r="H80" s="387"/>
      <c r="I80" s="4"/>
    </row>
    <row r="81" spans="1:9" x14ac:dyDescent="0.2">
      <c r="A81" s="96" t="s">
        <v>666</v>
      </c>
      <c r="B81" s="49">
        <f>+'RD-4 (MTR)'!C246</f>
        <v>6344.7</v>
      </c>
      <c r="C81" s="49">
        <f>+'RD-4 (MTR)'!D246</f>
        <v>9448.17</v>
      </c>
      <c r="D81" s="49">
        <f>+'RD-4 (MTR)'!E246</f>
        <v>2237.7399999999998</v>
      </c>
      <c r="E81" s="49">
        <f>+'RD-4 (MTR)'!F246</f>
        <v>59.39</v>
      </c>
      <c r="F81" s="68">
        <f t="shared" si="8"/>
        <v>18090</v>
      </c>
      <c r="H81" s="387"/>
      <c r="I81" s="4"/>
    </row>
    <row r="82" spans="1:9" x14ac:dyDescent="0.2">
      <c r="A82" s="96" t="s">
        <v>1014</v>
      </c>
      <c r="B82" s="49">
        <f>+'RD-4 (MTR)'!C248</f>
        <v>0</v>
      </c>
      <c r="C82" s="49">
        <f>+'RD-4 (MTR)'!D248</f>
        <v>0</v>
      </c>
      <c r="D82" s="49">
        <f>+'RD-4 (MTR)'!E248</f>
        <v>0</v>
      </c>
      <c r="E82" s="49">
        <f>+'RD-4 (MTR)'!F248</f>
        <v>0</v>
      </c>
      <c r="F82" s="68">
        <f t="shared" si="8"/>
        <v>0</v>
      </c>
      <c r="H82" s="387"/>
      <c r="I82" s="4"/>
    </row>
    <row r="83" spans="1:9" x14ac:dyDescent="0.2">
      <c r="A83" s="96" t="s">
        <v>665</v>
      </c>
      <c r="B83" s="49">
        <f>+'RD-4 (MTR)'!C249</f>
        <v>0</v>
      </c>
      <c r="C83" s="49">
        <f>+'RD-4 (MTR)'!D249</f>
        <v>0</v>
      </c>
      <c r="D83" s="49">
        <f>+'RD-4 (MTR)'!E249</f>
        <v>135.44999999999999</v>
      </c>
      <c r="E83" s="49">
        <f>+'RD-4 (MTR)'!F249</f>
        <v>107.55</v>
      </c>
      <c r="F83" s="68">
        <f t="shared" si="8"/>
        <v>243</v>
      </c>
      <c r="H83" s="387"/>
      <c r="I83" s="4"/>
    </row>
    <row r="84" spans="1:9" x14ac:dyDescent="0.2">
      <c r="A84" s="347" t="s">
        <v>434</v>
      </c>
      <c r="B84" s="49">
        <f>+'RD-4 (MTR)'!C250</f>
        <v>0</v>
      </c>
      <c r="C84" s="49">
        <f>+'RD-4 (MTR)'!D250</f>
        <v>0</v>
      </c>
      <c r="D84" s="49">
        <f>+'RD-4 (MTR)'!E250</f>
        <v>0</v>
      </c>
      <c r="E84" s="49">
        <f>+'RD-4 (MTR)'!F250</f>
        <v>12</v>
      </c>
      <c r="F84" s="68">
        <f t="shared" si="8"/>
        <v>12</v>
      </c>
      <c r="H84" s="387"/>
      <c r="I84" s="4"/>
    </row>
    <row r="85" spans="1:9" x14ac:dyDescent="0.2">
      <c r="A85" s="96" t="s">
        <v>177</v>
      </c>
      <c r="B85" s="382">
        <f>SUM(B73:B84)</f>
        <v>1342532.6</v>
      </c>
      <c r="C85" s="382">
        <f>SUM(C73:C84)</f>
        <v>20703.98</v>
      </c>
      <c r="D85" s="382">
        <f>SUM(D73:D84)</f>
        <v>5281.45</v>
      </c>
      <c r="E85" s="382">
        <f>SUM(E73:E84)</f>
        <v>413.923</v>
      </c>
      <c r="H85" s="387"/>
      <c r="I85" s="4"/>
    </row>
    <row r="86" spans="1:9" x14ac:dyDescent="0.2">
      <c r="H86" s="4"/>
      <c r="I86" s="4"/>
    </row>
    <row r="87" spans="1:9" ht="13.5" thickBot="1" x14ac:dyDescent="0.25">
      <c r="A87" s="66" t="s">
        <v>1044</v>
      </c>
      <c r="B87" s="383">
        <f>+B85-B73</f>
        <v>1341269.56</v>
      </c>
      <c r="C87" s="383">
        <f>+C85-C73</f>
        <v>20232.060000000001</v>
      </c>
      <c r="D87" s="383">
        <f>+D85-D73</f>
        <v>5260.42</v>
      </c>
      <c r="E87" s="383">
        <f>+E85-E73</f>
        <v>413.923</v>
      </c>
      <c r="H87" s="4"/>
      <c r="I87" s="4"/>
    </row>
    <row r="88" spans="1:9" ht="13.5" thickTop="1" x14ac:dyDescent="0.2">
      <c r="H88" s="4"/>
      <c r="I88" s="4"/>
    </row>
    <row r="89" spans="1:9" x14ac:dyDescent="0.2">
      <c r="A89" s="66" t="s">
        <v>1076</v>
      </c>
      <c r="H89" s="4"/>
      <c r="I89" s="4"/>
    </row>
    <row r="90" spans="1:9" x14ac:dyDescent="0.2">
      <c r="H90" s="4"/>
      <c r="I90" s="4"/>
    </row>
    <row r="91" spans="1:9" x14ac:dyDescent="0.2">
      <c r="A91" s="83" t="s">
        <v>1037</v>
      </c>
      <c r="B91" s="68">
        <f>SUM(B74:B78)</f>
        <v>1334201</v>
      </c>
      <c r="C91" s="68">
        <f t="shared" ref="C91:F91" si="9">SUM(C74:C78)</f>
        <v>8506.23</v>
      </c>
      <c r="D91" s="68">
        <f t="shared" si="9"/>
        <v>694.95</v>
      </c>
      <c r="E91" s="68">
        <f t="shared" si="9"/>
        <v>48.773000000000003</v>
      </c>
      <c r="F91" s="68">
        <f t="shared" si="9"/>
        <v>1343450.953</v>
      </c>
      <c r="H91" s="4"/>
      <c r="I91" s="4"/>
    </row>
    <row r="92" spans="1:9" x14ac:dyDescent="0.2">
      <c r="A92" s="83" t="s">
        <v>1038</v>
      </c>
      <c r="B92" s="68">
        <f>SUM(B79:B81)</f>
        <v>7068.5599999999995</v>
      </c>
      <c r="C92" s="68">
        <f t="shared" ref="C92:F92" si="10">SUM(C79:C81)</f>
        <v>11725.83</v>
      </c>
      <c r="D92" s="68">
        <f t="shared" si="10"/>
        <v>4430.0199999999995</v>
      </c>
      <c r="E92" s="68">
        <f t="shared" si="10"/>
        <v>245.59999999999997</v>
      </c>
      <c r="F92" s="68">
        <f t="shared" si="10"/>
        <v>23470.010000000002</v>
      </c>
      <c r="H92" s="4"/>
      <c r="I92" s="4"/>
    </row>
    <row r="93" spans="1:9" x14ac:dyDescent="0.2">
      <c r="A93" s="83" t="s">
        <v>1039</v>
      </c>
      <c r="B93" s="68">
        <f>SUM(B82:B84)</f>
        <v>0</v>
      </c>
      <c r="C93" s="68">
        <f t="shared" ref="C93:F93" si="11">SUM(C82:C84)</f>
        <v>0</v>
      </c>
      <c r="D93" s="68">
        <f t="shared" si="11"/>
        <v>135.44999999999999</v>
      </c>
      <c r="E93" s="68">
        <f t="shared" si="11"/>
        <v>119.55</v>
      </c>
      <c r="F93" s="68">
        <f t="shared" si="11"/>
        <v>255</v>
      </c>
      <c r="H93" s="4"/>
      <c r="I93" s="4"/>
    </row>
    <row r="94" spans="1:9" ht="13.5" thickBot="1" x14ac:dyDescent="0.25">
      <c r="A94" s="83"/>
      <c r="B94" s="212">
        <f>SUM(B91:B93)</f>
        <v>1341269.56</v>
      </c>
      <c r="C94" s="212">
        <f t="shared" ref="C94:F94" si="12">SUM(C91:C93)</f>
        <v>20232.059999999998</v>
      </c>
      <c r="D94" s="212">
        <f t="shared" si="12"/>
        <v>5260.4199999999992</v>
      </c>
      <c r="E94" s="212">
        <f t="shared" si="12"/>
        <v>413.923</v>
      </c>
      <c r="F94" s="212">
        <f t="shared" si="12"/>
        <v>1367175.963</v>
      </c>
    </row>
    <row r="95" spans="1:9" ht="13.5" thickTop="1" x14ac:dyDescent="0.2"/>
  </sheetData>
  <mergeCells count="2">
    <mergeCell ref="O41:O42"/>
    <mergeCell ref="J42:K42"/>
  </mergeCells>
  <pageMargins left="0.7" right="0.7" top="1" bottom="0.75" header="0.3" footer="0.3"/>
  <pageSetup scale="41" orientation="landscape" r:id="rId1"/>
  <headerFooter>
    <oddHeader>&amp;CRULE 20:10:13:98
STATEMENT O WORKPAPER - Tab &amp;A
Billing Determinants
Test Year Ending December 31, 2025
Utility: MidAmerican Energy Company
Docket No. NG26-___
Individual Responsible: Stephen Stratton&amp;RPage &amp;P of &amp;N</oddHeader>
  </headerFooter>
  <ignoredErrors>
    <ignoredError sqref="M30" formulaRange="1"/>
    <ignoredError sqref="I21"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O93"/>
  <sheetViews>
    <sheetView view="pageLayout" zoomScaleNormal="115" workbookViewId="0">
      <selection activeCell="N13" sqref="N13"/>
    </sheetView>
  </sheetViews>
  <sheetFormatPr defaultRowHeight="12.75" x14ac:dyDescent="0.2"/>
  <cols>
    <col min="1" max="1" width="37.42578125" customWidth="1"/>
    <col min="2" max="2" width="11" customWidth="1"/>
    <col min="4" max="4" width="17.140625" customWidth="1"/>
    <col min="5" max="5" width="2.7109375" customWidth="1"/>
    <col min="6" max="6" width="13.42578125" customWidth="1"/>
    <col min="7" max="7" width="1.85546875" customWidth="1"/>
    <col min="8" max="8" width="14.28515625" customWidth="1"/>
    <col min="9" max="9" width="2" customWidth="1"/>
    <col min="10" max="10" width="14.28515625" customWidth="1"/>
    <col min="11" max="11" width="1.7109375" customWidth="1"/>
    <col min="12" max="12" width="18.140625" customWidth="1"/>
    <col min="13" max="13" width="1.28515625" customWidth="1"/>
    <col min="14" max="14" width="17.5703125" customWidth="1"/>
    <col min="15" max="15" width="1.28515625" customWidth="1"/>
    <col min="16" max="16" width="2.85546875" customWidth="1"/>
  </cols>
  <sheetData>
    <row r="1" spans="1:15" s="39" customFormat="1" ht="18" x14ac:dyDescent="0.25">
      <c r="A1" s="39" t="s">
        <v>284</v>
      </c>
      <c r="E1"/>
      <c r="F1"/>
      <c r="G1"/>
      <c r="H1"/>
      <c r="I1"/>
      <c r="J1"/>
      <c r="K1"/>
      <c r="L1"/>
      <c r="M1"/>
      <c r="N1"/>
      <c r="O1"/>
    </row>
    <row r="2" spans="1:15" s="39" customFormat="1" ht="18" x14ac:dyDescent="0.25">
      <c r="A2" s="39" t="s">
        <v>909</v>
      </c>
      <c r="E2"/>
      <c r="F2" s="223"/>
      <c r="G2" s="223"/>
      <c r="H2" s="223"/>
      <c r="I2" s="223"/>
      <c r="J2" s="223"/>
      <c r="K2" s="223"/>
      <c r="L2" s="223"/>
      <c r="M2" s="223"/>
      <c r="N2" s="223"/>
      <c r="O2" s="223"/>
    </row>
    <row r="3" spans="1:15" s="39" customFormat="1" ht="18" x14ac:dyDescent="0.25">
      <c r="A3" s="39" t="s">
        <v>545</v>
      </c>
      <c r="E3"/>
      <c r="F3" s="501" t="s">
        <v>1004</v>
      </c>
      <c r="G3" s="501"/>
      <c r="H3" s="501"/>
      <c r="I3"/>
      <c r="J3"/>
      <c r="K3"/>
    </row>
    <row r="4" spans="1:15" s="39" customFormat="1" ht="18" x14ac:dyDescent="0.25">
      <c r="A4" s="39" t="s">
        <v>910</v>
      </c>
      <c r="E4"/>
      <c r="F4" s="500"/>
      <c r="G4" s="500"/>
      <c r="H4" s="500"/>
      <c r="I4"/>
      <c r="J4"/>
      <c r="K4"/>
    </row>
    <row r="5" spans="1:15" x14ac:dyDescent="0.2">
      <c r="F5" s="499" t="s">
        <v>1001</v>
      </c>
      <c r="H5" s="117" t="s">
        <v>1002</v>
      </c>
      <c r="L5" s="502" t="s">
        <v>1006</v>
      </c>
      <c r="M5" s="502"/>
      <c r="N5" s="502"/>
      <c r="O5" s="502"/>
    </row>
    <row r="6" spans="1:15" x14ac:dyDescent="0.2">
      <c r="A6" s="10" t="s">
        <v>698</v>
      </c>
      <c r="B6" s="82" t="s">
        <v>513</v>
      </c>
      <c r="F6" s="500"/>
      <c r="H6" s="127" t="s">
        <v>1003</v>
      </c>
      <c r="J6" s="117" t="s">
        <v>872</v>
      </c>
      <c r="K6" s="117"/>
      <c r="L6" s="117" t="s">
        <v>760</v>
      </c>
      <c r="N6" s="117" t="s">
        <v>1005</v>
      </c>
    </row>
    <row r="7" spans="1:15" x14ac:dyDescent="0.2">
      <c r="A7" t="s">
        <v>538</v>
      </c>
      <c r="B7" s="104">
        <f>'RD-1 (SV)'!C44</f>
        <v>7.65</v>
      </c>
      <c r="F7" s="118">
        <v>6.25</v>
      </c>
      <c r="H7" s="104">
        <f>+B7-F7</f>
        <v>1.4000000000000004</v>
      </c>
      <c r="J7" s="107">
        <f>+'Billing Determinants'!H12+'Billing Determinants'!H13+'Billing Determinants'!H14</f>
        <v>1343347</v>
      </c>
      <c r="K7" s="107"/>
      <c r="L7" s="108">
        <f>+B7*J7</f>
        <v>10276604.550000001</v>
      </c>
      <c r="N7" s="108">
        <f t="shared" ref="N7:N12" si="0">+F7*J7</f>
        <v>8395918.75</v>
      </c>
      <c r="O7" s="218"/>
    </row>
    <row r="8" spans="1:15" x14ac:dyDescent="0.2">
      <c r="A8" t="s">
        <v>755</v>
      </c>
      <c r="B8" s="104">
        <f>'RD-1 (SV)'!C45</f>
        <v>60</v>
      </c>
      <c r="C8" t="s">
        <v>885</v>
      </c>
      <c r="F8" s="118">
        <v>40</v>
      </c>
      <c r="H8" s="118">
        <f t="shared" ref="H8:H64" si="1">+B8-F8</f>
        <v>20</v>
      </c>
      <c r="J8" s="225">
        <f>+'Billing Determinants'!I12</f>
        <v>0</v>
      </c>
      <c r="L8" s="108">
        <f t="shared" ref="L8:L12" si="2">+B8*J8</f>
        <v>0</v>
      </c>
      <c r="N8" s="108">
        <f t="shared" si="0"/>
        <v>0</v>
      </c>
      <c r="O8" s="218"/>
    </row>
    <row r="9" spans="1:15" x14ac:dyDescent="0.2">
      <c r="A9" t="s">
        <v>756</v>
      </c>
      <c r="B9" s="104">
        <f>'RD-1 (SV)'!C46</f>
        <v>20</v>
      </c>
      <c r="C9" t="s">
        <v>886</v>
      </c>
      <c r="F9" s="118">
        <v>16</v>
      </c>
      <c r="H9" s="118">
        <f t="shared" si="1"/>
        <v>4</v>
      </c>
      <c r="J9" s="107">
        <f>+'Billing Determinants'!I13</f>
        <v>1352</v>
      </c>
      <c r="L9" s="108">
        <f t="shared" si="2"/>
        <v>27040</v>
      </c>
      <c r="N9" s="108">
        <f t="shared" si="0"/>
        <v>21632</v>
      </c>
      <c r="O9" s="218"/>
    </row>
    <row r="10" spans="1:15" x14ac:dyDescent="0.2">
      <c r="A10" t="s">
        <v>754</v>
      </c>
      <c r="B10" s="104">
        <f>'RD-5 (INTRVL METER)'!C15</f>
        <v>50</v>
      </c>
      <c r="C10" t="s">
        <v>885</v>
      </c>
      <c r="F10" s="118">
        <v>35</v>
      </c>
      <c r="H10" s="118">
        <f t="shared" si="1"/>
        <v>15</v>
      </c>
      <c r="J10" s="107">
        <f>+'Billing Determinants'!I12</f>
        <v>0</v>
      </c>
      <c r="L10" s="108">
        <f t="shared" si="2"/>
        <v>0</v>
      </c>
      <c r="N10" s="108">
        <f t="shared" si="0"/>
        <v>0</v>
      </c>
      <c r="O10" s="218"/>
    </row>
    <row r="11" spans="1:15" x14ac:dyDescent="0.2">
      <c r="A11" t="s">
        <v>540</v>
      </c>
      <c r="B11" s="99">
        <f>'RD-1 (SV)'!C53</f>
        <v>0.23280999999999999</v>
      </c>
      <c r="F11" s="219">
        <v>0.21951000000000001</v>
      </c>
      <c r="H11" s="219">
        <f t="shared" si="1"/>
        <v>1.3299999999999979E-2</v>
      </c>
      <c r="J11" s="107">
        <f>+'Billing Determinants'!G30+'Billing Determinants'!G32+'Billing Determinants'!G36</f>
        <v>74348194.9912505</v>
      </c>
      <c r="K11" s="107"/>
      <c r="L11" s="108">
        <f t="shared" si="2"/>
        <v>17309003.27591303</v>
      </c>
      <c r="N11" s="108">
        <f t="shared" si="0"/>
        <v>16320172.282529399</v>
      </c>
      <c r="O11" s="216"/>
    </row>
    <row r="12" spans="1:15" x14ac:dyDescent="0.2">
      <c r="A12" t="s">
        <v>541</v>
      </c>
      <c r="B12" s="99">
        <f>'RD-1 (SV)'!C54</f>
        <v>0.23280999999999999</v>
      </c>
      <c r="F12" s="219">
        <v>0.16456999999999999</v>
      </c>
      <c r="H12" s="219">
        <f t="shared" si="1"/>
        <v>6.8239999999999995E-2</v>
      </c>
      <c r="J12" s="107">
        <f>+'Billing Determinants'!G31+'Billing Determinants'!G33+'Billing Determinants'!G37</f>
        <v>11018289.674767314</v>
      </c>
      <c r="K12" s="107"/>
      <c r="L12" s="108">
        <f t="shared" si="2"/>
        <v>2565168.0191825782</v>
      </c>
      <c r="N12" s="108">
        <f t="shared" si="0"/>
        <v>1813279.9317764568</v>
      </c>
      <c r="O12" s="217"/>
    </row>
    <row r="13" spans="1:15" ht="13.5" thickBot="1" x14ac:dyDescent="0.25">
      <c r="B13" s="99"/>
      <c r="J13" s="101"/>
      <c r="L13" s="208">
        <f>SUM(L7:L12)</f>
        <v>30177815.845095608</v>
      </c>
      <c r="N13" s="208">
        <f>SUM(N7:N12)</f>
        <v>26551002.964305855</v>
      </c>
    </row>
    <row r="14" spans="1:15" ht="13.5" thickTop="1" x14ac:dyDescent="0.2">
      <c r="A14" s="10" t="s">
        <v>699</v>
      </c>
      <c r="B14" s="82" t="s">
        <v>513</v>
      </c>
    </row>
    <row r="15" spans="1:15" x14ac:dyDescent="0.2">
      <c r="A15" t="s">
        <v>538</v>
      </c>
      <c r="B15" s="104">
        <f>'RD-1 (SV)'!C58</f>
        <v>52</v>
      </c>
      <c r="F15" s="118">
        <v>42.5</v>
      </c>
      <c r="H15" s="118">
        <f t="shared" si="1"/>
        <v>9.5</v>
      </c>
      <c r="J15" s="103">
        <f>+'Billing Determinants'!H55+'Billing Determinants'!H56</f>
        <v>42.7</v>
      </c>
      <c r="L15" s="108">
        <f>+B15*J15</f>
        <v>2220.4</v>
      </c>
      <c r="N15" s="108">
        <f>+F15*J15</f>
        <v>1814.7500000000002</v>
      </c>
    </row>
    <row r="16" spans="1:15" x14ac:dyDescent="0.2">
      <c r="A16" t="s">
        <v>700</v>
      </c>
      <c r="B16" s="99">
        <f>'RD-1 (SV)'!C59</f>
        <v>7.6789999999999997E-2</v>
      </c>
      <c r="F16" s="140">
        <v>6.4250000000000002E-2</v>
      </c>
      <c r="H16" s="140">
        <f t="shared" si="1"/>
        <v>1.2539999999999996E-2</v>
      </c>
      <c r="J16" s="107">
        <f>+'Billing Determinants'!G55</f>
        <v>189863</v>
      </c>
      <c r="L16" s="108">
        <f t="shared" ref="L16:L17" si="3">+B16*J16</f>
        <v>14579.57977</v>
      </c>
      <c r="N16" s="108">
        <f>+F16*J16</f>
        <v>12198.697750000001</v>
      </c>
    </row>
    <row r="17" spans="1:14" x14ac:dyDescent="0.2">
      <c r="A17" t="s">
        <v>701</v>
      </c>
      <c r="B17" s="99">
        <f>'RD-1 (SV)'!C60</f>
        <v>0.14315</v>
      </c>
      <c r="F17" s="140">
        <v>0.11978</v>
      </c>
      <c r="H17" s="140">
        <f t="shared" si="1"/>
        <v>2.3370000000000002E-2</v>
      </c>
      <c r="J17" s="107">
        <f>+'Billing Determinants'!G56</f>
        <v>42872.413208795355</v>
      </c>
      <c r="L17" s="108">
        <f t="shared" si="3"/>
        <v>6137.1859508390553</v>
      </c>
      <c r="N17" s="108">
        <f>+F17*J17</f>
        <v>5135.2576541495073</v>
      </c>
    </row>
    <row r="18" spans="1:14" ht="13.5" thickBot="1" x14ac:dyDescent="0.25">
      <c r="L18" s="208">
        <f>SUM(L15:L17)</f>
        <v>22937.165720839057</v>
      </c>
      <c r="N18" s="208">
        <f>SUM(N15:N17)</f>
        <v>19148.705404149507</v>
      </c>
    </row>
    <row r="19" spans="1:14" ht="13.5" thickTop="1" x14ac:dyDescent="0.2">
      <c r="A19" s="10" t="s">
        <v>703</v>
      </c>
      <c r="B19" s="82" t="s">
        <v>513</v>
      </c>
    </row>
    <row r="20" spans="1:14" x14ac:dyDescent="0.2">
      <c r="A20" t="s">
        <v>538</v>
      </c>
      <c r="B20" s="104">
        <f>'RD-1 (SV)'!C64</f>
        <v>52</v>
      </c>
      <c r="F20" s="118">
        <v>42.5</v>
      </c>
      <c r="H20" s="118">
        <f t="shared" si="1"/>
        <v>9.5</v>
      </c>
      <c r="J20">
        <f>+'Billing Determinants'!H15</f>
        <v>62</v>
      </c>
      <c r="L20" s="108">
        <f>+B20*J20</f>
        <v>3224</v>
      </c>
      <c r="N20" s="108">
        <f>+F20*J20</f>
        <v>2635</v>
      </c>
    </row>
    <row r="21" spans="1:14" x14ac:dyDescent="0.2">
      <c r="A21" t="s">
        <v>754</v>
      </c>
      <c r="B21" s="104">
        <f>'RD-5 (INTRVL METER)'!C15</f>
        <v>50</v>
      </c>
      <c r="F21" s="118">
        <v>35</v>
      </c>
      <c r="H21" s="118">
        <f t="shared" si="1"/>
        <v>15</v>
      </c>
      <c r="J21">
        <f>+J20</f>
        <v>62</v>
      </c>
      <c r="L21" s="108">
        <f t="shared" ref="L21:L22" si="4">+B21*J21</f>
        <v>3100</v>
      </c>
      <c r="N21" s="108">
        <f>+F21*J21</f>
        <v>2170</v>
      </c>
    </row>
    <row r="22" spans="1:14" x14ac:dyDescent="0.2">
      <c r="A22" t="s">
        <v>704</v>
      </c>
      <c r="B22" s="99">
        <f>'RD-1 (SV)'!C65</f>
        <v>9.7610000000000002E-2</v>
      </c>
      <c r="F22" s="140">
        <v>8.1670000000000006E-2</v>
      </c>
      <c r="H22" s="140">
        <f t="shared" si="1"/>
        <v>1.5939999999999996E-2</v>
      </c>
      <c r="J22" s="107">
        <f>+'Billing Determinants'!G15</f>
        <v>188337.67501488834</v>
      </c>
      <c r="L22" s="108">
        <f t="shared" si="4"/>
        <v>18383.640458203252</v>
      </c>
      <c r="N22" s="108">
        <f>+F22*J22</f>
        <v>15381.537918465932</v>
      </c>
    </row>
    <row r="23" spans="1:14" ht="13.5" thickBot="1" x14ac:dyDescent="0.25">
      <c r="L23" s="208">
        <f>SUM(L20:L22)</f>
        <v>24707.640458203252</v>
      </c>
      <c r="N23" s="208">
        <f>SUM(N20:N22)</f>
        <v>20186.537918465932</v>
      </c>
    </row>
    <row r="24" spans="1:14" ht="13.5" thickTop="1" x14ac:dyDescent="0.2">
      <c r="A24" s="10" t="s">
        <v>702</v>
      </c>
      <c r="B24" s="82" t="s">
        <v>513</v>
      </c>
    </row>
    <row r="25" spans="1:14" x14ac:dyDescent="0.2">
      <c r="A25" t="s">
        <v>538</v>
      </c>
      <c r="B25" s="104">
        <f>'RD-2 (MV)'!C41</f>
        <v>52</v>
      </c>
      <c r="F25" s="118">
        <v>42.5</v>
      </c>
      <c r="H25" s="118">
        <f t="shared" si="1"/>
        <v>9.5</v>
      </c>
      <c r="J25" s="107">
        <f>+'Billing Determinants'!H16+'Billing Determinants'!H17+'Billing Determinants'!H18</f>
        <v>23470</v>
      </c>
      <c r="L25" s="108">
        <f>+B25*J25</f>
        <v>1220440</v>
      </c>
      <c r="N25" s="108">
        <f>+F25*J25</f>
        <v>997475</v>
      </c>
    </row>
    <row r="26" spans="1:14" x14ac:dyDescent="0.2">
      <c r="A26" t="s">
        <v>755</v>
      </c>
      <c r="B26" s="104">
        <f>'RD-2 (MV)'!C42</f>
        <v>60</v>
      </c>
      <c r="C26" t="s">
        <v>888</v>
      </c>
      <c r="F26" s="118">
        <v>40</v>
      </c>
      <c r="H26" s="118">
        <f t="shared" si="1"/>
        <v>20</v>
      </c>
      <c r="J26">
        <f>+'Billing Determinants'!I16</f>
        <v>994</v>
      </c>
      <c r="L26" s="108">
        <f t="shared" ref="L26" si="5">+B26*J26</f>
        <v>59640</v>
      </c>
      <c r="N26" s="108">
        <f>+F26*J26</f>
        <v>39760</v>
      </c>
    </row>
    <row r="27" spans="1:14" x14ac:dyDescent="0.2">
      <c r="A27" t="s">
        <v>756</v>
      </c>
      <c r="B27" s="104">
        <f>'RD-2 (MV)'!C43</f>
        <v>20</v>
      </c>
      <c r="C27" t="s">
        <v>889</v>
      </c>
      <c r="F27" s="118">
        <v>16</v>
      </c>
      <c r="H27" s="118">
        <f t="shared" si="1"/>
        <v>4</v>
      </c>
      <c r="J27" s="107">
        <f>+'Billing Determinants'!I17</f>
        <v>4386</v>
      </c>
      <c r="L27" s="108">
        <f t="shared" ref="L27:L29" si="6">+B27*J27</f>
        <v>87720</v>
      </c>
      <c r="N27" s="108">
        <f t="shared" ref="N27:N29" si="7">+F27*J27</f>
        <v>70176</v>
      </c>
    </row>
    <row r="28" spans="1:14" x14ac:dyDescent="0.2">
      <c r="A28" t="s">
        <v>754</v>
      </c>
      <c r="B28" s="104">
        <f>'RD-5 (INTRVL METER)'!C15</f>
        <v>50</v>
      </c>
      <c r="C28" t="s">
        <v>888</v>
      </c>
      <c r="F28" s="118">
        <v>35</v>
      </c>
      <c r="H28" s="118">
        <f t="shared" si="1"/>
        <v>15</v>
      </c>
      <c r="J28">
        <f>+J26</f>
        <v>994</v>
      </c>
      <c r="L28" s="108">
        <f t="shared" si="6"/>
        <v>49700</v>
      </c>
      <c r="N28" s="108">
        <f t="shared" si="7"/>
        <v>34790</v>
      </c>
    </row>
    <row r="29" spans="1:14" x14ac:dyDescent="0.2">
      <c r="A29" t="s">
        <v>542</v>
      </c>
      <c r="B29" s="99">
        <f>'RD-2 (MV)'!C48</f>
        <v>0.11882999999999999</v>
      </c>
      <c r="F29" s="140">
        <v>9.708E-2</v>
      </c>
      <c r="H29" s="140">
        <f t="shared" si="1"/>
        <v>2.1749999999999992E-2</v>
      </c>
      <c r="J29" s="107">
        <f>+'Billing Determinants'!G16+'Billing Determinants'!G17+'Billing Determinants'!G18</f>
        <v>47817296.341854148</v>
      </c>
      <c r="L29" s="108">
        <f t="shared" si="6"/>
        <v>5682129.3243025281</v>
      </c>
      <c r="N29" s="108">
        <f t="shared" si="7"/>
        <v>4642103.1288672006</v>
      </c>
    </row>
    <row r="30" spans="1:14" ht="13.5" thickBot="1" x14ac:dyDescent="0.25">
      <c r="L30" s="208">
        <f>SUM(L25:L29)</f>
        <v>7099629.3243025281</v>
      </c>
      <c r="N30" s="208">
        <f>SUM(N25:N29)</f>
        <v>5784304.1288672006</v>
      </c>
    </row>
    <row r="31" spans="1:14" ht="13.5" thickTop="1" x14ac:dyDescent="0.2">
      <c r="A31" s="10" t="s">
        <v>705</v>
      </c>
      <c r="B31" s="82" t="s">
        <v>513</v>
      </c>
    </row>
    <row r="32" spans="1:14" x14ac:dyDescent="0.2">
      <c r="A32" t="s">
        <v>538</v>
      </c>
      <c r="B32" s="104">
        <f>'RD-3 (LV)'!C41</f>
        <v>100</v>
      </c>
      <c r="F32" s="118">
        <v>80</v>
      </c>
      <c r="H32" s="118">
        <f t="shared" si="1"/>
        <v>20</v>
      </c>
      <c r="J32">
        <f>+'Billing Determinants'!H21+'Billing Determinants'!H22</f>
        <v>255</v>
      </c>
      <c r="L32" s="108">
        <f>+B32*J32</f>
        <v>25500</v>
      </c>
      <c r="N32" s="108">
        <f>+F32*J32</f>
        <v>20400</v>
      </c>
    </row>
    <row r="33" spans="1:14" x14ac:dyDescent="0.2">
      <c r="A33" t="s">
        <v>539</v>
      </c>
      <c r="B33" s="104">
        <f>'RD-3 (LV)'!C42</f>
        <v>60</v>
      </c>
      <c r="C33" t="s">
        <v>890</v>
      </c>
      <c r="F33" s="118">
        <v>40</v>
      </c>
      <c r="H33" s="118">
        <f t="shared" si="1"/>
        <v>20</v>
      </c>
      <c r="J33">
        <f>+'Billing Determinants'!I21</f>
        <v>243</v>
      </c>
      <c r="L33" s="108">
        <f t="shared" ref="L33:L35" si="8">+B33*J33</f>
        <v>14580</v>
      </c>
      <c r="N33" s="108">
        <f>+F33*J33</f>
        <v>9720</v>
      </c>
    </row>
    <row r="34" spans="1:14" x14ac:dyDescent="0.2">
      <c r="A34" t="s">
        <v>754</v>
      </c>
      <c r="B34" s="104">
        <f>'RD-5 (INTRVL METER)'!C15</f>
        <v>50</v>
      </c>
      <c r="F34" s="118">
        <v>35</v>
      </c>
      <c r="H34" s="118">
        <f t="shared" si="1"/>
        <v>15</v>
      </c>
      <c r="J34">
        <f>+J32</f>
        <v>255</v>
      </c>
      <c r="L34" s="108">
        <f t="shared" si="8"/>
        <v>12750</v>
      </c>
      <c r="N34" s="108">
        <f t="shared" ref="N34:N35" si="9">+F34*J34</f>
        <v>8925</v>
      </c>
    </row>
    <row r="35" spans="1:14" x14ac:dyDescent="0.2">
      <c r="A35" t="s">
        <v>542</v>
      </c>
      <c r="B35" s="99">
        <f>'RD-3 (LV)'!C59</f>
        <v>5.5330000000000004E-2</v>
      </c>
      <c r="F35" s="140">
        <v>4.1390000000000003E-2</v>
      </c>
      <c r="H35" s="140">
        <f t="shared" si="1"/>
        <v>1.3940000000000001E-2</v>
      </c>
      <c r="J35" s="107">
        <f>+'Billing Determinants'!G21+'Billing Determinants'!G22</f>
        <v>29930486.22615258</v>
      </c>
      <c r="L35" s="108">
        <f t="shared" si="8"/>
        <v>1656053.8028930223</v>
      </c>
      <c r="N35" s="108">
        <f t="shared" si="9"/>
        <v>1238822.8249004553</v>
      </c>
    </row>
    <row r="36" spans="1:14" x14ac:dyDescent="0.2">
      <c r="A36" t="s">
        <v>543</v>
      </c>
      <c r="B36" s="104">
        <f>'RD-3 (LV)'!C51</f>
        <v>0.31</v>
      </c>
      <c r="C36" t="s">
        <v>887</v>
      </c>
      <c r="F36" s="140">
        <v>0.16</v>
      </c>
      <c r="H36" s="140">
        <f t="shared" si="1"/>
        <v>0.15</v>
      </c>
      <c r="J36" s="107">
        <f>+'Billing Determinants'!J48</f>
        <v>2050578.1176470588</v>
      </c>
      <c r="L36" s="108">
        <f t="shared" ref="L36:L37" si="10">+B36*J36</f>
        <v>635679.21647058823</v>
      </c>
      <c r="N36" s="108">
        <f t="shared" ref="N36:N37" si="11">+F36*J36</f>
        <v>328092.4988235294</v>
      </c>
    </row>
    <row r="37" spans="1:14" x14ac:dyDescent="0.2">
      <c r="A37" t="s">
        <v>544</v>
      </c>
      <c r="B37" s="104">
        <f>'RD-3 (LV)'!C52</f>
        <v>0.31</v>
      </c>
      <c r="C37" t="s">
        <v>887</v>
      </c>
      <c r="F37" s="140">
        <v>0.16</v>
      </c>
      <c r="H37" s="140">
        <f t="shared" si="1"/>
        <v>0.15</v>
      </c>
      <c r="J37" s="107">
        <f>+'Billing Determinants'!K48</f>
        <v>128657.88235294117</v>
      </c>
      <c r="L37" s="108">
        <f t="shared" si="10"/>
        <v>39883.943529411765</v>
      </c>
      <c r="N37" s="108">
        <f t="shared" si="11"/>
        <v>20585.261176470587</v>
      </c>
    </row>
    <row r="38" spans="1:14" ht="13.5" thickBot="1" x14ac:dyDescent="0.25">
      <c r="L38" s="208">
        <f>SUM(L32:L37)</f>
        <v>2384446.9628930222</v>
      </c>
      <c r="N38" s="208">
        <f>SUM(N32:N37)</f>
        <v>1626545.5849004553</v>
      </c>
    </row>
    <row r="39" spans="1:14" ht="13.5" thickTop="1" x14ac:dyDescent="0.2">
      <c r="A39" s="10" t="s">
        <v>706</v>
      </c>
      <c r="B39" s="82" t="s">
        <v>513</v>
      </c>
    </row>
    <row r="40" spans="1:14" x14ac:dyDescent="0.2">
      <c r="A40" t="s">
        <v>538</v>
      </c>
      <c r="B40" s="104">
        <f>'RD-3 (LV)'!C64</f>
        <v>100</v>
      </c>
      <c r="F40" s="118">
        <v>80</v>
      </c>
      <c r="H40" s="118">
        <f t="shared" si="1"/>
        <v>20</v>
      </c>
      <c r="J40" s="220">
        <f>+'Billing Determinants'!H20</f>
        <v>0</v>
      </c>
      <c r="L40" s="108">
        <f>+B40*J40</f>
        <v>0</v>
      </c>
      <c r="N40" s="108">
        <f>+F40*J40</f>
        <v>0</v>
      </c>
    </row>
    <row r="41" spans="1:14" x14ac:dyDescent="0.2">
      <c r="A41" t="s">
        <v>700</v>
      </c>
      <c r="B41" s="99">
        <f>'RD-3 (LV)'!C65</f>
        <v>7.6399999999999996E-2</v>
      </c>
      <c r="F41" s="140">
        <v>5.3010000000000002E-2</v>
      </c>
      <c r="H41" s="140">
        <f t="shared" si="1"/>
        <v>2.3389999999999994E-2</v>
      </c>
      <c r="J41" s="220">
        <f>+'Billing Determinants'!G57</f>
        <v>0</v>
      </c>
      <c r="L41" s="108">
        <f t="shared" ref="L41:L42" si="12">+B41*J41</f>
        <v>0</v>
      </c>
      <c r="N41" s="108">
        <f>+F41*J41</f>
        <v>0</v>
      </c>
    </row>
    <row r="42" spans="1:14" x14ac:dyDescent="0.2">
      <c r="A42" t="s">
        <v>701</v>
      </c>
      <c r="B42" s="99">
        <f>'RD-3 (LV)'!C66</f>
        <v>0.14479</v>
      </c>
      <c r="F42" s="140">
        <v>0.10045999999999999</v>
      </c>
      <c r="H42" s="140">
        <f t="shared" si="1"/>
        <v>4.4330000000000008E-2</v>
      </c>
      <c r="J42" s="220">
        <f>+'Billing Determinants'!G58</f>
        <v>0</v>
      </c>
      <c r="L42" s="108">
        <f t="shared" si="12"/>
        <v>0</v>
      </c>
      <c r="N42" s="108">
        <f>+F42*J42</f>
        <v>0</v>
      </c>
    </row>
    <row r="43" spans="1:14" ht="13.5" thickBot="1" x14ac:dyDescent="0.25">
      <c r="D43" s="213"/>
      <c r="L43" s="208">
        <f>SUM(L40:L42)</f>
        <v>0</v>
      </c>
      <c r="N43" s="208">
        <f>SUM(N40:N42)</f>
        <v>0</v>
      </c>
    </row>
    <row r="44" spans="1:14" ht="13.5" customHeight="1" thickTop="1" x14ac:dyDescent="0.2">
      <c r="A44" s="10" t="s">
        <v>546</v>
      </c>
      <c r="B44" s="82" t="s">
        <v>513</v>
      </c>
      <c r="D44" s="214"/>
    </row>
    <row r="45" spans="1:14" x14ac:dyDescent="0.2">
      <c r="A45" t="s">
        <v>547</v>
      </c>
      <c r="B45" s="118">
        <f>'RD-4 (MTR)'!G183</f>
        <v>4.75</v>
      </c>
      <c r="C45" t="s">
        <v>551</v>
      </c>
      <c r="D45" s="215"/>
      <c r="E45" s="158"/>
      <c r="F45" s="118">
        <v>3</v>
      </c>
      <c r="H45" s="118">
        <f t="shared" si="1"/>
        <v>1.75</v>
      </c>
      <c r="J45" s="107">
        <f>+'Billing Determinants'!B87</f>
        <v>1341269.56</v>
      </c>
      <c r="L45" s="108">
        <f>+B45*J45</f>
        <v>6371030.4100000001</v>
      </c>
      <c r="M45" s="108"/>
      <c r="N45" s="108">
        <f>+F45*J45</f>
        <v>4023808.68</v>
      </c>
    </row>
    <row r="46" spans="1:14" x14ac:dyDescent="0.2">
      <c r="A46" t="s">
        <v>548</v>
      </c>
      <c r="B46" s="118">
        <f>'RD-4 (MTR)'!G184</f>
        <v>38</v>
      </c>
      <c r="C46" t="s">
        <v>551</v>
      </c>
      <c r="D46" s="215"/>
      <c r="E46" s="158"/>
      <c r="F46" s="118">
        <v>15</v>
      </c>
      <c r="H46" s="118">
        <f t="shared" si="1"/>
        <v>23</v>
      </c>
      <c r="J46" s="107">
        <f>+'Billing Determinants'!C87</f>
        <v>20232.060000000001</v>
      </c>
      <c r="L46" s="108">
        <f t="shared" ref="L46:L48" si="13">+B46*J46</f>
        <v>768818.28</v>
      </c>
      <c r="M46" s="108"/>
      <c r="N46" s="108">
        <f>+F46*J46</f>
        <v>303480.90000000002</v>
      </c>
    </row>
    <row r="47" spans="1:14" x14ac:dyDescent="0.2">
      <c r="A47" t="s">
        <v>549</v>
      </c>
      <c r="B47" s="118">
        <f>'RD-4 (MTR)'!G185</f>
        <v>104</v>
      </c>
      <c r="C47" t="s">
        <v>551</v>
      </c>
      <c r="D47" s="215"/>
      <c r="E47" s="158"/>
      <c r="F47" s="118">
        <v>40</v>
      </c>
      <c r="H47" s="118">
        <f t="shared" si="1"/>
        <v>64</v>
      </c>
      <c r="J47" s="107">
        <f>+'Billing Determinants'!D87</f>
        <v>5260.42</v>
      </c>
      <c r="L47" s="108">
        <f t="shared" si="13"/>
        <v>547083.68000000005</v>
      </c>
      <c r="M47" s="108"/>
      <c r="N47" s="108">
        <f t="shared" ref="N47:N48" si="14">+F47*J47</f>
        <v>210416.8</v>
      </c>
    </row>
    <row r="48" spans="1:14" x14ac:dyDescent="0.2">
      <c r="A48" t="s">
        <v>550</v>
      </c>
      <c r="B48" s="118">
        <f>'RD-4 (MTR)'!G186</f>
        <v>179</v>
      </c>
      <c r="C48" t="s">
        <v>551</v>
      </c>
      <c r="D48" s="215"/>
      <c r="E48" s="158"/>
      <c r="F48" s="118">
        <v>70</v>
      </c>
      <c r="H48" s="118">
        <f t="shared" si="1"/>
        <v>109</v>
      </c>
      <c r="J48" s="107">
        <f>+'Billing Determinants'!E87</f>
        <v>413.923</v>
      </c>
      <c r="L48" s="108">
        <f t="shared" si="13"/>
        <v>74092.217000000004</v>
      </c>
      <c r="M48" s="108"/>
      <c r="N48" s="108">
        <f t="shared" si="14"/>
        <v>28974.61</v>
      </c>
    </row>
    <row r="49" spans="1:14" ht="13.5" thickBot="1" x14ac:dyDescent="0.25">
      <c r="L49" s="208">
        <f>SUM(L45:L48)</f>
        <v>7761024.5870000003</v>
      </c>
      <c r="N49" s="208">
        <f>SUM(N45:N48)</f>
        <v>4566680.99</v>
      </c>
    </row>
    <row r="50" spans="1:14" ht="13.5" thickTop="1" x14ac:dyDescent="0.2">
      <c r="A50" s="10" t="s">
        <v>883</v>
      </c>
      <c r="B50" s="82" t="s">
        <v>513</v>
      </c>
    </row>
    <row r="51" spans="1:14" x14ac:dyDescent="0.2">
      <c r="A51" s="6">
        <v>2025</v>
      </c>
    </row>
    <row r="52" spans="1:14" x14ac:dyDescent="0.2">
      <c r="A52" t="s">
        <v>538</v>
      </c>
      <c r="B52" s="104">
        <v>11.66</v>
      </c>
      <c r="F52" s="104">
        <f>+B52</f>
        <v>11.66</v>
      </c>
      <c r="H52" s="118">
        <f t="shared" si="1"/>
        <v>0</v>
      </c>
      <c r="J52" s="107">
        <f>+J60</f>
        <v>1756</v>
      </c>
      <c r="L52" s="108">
        <f>+B52*J52</f>
        <v>20474.96</v>
      </c>
      <c r="N52" s="108">
        <f>+F52*J52</f>
        <v>20474.96</v>
      </c>
    </row>
    <row r="53" spans="1:14" x14ac:dyDescent="0.2">
      <c r="A53" t="s">
        <v>704</v>
      </c>
      <c r="B53" s="99">
        <v>0.42085</v>
      </c>
      <c r="F53" s="219">
        <f>+B53</f>
        <v>0.42085</v>
      </c>
      <c r="H53" s="140">
        <f t="shared" si="1"/>
        <v>0</v>
      </c>
      <c r="J53" s="107">
        <f>+J61</f>
        <v>264653.67775176623</v>
      </c>
      <c r="L53" s="108">
        <f t="shared" ref="L53" si="15">+B53*J53</f>
        <v>111379.50028183081</v>
      </c>
      <c r="N53" s="108">
        <f>+F53*J53</f>
        <v>111379.50028183081</v>
      </c>
    </row>
    <row r="54" spans="1:14" x14ac:dyDescent="0.2">
      <c r="B54" s="2"/>
    </row>
    <row r="55" spans="1:14" x14ac:dyDescent="0.2">
      <c r="A55" s="6">
        <v>2026</v>
      </c>
      <c r="H55" s="118"/>
    </row>
    <row r="56" spans="1:14" x14ac:dyDescent="0.2">
      <c r="A56" t="s">
        <v>538</v>
      </c>
      <c r="B56" s="104">
        <v>12.56</v>
      </c>
      <c r="F56" s="104">
        <f>+B56</f>
        <v>12.56</v>
      </c>
      <c r="H56" s="140">
        <f t="shared" si="1"/>
        <v>0</v>
      </c>
      <c r="J56" s="5">
        <f>+J60</f>
        <v>1756</v>
      </c>
      <c r="L56" s="108">
        <f>+B56*J56</f>
        <v>22055.360000000001</v>
      </c>
      <c r="N56" s="108">
        <f>+F56*J56</f>
        <v>22055.360000000001</v>
      </c>
    </row>
    <row r="57" spans="1:14" x14ac:dyDescent="0.2">
      <c r="A57" t="s">
        <v>704</v>
      </c>
      <c r="B57" s="99">
        <v>0.45352999999999999</v>
      </c>
      <c r="F57" s="219">
        <f>+B57</f>
        <v>0.45352999999999999</v>
      </c>
      <c r="H57" s="140">
        <f t="shared" si="1"/>
        <v>0</v>
      </c>
      <c r="J57" s="5">
        <f>+J61</f>
        <v>264653.67775176623</v>
      </c>
      <c r="L57" s="108">
        <f>+B57*J57</f>
        <v>120028.38247075853</v>
      </c>
      <c r="N57" s="108">
        <f>+F57*J57</f>
        <v>120028.38247075853</v>
      </c>
    </row>
    <row r="58" spans="1:14" x14ac:dyDescent="0.2">
      <c r="B58" s="2"/>
    </row>
    <row r="59" spans="1:14" x14ac:dyDescent="0.2">
      <c r="A59" s="6">
        <v>2027</v>
      </c>
    </row>
    <row r="60" spans="1:14" x14ac:dyDescent="0.2">
      <c r="A60" t="s">
        <v>538</v>
      </c>
      <c r="B60" s="104">
        <f>'RD-6 (NF RATE SCHEDULE)'!E11</f>
        <v>16.61</v>
      </c>
      <c r="F60" s="118">
        <v>13.54</v>
      </c>
      <c r="H60" s="118">
        <f t="shared" si="1"/>
        <v>3.0700000000000003</v>
      </c>
      <c r="J60" s="107">
        <f>+'Billing Determinants'!H10</f>
        <v>1756</v>
      </c>
      <c r="L60" s="108">
        <f>+B60*J60</f>
        <v>29167.16</v>
      </c>
      <c r="N60" s="108">
        <f>+F60*J60</f>
        <v>23776.239999999998</v>
      </c>
    </row>
    <row r="61" spans="1:14" x14ac:dyDescent="0.2">
      <c r="A61" t="s">
        <v>704</v>
      </c>
      <c r="B61" s="99">
        <f>'RD-6 (NF RATE SCHEDULE)'!E12</f>
        <v>0.59943000000000002</v>
      </c>
      <c r="F61" s="140">
        <v>0.48875999999999997</v>
      </c>
      <c r="H61" s="140">
        <f t="shared" si="1"/>
        <v>0.11067000000000005</v>
      </c>
      <c r="J61" s="107">
        <f>+'Billing Determinants'!G10</f>
        <v>264653.67775176623</v>
      </c>
      <c r="L61" s="108">
        <f t="shared" ref="L61" si="16">+B61*J61</f>
        <v>158641.35405474124</v>
      </c>
      <c r="N61" s="108">
        <f>+F61*J61</f>
        <v>129352.13153795326</v>
      </c>
    </row>
    <row r="62" spans="1:14" x14ac:dyDescent="0.2">
      <c r="A62" s="6">
        <f>+A59+1</f>
        <v>2028</v>
      </c>
      <c r="J62" s="107"/>
    </row>
    <row r="63" spans="1:14" x14ac:dyDescent="0.2">
      <c r="A63" t="s">
        <v>538</v>
      </c>
      <c r="B63" s="104">
        <f>'RD-6 (NF RATE SCHEDULE)'!E30</f>
        <v>17.04</v>
      </c>
      <c r="F63" s="118">
        <v>14.59</v>
      </c>
      <c r="H63" s="118">
        <f t="shared" si="1"/>
        <v>2.4499999999999993</v>
      </c>
      <c r="J63" s="107">
        <f>+J60</f>
        <v>1756</v>
      </c>
      <c r="L63" s="108">
        <f>+B63*J63</f>
        <v>29922.239999999998</v>
      </c>
      <c r="N63" s="108">
        <f>+F63*J63</f>
        <v>25620.04</v>
      </c>
    </row>
    <row r="64" spans="1:14" x14ac:dyDescent="0.2">
      <c r="A64" t="s">
        <v>704</v>
      </c>
      <c r="B64" s="99">
        <f>'RD-6 (NF RATE SCHEDULE)'!E31</f>
        <v>0.61473</v>
      </c>
      <c r="F64" s="140">
        <v>0.52671000000000001</v>
      </c>
      <c r="H64" s="140">
        <f t="shared" si="1"/>
        <v>8.8019999999999987E-2</v>
      </c>
      <c r="J64" s="107">
        <f>+J61</f>
        <v>264653.67775176623</v>
      </c>
      <c r="L64" s="108">
        <f t="shared" ref="L64" si="17">+B64*J64</f>
        <v>162690.55532434327</v>
      </c>
      <c r="N64" s="108">
        <f>+F64*J64</f>
        <v>139395.73860863279</v>
      </c>
    </row>
    <row r="65" spans="1:14" x14ac:dyDescent="0.2">
      <c r="A65" s="6"/>
    </row>
    <row r="66" spans="1:14" x14ac:dyDescent="0.2">
      <c r="B66" s="104"/>
      <c r="J66" s="117"/>
    </row>
    <row r="67" spans="1:14" x14ac:dyDescent="0.2">
      <c r="A67" s="6" t="s">
        <v>1007</v>
      </c>
      <c r="B67" s="185"/>
      <c r="C67" s="6"/>
      <c r="D67" s="6"/>
      <c r="E67" s="6"/>
      <c r="F67" s="6"/>
      <c r="G67" s="6"/>
      <c r="H67" s="6"/>
      <c r="I67" s="6"/>
      <c r="J67" s="206">
        <f>+J11+J12+J16+J22+J29+J35</f>
        <v>163492467.90903941</v>
      </c>
      <c r="K67" s="6"/>
      <c r="L67" s="7">
        <f>+L13+L18+L23+L30+L38+L43+L49</f>
        <v>47470561.525470197</v>
      </c>
      <c r="M67" s="6"/>
      <c r="N67" s="7">
        <f>+N13+N18+N23+N30+N38+N43+N49</f>
        <v>38567868.911396131</v>
      </c>
    </row>
    <row r="68" spans="1:14" x14ac:dyDescent="0.2">
      <c r="A68" s="6"/>
    </row>
    <row r="69" spans="1:14" x14ac:dyDescent="0.2">
      <c r="A69" s="6" t="s">
        <v>1179</v>
      </c>
      <c r="B69" s="104"/>
      <c r="J69" s="206">
        <f>+J67+J53</f>
        <v>163757121.58679119</v>
      </c>
      <c r="K69" s="6"/>
      <c r="L69" s="7">
        <f>+L67+L60+L61</f>
        <v>47658370.039524935</v>
      </c>
      <c r="M69" s="6"/>
      <c r="N69" s="7">
        <f>+N67+N52+N53</f>
        <v>38699723.371677965</v>
      </c>
    </row>
    <row r="70" spans="1:14" x14ac:dyDescent="0.2">
      <c r="B70" s="99"/>
    </row>
    <row r="71" spans="1:14" x14ac:dyDescent="0.2">
      <c r="A71" t="s">
        <v>1077</v>
      </c>
      <c r="B71" s="99"/>
      <c r="L71" s="108">
        <f>+'RD-6 (NF RATE SCHEDULE)'!G24</f>
        <v>4810.0736371492094</v>
      </c>
      <c r="M71" s="108"/>
      <c r="N71" s="108">
        <v>46490.09</v>
      </c>
    </row>
    <row r="72" spans="1:14" x14ac:dyDescent="0.2">
      <c r="B72" s="99"/>
      <c r="L72" s="108"/>
      <c r="M72" s="108"/>
      <c r="N72" s="108"/>
    </row>
    <row r="73" spans="1:14" x14ac:dyDescent="0.2">
      <c r="A73" t="s">
        <v>1075</v>
      </c>
      <c r="B73" s="99"/>
      <c r="L73" s="108">
        <f>+N73</f>
        <v>39861.230000000003</v>
      </c>
      <c r="M73" s="108"/>
      <c r="N73" s="108">
        <f>+'RD-3 (LV)'!E55</f>
        <v>39861.230000000003</v>
      </c>
    </row>
    <row r="74" spans="1:14" x14ac:dyDescent="0.2">
      <c r="B74" s="99"/>
      <c r="L74" s="108"/>
      <c r="M74" s="108"/>
      <c r="N74" s="108"/>
    </row>
    <row r="75" spans="1:14" x14ac:dyDescent="0.2">
      <c r="A75" t="s">
        <v>1174</v>
      </c>
      <c r="B75" s="99"/>
      <c r="L75" s="108">
        <f>+N75</f>
        <v>5666.34</v>
      </c>
      <c r="M75" s="108"/>
      <c r="N75" s="108">
        <f>80.25*5*12+42*20.27</f>
        <v>5666.34</v>
      </c>
    </row>
    <row r="76" spans="1:14" x14ac:dyDescent="0.2">
      <c r="B76" s="99"/>
      <c r="L76" s="108"/>
      <c r="M76" s="108"/>
      <c r="N76" s="108"/>
    </row>
    <row r="77" spans="1:14" x14ac:dyDescent="0.2">
      <c r="A77" t="s">
        <v>1008</v>
      </c>
      <c r="B77" t="s">
        <v>1196</v>
      </c>
      <c r="L77" s="108">
        <f>+N77</f>
        <v>183208.08000000002</v>
      </c>
      <c r="M77" s="108"/>
      <c r="N77" s="108">
        <v>183208.08000000002</v>
      </c>
    </row>
    <row r="78" spans="1:14" x14ac:dyDescent="0.2">
      <c r="L78" s="108"/>
      <c r="M78" s="108"/>
      <c r="N78" s="108"/>
    </row>
    <row r="79" spans="1:14" x14ac:dyDescent="0.2">
      <c r="A79" t="s">
        <v>1074</v>
      </c>
      <c r="B79" t="s">
        <v>1196</v>
      </c>
      <c r="L79" s="108">
        <f>+N79</f>
        <v>53174.669999999991</v>
      </c>
      <c r="M79" s="108"/>
      <c r="N79" s="108">
        <v>53174.669999999991</v>
      </c>
    </row>
    <row r="80" spans="1:14" ht="13.5" customHeight="1" x14ac:dyDescent="0.2">
      <c r="A80" s="6"/>
      <c r="L80" s="108"/>
      <c r="M80" s="108"/>
      <c r="N80" s="108"/>
    </row>
    <row r="81" spans="1:14" ht="13.5" customHeight="1" x14ac:dyDescent="0.2">
      <c r="A81" t="s">
        <v>1015</v>
      </c>
      <c r="B81" t="s">
        <v>1200</v>
      </c>
      <c r="L81" s="121">
        <f>+N81</f>
        <v>444709.3878823733</v>
      </c>
      <c r="M81" s="121"/>
      <c r="N81" s="121">
        <v>444709.3878823733</v>
      </c>
    </row>
    <row r="82" spans="1:14" ht="13.5" customHeight="1" x14ac:dyDescent="0.2">
      <c r="L82" s="121"/>
      <c r="M82" s="121"/>
      <c r="N82" s="121"/>
    </row>
    <row r="83" spans="1:14" ht="13.5" customHeight="1" x14ac:dyDescent="0.2">
      <c r="A83" t="s">
        <v>272</v>
      </c>
      <c r="H83" s="160"/>
      <c r="I83" s="160"/>
      <c r="J83" s="160"/>
      <c r="L83" s="120">
        <f>233.664744094014-480</f>
        <v>-246.335255905986</v>
      </c>
      <c r="M83" s="108"/>
      <c r="N83" s="120">
        <v>8270.3483220264316</v>
      </c>
    </row>
    <row r="84" spans="1:14" ht="13.5" customHeight="1" x14ac:dyDescent="0.2">
      <c r="L84" s="108"/>
      <c r="M84" s="108"/>
      <c r="N84" s="108"/>
    </row>
    <row r="85" spans="1:14" ht="13.5" customHeight="1" thickBot="1" x14ac:dyDescent="0.25">
      <c r="A85" t="s">
        <v>1204</v>
      </c>
      <c r="L85" s="221">
        <f>SUM(L69:L83)</f>
        <v>48389553.485788554</v>
      </c>
      <c r="M85" s="108"/>
      <c r="N85" s="221">
        <f>SUM(N69:N83)</f>
        <v>39481103.517882369</v>
      </c>
    </row>
    <row r="86" spans="1:14" ht="13.5" thickTop="1" x14ac:dyDescent="0.2">
      <c r="A86" s="6"/>
      <c r="L86" s="3"/>
      <c r="M86" s="3"/>
      <c r="N86" s="3"/>
    </row>
    <row r="87" spans="1:14" x14ac:dyDescent="0.2">
      <c r="B87" s="104"/>
      <c r="L87" s="222"/>
      <c r="M87" s="222"/>
      <c r="N87" s="222"/>
    </row>
    <row r="88" spans="1:14" x14ac:dyDescent="0.2">
      <c r="B88" s="99"/>
    </row>
    <row r="89" spans="1:14" x14ac:dyDescent="0.2">
      <c r="B89" s="104"/>
      <c r="L89" s="187"/>
      <c r="N89" s="3"/>
    </row>
    <row r="90" spans="1:14" x14ac:dyDescent="0.2">
      <c r="B90" s="99"/>
    </row>
    <row r="91" spans="1:14" x14ac:dyDescent="0.2">
      <c r="A91" s="6"/>
    </row>
    <row r="92" spans="1:14" x14ac:dyDescent="0.2">
      <c r="B92" s="104"/>
    </row>
    <row r="93" spans="1:14" x14ac:dyDescent="0.2">
      <c r="B93" s="99"/>
    </row>
  </sheetData>
  <mergeCells count="3">
    <mergeCell ref="F5:F6"/>
    <mergeCell ref="F3:H4"/>
    <mergeCell ref="L5:O5"/>
  </mergeCells>
  <pageMargins left="0.7" right="0.7" top="1.25" bottom="0.75" header="0.3" footer="0.3"/>
  <pageSetup scale="43" orientation="landscape" r:id="rId1"/>
  <headerFooter>
    <oddHeader>&amp;CRULE 20:10:13:98
STATEMENT O WORKPAPER - Tab &amp;A
Rate Summary
Test Year Ending December 31, 2025
Utility: MidAmerican Energy Company
Docket No. NG26-___
Individual Responsible: Stephen Stratton&amp;RPage &amp;P of &amp;N</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N70"/>
  <sheetViews>
    <sheetView view="pageLayout" zoomScaleNormal="110" workbookViewId="0"/>
  </sheetViews>
  <sheetFormatPr defaultColWidth="9.140625" defaultRowHeight="12.75" x14ac:dyDescent="0.2"/>
  <cols>
    <col min="2" max="2" width="51.85546875" customWidth="1"/>
    <col min="3" max="3" width="16.85546875" customWidth="1"/>
    <col min="4" max="4" width="13.85546875" customWidth="1"/>
    <col min="5" max="5" width="14.7109375" customWidth="1"/>
    <col min="6" max="6" width="12.28515625" bestFit="1" customWidth="1"/>
    <col min="14" max="14" width="11.28515625" bestFit="1" customWidth="1"/>
  </cols>
  <sheetData>
    <row r="1" spans="1:12" s="66" customFormat="1" ht="18" x14ac:dyDescent="0.25">
      <c r="A1" s="113" t="s">
        <v>616</v>
      </c>
    </row>
    <row r="2" spans="1:12" s="66" customFormat="1" ht="18" x14ac:dyDescent="0.25">
      <c r="A2" s="113" t="s">
        <v>630</v>
      </c>
    </row>
    <row r="3" spans="1:12" s="66" customFormat="1" ht="13.5" customHeight="1" x14ac:dyDescent="0.25">
      <c r="A3" s="113"/>
    </row>
    <row r="4" spans="1:12" x14ac:dyDescent="0.2">
      <c r="A4" s="10" t="s">
        <v>24</v>
      </c>
      <c r="B4" s="10" t="s">
        <v>614</v>
      </c>
      <c r="C4" s="82" t="s">
        <v>690</v>
      </c>
      <c r="D4" s="10" t="s">
        <v>44</v>
      </c>
      <c r="E4" s="10"/>
      <c r="F4" s="10"/>
      <c r="G4" s="10"/>
      <c r="H4" s="10"/>
      <c r="I4" s="10"/>
      <c r="J4" s="10"/>
      <c r="K4" s="10"/>
      <c r="L4" s="10"/>
    </row>
    <row r="5" spans="1:12" x14ac:dyDescent="0.2">
      <c r="B5" t="s">
        <v>26</v>
      </c>
      <c r="C5" s="2" t="s">
        <v>27</v>
      </c>
      <c r="D5" s="2"/>
      <c r="E5" s="2"/>
    </row>
    <row r="6" spans="1:12" x14ac:dyDescent="0.2">
      <c r="C6" s="2"/>
      <c r="D6" s="2"/>
      <c r="E6" s="2"/>
    </row>
    <row r="7" spans="1:12" x14ac:dyDescent="0.2">
      <c r="A7" s="14">
        <v>1</v>
      </c>
      <c r="B7" t="s">
        <v>376</v>
      </c>
      <c r="C7" s="108">
        <f>'CLS1-1 (Class COS)'!D7</f>
        <v>919125.67599224474</v>
      </c>
      <c r="D7" t="s">
        <v>618</v>
      </c>
      <c r="F7" s="142"/>
    </row>
    <row r="8" spans="1:12" x14ac:dyDescent="0.2">
      <c r="A8" s="14">
        <f>A7+1</f>
        <v>2</v>
      </c>
      <c r="B8" t="s">
        <v>420</v>
      </c>
      <c r="C8" s="108">
        <f>'CLS1-1 (Class COS)'!D8</f>
        <v>2516786.4054087871</v>
      </c>
      <c r="D8" t="s">
        <v>619</v>
      </c>
    </row>
    <row r="9" spans="1:12" x14ac:dyDescent="0.2">
      <c r="A9" s="14">
        <f t="shared" ref="A9:A22" si="0">A8+1</f>
        <v>3</v>
      </c>
      <c r="B9" t="s">
        <v>421</v>
      </c>
      <c r="C9" s="108">
        <f>'CLS1-1 (Class COS)'!D9</f>
        <v>9672590.5792376716</v>
      </c>
      <c r="D9" t="s">
        <v>620</v>
      </c>
    </row>
    <row r="10" spans="1:12" x14ac:dyDescent="0.2">
      <c r="A10" s="14">
        <f t="shared" si="0"/>
        <v>4</v>
      </c>
      <c r="B10" t="s">
        <v>19</v>
      </c>
      <c r="C10" s="108">
        <f>'CLS1-1 (Class COS)'!D10</f>
        <v>12455988.543778364</v>
      </c>
      <c r="D10" t="s">
        <v>621</v>
      </c>
    </row>
    <row r="11" spans="1:12" x14ac:dyDescent="0.2">
      <c r="A11" s="14">
        <f t="shared" si="0"/>
        <v>5</v>
      </c>
      <c r="B11" t="s">
        <v>18</v>
      </c>
      <c r="C11" s="108">
        <f>'CLS1-1 (Class COS)'!D11</f>
        <v>6639150.2868669964</v>
      </c>
      <c r="D11" t="s">
        <v>622</v>
      </c>
    </row>
    <row r="12" spans="1:12" x14ac:dyDescent="0.2">
      <c r="A12" s="14">
        <f t="shared" si="0"/>
        <v>6</v>
      </c>
      <c r="B12" t="s">
        <v>306</v>
      </c>
      <c r="C12" s="108">
        <f>'CLS1-1 (Class COS)'!D12</f>
        <v>781969.18132439395</v>
      </c>
      <c r="D12" t="s">
        <v>623</v>
      </c>
    </row>
    <row r="13" spans="1:12" x14ac:dyDescent="0.2">
      <c r="A13" s="14">
        <f t="shared" si="0"/>
        <v>7</v>
      </c>
      <c r="B13" t="s">
        <v>377</v>
      </c>
      <c r="C13" s="108">
        <f>'CLS1-1 (Class COS)'!D13</f>
        <v>12878.047033555342</v>
      </c>
      <c r="D13" t="s">
        <v>624</v>
      </c>
    </row>
    <row r="14" spans="1:12" x14ac:dyDescent="0.2">
      <c r="A14" s="14">
        <f t="shared" si="0"/>
        <v>8</v>
      </c>
      <c r="B14" t="s">
        <v>275</v>
      </c>
      <c r="C14" s="108">
        <f>'CLS1-1 (Class COS)'!D14</f>
        <v>4007462.5869603525</v>
      </c>
      <c r="D14" t="s">
        <v>625</v>
      </c>
    </row>
    <row r="15" spans="1:12" x14ac:dyDescent="0.2">
      <c r="A15" s="14">
        <f t="shared" si="0"/>
        <v>9</v>
      </c>
      <c r="B15" t="s">
        <v>723</v>
      </c>
      <c r="C15" s="108">
        <f>'CLS1-1 (Class COS)'!D15</f>
        <v>0</v>
      </c>
      <c r="D15" t="s">
        <v>626</v>
      </c>
    </row>
    <row r="16" spans="1:12" x14ac:dyDescent="0.2">
      <c r="A16" s="14">
        <f t="shared" si="0"/>
        <v>10</v>
      </c>
      <c r="B16" t="s">
        <v>724</v>
      </c>
      <c r="C16" s="108">
        <f>'CLS1-1 (Class COS)'!D16</f>
        <v>31034.343382497173</v>
      </c>
      <c r="D16" t="s">
        <v>627</v>
      </c>
    </row>
    <row r="17" spans="1:14" x14ac:dyDescent="0.2">
      <c r="A17" s="14">
        <f t="shared" si="0"/>
        <v>11</v>
      </c>
      <c r="B17" t="s">
        <v>495</v>
      </c>
      <c r="C17" s="121">
        <f>'CLS1-1 (Class COS)'!D17</f>
        <v>293538.5318836603</v>
      </c>
      <c r="D17" t="s">
        <v>801</v>
      </c>
    </row>
    <row r="18" spans="1:14" x14ac:dyDescent="0.2">
      <c r="A18" s="14">
        <f t="shared" si="0"/>
        <v>12</v>
      </c>
      <c r="B18" t="s">
        <v>739</v>
      </c>
      <c r="C18" s="121">
        <f>'CLS1-1 (Class COS)'!D18</f>
        <v>0</v>
      </c>
      <c r="D18" t="s">
        <v>895</v>
      </c>
    </row>
    <row r="19" spans="1:14" s="160" customFormat="1" x14ac:dyDescent="0.2">
      <c r="A19" s="15">
        <f t="shared" si="0"/>
        <v>13</v>
      </c>
      <c r="B19" s="210"/>
      <c r="C19" s="211"/>
      <c r="D19" s="210"/>
      <c r="E19" s="210"/>
      <c r="F19" s="388"/>
      <c r="G19" s="210"/>
      <c r="H19" s="210"/>
      <c r="I19" s="210"/>
      <c r="J19" s="210"/>
      <c r="K19" s="210"/>
      <c r="L19" s="210"/>
    </row>
    <row r="20" spans="1:14" x14ac:dyDescent="0.2">
      <c r="A20" s="14">
        <f t="shared" si="0"/>
        <v>14</v>
      </c>
      <c r="B20" t="s">
        <v>286</v>
      </c>
      <c r="C20" s="1">
        <f>SUM(C7:C19)</f>
        <v>37330524.181868516</v>
      </c>
      <c r="D20" t="s">
        <v>898</v>
      </c>
      <c r="I20" s="1"/>
      <c r="N20" s="1"/>
    </row>
    <row r="21" spans="1:14" x14ac:dyDescent="0.2">
      <c r="A21" s="14">
        <f t="shared" si="0"/>
        <v>15</v>
      </c>
      <c r="B21" t="s">
        <v>748</v>
      </c>
      <c r="C21" s="1">
        <f>'SRC-2 (S.D. Revenue)'!M42</f>
        <v>363118.8722784053</v>
      </c>
    </row>
    <row r="22" spans="1:14" x14ac:dyDescent="0.2">
      <c r="A22" s="14">
        <f t="shared" si="0"/>
        <v>16</v>
      </c>
      <c r="B22" t="s">
        <v>749</v>
      </c>
      <c r="C22" s="1">
        <f>C11+-'RD-4 (MTR)'!H194+C18</f>
        <v>6589026.5647717314</v>
      </c>
      <c r="D22" t="s">
        <v>1148</v>
      </c>
    </row>
    <row r="23" spans="1:14" x14ac:dyDescent="0.2">
      <c r="A23" s="14">
        <f>A22+1</f>
        <v>17</v>
      </c>
      <c r="B23" t="s">
        <v>1070</v>
      </c>
      <c r="C23" s="121">
        <f>E61+E66</f>
        <v>44544.806179042309</v>
      </c>
      <c r="D23" t="s">
        <v>899</v>
      </c>
    </row>
    <row r="24" spans="1:14" x14ac:dyDescent="0.2">
      <c r="A24" s="15">
        <f>+A23+1</f>
        <v>18</v>
      </c>
      <c r="B24" s="10" t="s">
        <v>1069</v>
      </c>
      <c r="C24" s="120">
        <f>('CLS1-1 (Class COS)'!D23-'CLS1-1 (Class COS)'!D20)</f>
        <v>149326.98100552708</v>
      </c>
      <c r="D24" s="10" t="s">
        <v>1139</v>
      </c>
      <c r="E24" s="10"/>
      <c r="F24" s="10"/>
      <c r="G24" s="10"/>
      <c r="H24" s="10"/>
      <c r="I24" s="10"/>
      <c r="J24" s="10"/>
      <c r="K24" s="10"/>
      <c r="L24" s="10"/>
    </row>
    <row r="25" spans="1:14" ht="13.5" thickBot="1" x14ac:dyDescent="0.25">
      <c r="A25" s="14">
        <f>A24+1</f>
        <v>19</v>
      </c>
      <c r="B25" t="s">
        <v>752</v>
      </c>
      <c r="C25" s="208">
        <f>C20-SUM(C21:C24)</f>
        <v>30184506.957633808</v>
      </c>
      <c r="D25" t="s">
        <v>1117</v>
      </c>
    </row>
    <row r="26" spans="1:14" ht="13.5" thickTop="1" x14ac:dyDescent="0.2">
      <c r="A26" s="14"/>
    </row>
    <row r="27" spans="1:14" x14ac:dyDescent="0.2">
      <c r="A27" s="10" t="s">
        <v>24</v>
      </c>
      <c r="B27" s="10" t="s">
        <v>692</v>
      </c>
      <c r="C27" s="82" t="s">
        <v>615</v>
      </c>
      <c r="D27" s="10" t="s">
        <v>44</v>
      </c>
      <c r="E27" s="10"/>
      <c r="F27" s="10"/>
      <c r="G27" s="10"/>
      <c r="H27" s="10"/>
      <c r="I27" s="10"/>
      <c r="J27" s="10"/>
      <c r="K27" s="10"/>
      <c r="L27" s="10"/>
    </row>
    <row r="28" spans="1:14" x14ac:dyDescent="0.2">
      <c r="B28" t="s">
        <v>26</v>
      </c>
      <c r="C28" s="2" t="s">
        <v>27</v>
      </c>
    </row>
    <row r="29" spans="1:14" x14ac:dyDescent="0.2">
      <c r="C29" s="2"/>
    </row>
    <row r="30" spans="1:14" x14ac:dyDescent="0.2">
      <c r="A30" s="14">
        <f>A25+1</f>
        <v>20</v>
      </c>
      <c r="B30" t="s">
        <v>504</v>
      </c>
      <c r="C30" s="107">
        <f>+'Billing Determinants'!H44</f>
        <v>1343347</v>
      </c>
      <c r="D30" t="s">
        <v>900</v>
      </c>
    </row>
    <row r="31" spans="1:14" x14ac:dyDescent="0.2">
      <c r="A31" s="14">
        <f>A30+1</f>
        <v>21</v>
      </c>
      <c r="B31" t="s">
        <v>725</v>
      </c>
      <c r="C31" s="107">
        <f>+'Billing Determinants'!I12</f>
        <v>0</v>
      </c>
      <c r="D31" t="s">
        <v>803</v>
      </c>
    </row>
    <row r="32" spans="1:14" x14ac:dyDescent="0.2">
      <c r="A32" s="14">
        <f t="shared" ref="A32:A34" si="1">A31+1</f>
        <v>22</v>
      </c>
      <c r="B32" t="s">
        <v>726</v>
      </c>
      <c r="C32" s="107">
        <f>+'Billing Determinants'!I13</f>
        <v>1352</v>
      </c>
      <c r="D32" t="s">
        <v>691</v>
      </c>
    </row>
    <row r="33" spans="1:12" x14ac:dyDescent="0.2">
      <c r="A33" s="14">
        <f t="shared" si="1"/>
        <v>23</v>
      </c>
      <c r="B33" t="s">
        <v>507</v>
      </c>
      <c r="C33" s="107">
        <f>+'Billing Determinants'!G44</f>
        <v>74348194.99125053</v>
      </c>
      <c r="D33" t="s">
        <v>901</v>
      </c>
      <c r="I33" s="2"/>
    </row>
    <row r="34" spans="1:12" x14ac:dyDescent="0.2">
      <c r="A34" s="14">
        <f t="shared" si="1"/>
        <v>24</v>
      </c>
      <c r="B34" t="s">
        <v>508</v>
      </c>
      <c r="C34" s="107">
        <f>+'Billing Determinants'!G45</f>
        <v>11018289.674767314</v>
      </c>
      <c r="D34" t="s">
        <v>804</v>
      </c>
      <c r="I34" s="2"/>
      <c r="J34" s="104"/>
    </row>
    <row r="35" spans="1:12" x14ac:dyDescent="0.2">
      <c r="A35" s="14"/>
    </row>
    <row r="36" spans="1:12" x14ac:dyDescent="0.2">
      <c r="A36" s="14">
        <f>A34+1</f>
        <v>25</v>
      </c>
      <c r="B36" t="s">
        <v>509</v>
      </c>
      <c r="C36" s="118">
        <f>(C10+C12+C13+C14)/C30</f>
        <v>12.84723780162286</v>
      </c>
      <c r="D36" t="s">
        <v>902</v>
      </c>
      <c r="H36" s="131"/>
    </row>
    <row r="37" spans="1:12" x14ac:dyDescent="0.2">
      <c r="A37" s="14">
        <f>A36+1</f>
        <v>26</v>
      </c>
      <c r="B37" t="s">
        <v>727</v>
      </c>
      <c r="C37" s="184" t="str">
        <f>IF(C31=0,"n/a",C15/C31)</f>
        <v>n/a</v>
      </c>
      <c r="D37" t="s">
        <v>903</v>
      </c>
    </row>
    <row r="38" spans="1:12" x14ac:dyDescent="0.2">
      <c r="A38" s="14">
        <f>A37+1</f>
        <v>27</v>
      </c>
      <c r="B38" t="s">
        <v>728</v>
      </c>
      <c r="C38" s="118">
        <f>C16/C32</f>
        <v>22.954395992971282</v>
      </c>
      <c r="D38" t="s">
        <v>904</v>
      </c>
      <c r="J38" s="138"/>
    </row>
    <row r="39" spans="1:12" x14ac:dyDescent="0.2">
      <c r="A39" s="14">
        <f>A38+1</f>
        <v>28</v>
      </c>
      <c r="B39" t="s">
        <v>510</v>
      </c>
      <c r="C39" s="118">
        <f>C11/(C30+'Billing Determinants'!H46)</f>
        <v>4.9354116406374606</v>
      </c>
      <c r="D39" t="s">
        <v>905</v>
      </c>
      <c r="J39" s="138"/>
    </row>
    <row r="40" spans="1:12" x14ac:dyDescent="0.2">
      <c r="A40" s="14"/>
    </row>
    <row r="41" spans="1:12" x14ac:dyDescent="0.2">
      <c r="A41" s="10" t="s">
        <v>24</v>
      </c>
      <c r="B41" s="10" t="s">
        <v>617</v>
      </c>
      <c r="C41" s="82" t="s">
        <v>513</v>
      </c>
      <c r="D41" s="82" t="s">
        <v>514</v>
      </c>
      <c r="E41" s="82" t="s">
        <v>143</v>
      </c>
      <c r="F41" s="10" t="s">
        <v>44</v>
      </c>
      <c r="G41" s="10"/>
      <c r="H41" s="10"/>
      <c r="I41" s="10"/>
      <c r="J41" s="10"/>
      <c r="K41" s="10"/>
      <c r="L41" s="10"/>
    </row>
    <row r="42" spans="1:12" x14ac:dyDescent="0.2">
      <c r="B42" t="s">
        <v>26</v>
      </c>
      <c r="C42" s="2" t="s">
        <v>27</v>
      </c>
      <c r="D42" s="2" t="s">
        <v>28</v>
      </c>
      <c r="E42" s="2" t="s">
        <v>29</v>
      </c>
    </row>
    <row r="43" spans="1:12" x14ac:dyDescent="0.2">
      <c r="A43" s="14"/>
      <c r="C43" s="2"/>
      <c r="D43" s="2"/>
      <c r="E43" s="2"/>
    </row>
    <row r="44" spans="1:12" x14ac:dyDescent="0.2">
      <c r="A44" s="14">
        <f>A39+1</f>
        <v>29</v>
      </c>
      <c r="B44" t="s">
        <v>511</v>
      </c>
      <c r="C44" s="389">
        <f>ROUND(6.25*(1+0.226),2)-0.01</f>
        <v>7.65</v>
      </c>
      <c r="D44" s="5">
        <f>C30</f>
        <v>1343347</v>
      </c>
      <c r="E44" s="108">
        <f>C44*D44</f>
        <v>10276604.550000001</v>
      </c>
      <c r="F44" t="s">
        <v>1050</v>
      </c>
    </row>
    <row r="45" spans="1:12" x14ac:dyDescent="0.2">
      <c r="A45" s="14">
        <f>A44+1</f>
        <v>30</v>
      </c>
      <c r="B45" t="s">
        <v>729</v>
      </c>
      <c r="C45" s="390">
        <f>+'RD-3 (LV)'!C42</f>
        <v>60</v>
      </c>
      <c r="D45" s="5">
        <f>C31</f>
        <v>0</v>
      </c>
      <c r="E45" s="121">
        <f>C45*D45</f>
        <v>0</v>
      </c>
      <c r="F45" t="s">
        <v>629</v>
      </c>
      <c r="I45" s="198"/>
    </row>
    <row r="46" spans="1:12" x14ac:dyDescent="0.2">
      <c r="A46" s="14">
        <f t="shared" ref="A46" si="2">A45+1</f>
        <v>31</v>
      </c>
      <c r="B46" t="s">
        <v>730</v>
      </c>
      <c r="C46" s="391">
        <v>20</v>
      </c>
      <c r="D46" s="5">
        <f>C32</f>
        <v>1352</v>
      </c>
      <c r="E46" s="121">
        <f>C46*D46</f>
        <v>27040</v>
      </c>
      <c r="F46" t="s">
        <v>629</v>
      </c>
    </row>
    <row r="47" spans="1:12" x14ac:dyDescent="0.2">
      <c r="A47" s="14">
        <v>32</v>
      </c>
      <c r="B47" t="s">
        <v>1078</v>
      </c>
      <c r="C47" s="392"/>
      <c r="D47" s="5"/>
      <c r="E47" s="121">
        <f>+'Rate Summary'!L75*('SRC-4 (S.D. Customers)'!G16/('SRC-4 (S.D. Customers)'!G18+'SRC-4 (S.D. Customers)'!G16))</f>
        <v>4331.2246845590798</v>
      </c>
    </row>
    <row r="48" spans="1:12" x14ac:dyDescent="0.2">
      <c r="A48" s="14">
        <v>33</v>
      </c>
      <c r="B48" t="s">
        <v>515</v>
      </c>
      <c r="C48" s="393"/>
      <c r="D48" s="5"/>
      <c r="E48" s="108">
        <f>C25-SUM(E44:E47)</f>
        <v>19876531.182949249</v>
      </c>
      <c r="F48" t="s">
        <v>1166</v>
      </c>
    </row>
    <row r="49" spans="1:12" x14ac:dyDescent="0.2">
      <c r="A49" s="14"/>
      <c r="C49" s="393"/>
      <c r="D49" s="5"/>
      <c r="E49" s="108"/>
    </row>
    <row r="50" spans="1:12" x14ac:dyDescent="0.2">
      <c r="A50" s="14">
        <f>A48+1</f>
        <v>34</v>
      </c>
      <c r="B50" t="s">
        <v>678</v>
      </c>
      <c r="C50" s="394">
        <v>1</v>
      </c>
      <c r="D50" t="s">
        <v>1115</v>
      </c>
      <c r="E50" s="108"/>
    </row>
    <row r="51" spans="1:12" x14ac:dyDescent="0.2">
      <c r="A51" s="14"/>
      <c r="C51" s="394"/>
      <c r="E51" s="108"/>
    </row>
    <row r="52" spans="1:12" x14ac:dyDescent="0.2">
      <c r="A52" s="15"/>
      <c r="B52" s="10" t="s">
        <v>693</v>
      </c>
      <c r="C52" s="395"/>
      <c r="D52" s="102"/>
      <c r="E52" s="120"/>
      <c r="F52" s="10"/>
      <c r="G52" s="10"/>
      <c r="H52" s="10"/>
      <c r="I52" s="10"/>
      <c r="J52" s="10"/>
      <c r="K52" s="10"/>
      <c r="L52" s="10"/>
    </row>
    <row r="53" spans="1:12" x14ac:dyDescent="0.2">
      <c r="A53" s="14">
        <f>A50+1</f>
        <v>35</v>
      </c>
      <c r="B53" t="s">
        <v>507</v>
      </c>
      <c r="C53" s="396">
        <f>ROUND(E48/(C33+C34*C50),5)+C70</f>
        <v>0.23280999999999999</v>
      </c>
      <c r="D53" s="107">
        <f>C33</f>
        <v>74348194.99125053</v>
      </c>
      <c r="E53" s="108">
        <f>C53*D53</f>
        <v>17309003.275913034</v>
      </c>
      <c r="F53" t="s">
        <v>1167</v>
      </c>
    </row>
    <row r="54" spans="1:12" x14ac:dyDescent="0.2">
      <c r="A54" s="14">
        <f>A53+1</f>
        <v>36</v>
      </c>
      <c r="B54" t="s">
        <v>508</v>
      </c>
      <c r="C54" s="397">
        <f>ROUND(C53*C50,5)</f>
        <v>0.23280999999999999</v>
      </c>
      <c r="D54" s="107">
        <f>C34</f>
        <v>11018289.674767314</v>
      </c>
      <c r="E54" s="108">
        <f>C54*D54</f>
        <v>2565168.0191825782</v>
      </c>
      <c r="F54" t="s">
        <v>1168</v>
      </c>
    </row>
    <row r="55" spans="1:12" x14ac:dyDescent="0.2">
      <c r="A55" s="14">
        <f>A54+1</f>
        <v>37</v>
      </c>
      <c r="B55" t="s">
        <v>516</v>
      </c>
      <c r="C55" s="4"/>
      <c r="D55" s="5">
        <f>SUM(D53:D54)</f>
        <v>85366484.666017845</v>
      </c>
      <c r="E55" s="108">
        <f>E44+E45+E53+E54+E46</f>
        <v>30177815.845095612</v>
      </c>
      <c r="F55" t="s">
        <v>1169</v>
      </c>
    </row>
    <row r="56" spans="1:12" x14ac:dyDescent="0.2">
      <c r="C56" s="4"/>
      <c r="E56" s="1"/>
    </row>
    <row r="57" spans="1:12" x14ac:dyDescent="0.2">
      <c r="A57" s="10"/>
      <c r="B57" s="10" t="s">
        <v>696</v>
      </c>
      <c r="C57" s="232"/>
      <c r="D57" s="10"/>
      <c r="E57" s="10"/>
      <c r="F57" s="10"/>
      <c r="G57" s="10"/>
      <c r="H57" s="10"/>
      <c r="I57" s="10"/>
      <c r="J57" s="10"/>
      <c r="K57" s="10"/>
      <c r="L57" s="10"/>
    </row>
    <row r="58" spans="1:12" x14ac:dyDescent="0.2">
      <c r="A58" s="14">
        <f>A55+1</f>
        <v>38</v>
      </c>
      <c r="B58" t="s">
        <v>511</v>
      </c>
      <c r="C58" s="390">
        <v>52</v>
      </c>
      <c r="D58">
        <f>SUM('Billing Determinants'!H55:H56)</f>
        <v>42.7</v>
      </c>
      <c r="E58" s="108">
        <f>C58*D58</f>
        <v>2220.4</v>
      </c>
      <c r="F58" t="s">
        <v>629</v>
      </c>
    </row>
    <row r="59" spans="1:12" x14ac:dyDescent="0.2">
      <c r="A59" s="14">
        <f>A58+1</f>
        <v>39</v>
      </c>
      <c r="B59" t="s">
        <v>694</v>
      </c>
      <c r="C59" s="396">
        <f>ROUND(0.06425*(1+'CLS1-1 (Class COS)'!D25),5)</f>
        <v>7.6789999999999997E-2</v>
      </c>
      <c r="D59" s="107">
        <f>+'Billing Determinants'!G55</f>
        <v>189863</v>
      </c>
      <c r="E59" s="108">
        <f>C59*D59</f>
        <v>14579.57977</v>
      </c>
      <c r="F59" t="s">
        <v>1143</v>
      </c>
    </row>
    <row r="60" spans="1:12" x14ac:dyDescent="0.2">
      <c r="A60" s="14">
        <f t="shared" ref="A60:A61" si="3">A59+1</f>
        <v>40</v>
      </c>
      <c r="B60" t="s">
        <v>695</v>
      </c>
      <c r="C60" s="397">
        <f>ROUND(0.11978*(1+'CLS1-1 (Class COS)'!D25),5)</f>
        <v>0.14315</v>
      </c>
      <c r="D60" s="107">
        <f>+'Billing Determinants'!G56</f>
        <v>42872.413208795355</v>
      </c>
      <c r="E60" s="120">
        <f>C60*D60</f>
        <v>6137.1859508390553</v>
      </c>
      <c r="F60" t="s">
        <v>1143</v>
      </c>
    </row>
    <row r="61" spans="1:12" x14ac:dyDescent="0.2">
      <c r="A61" s="14">
        <f t="shared" si="3"/>
        <v>41</v>
      </c>
      <c r="B61" t="s">
        <v>516</v>
      </c>
      <c r="C61" s="4"/>
      <c r="D61" s="5">
        <f>SUM(D59:D60)</f>
        <v>232735.41320879536</v>
      </c>
      <c r="E61" s="108">
        <f>SUM(E58:E60)</f>
        <v>22937.165720839057</v>
      </c>
      <c r="F61" t="s">
        <v>1170</v>
      </c>
    </row>
    <row r="62" spans="1:12" x14ac:dyDescent="0.2">
      <c r="C62" s="4"/>
    </row>
    <row r="63" spans="1:12" x14ac:dyDescent="0.2">
      <c r="A63" s="10"/>
      <c r="B63" s="10" t="s">
        <v>697</v>
      </c>
      <c r="C63" s="232"/>
      <c r="D63" s="10"/>
      <c r="E63" s="10"/>
      <c r="F63" s="10"/>
      <c r="G63" s="10"/>
      <c r="H63" s="10"/>
      <c r="I63" s="10"/>
      <c r="J63" s="10"/>
      <c r="K63" s="10"/>
      <c r="L63" s="10"/>
    </row>
    <row r="64" spans="1:12" x14ac:dyDescent="0.2">
      <c r="A64" s="14">
        <f>A61+1</f>
        <v>42</v>
      </c>
      <c r="B64" t="s">
        <v>511</v>
      </c>
      <c r="C64" s="390">
        <v>52</v>
      </c>
      <c r="D64">
        <f>+'Billing Determinants'!H15</f>
        <v>62</v>
      </c>
      <c r="E64" s="108">
        <f>C64*D64</f>
        <v>3224</v>
      </c>
      <c r="F64" t="s">
        <v>629</v>
      </c>
    </row>
    <row r="65" spans="1:6" x14ac:dyDescent="0.2">
      <c r="A65" s="14">
        <f>A64+1</f>
        <v>43</v>
      </c>
      <c r="B65" t="s">
        <v>520</v>
      </c>
      <c r="C65" s="397">
        <f>ROUND(0.08167*(1+'CLS1-1 (Class COS)'!D25),5)</f>
        <v>9.7610000000000002E-2</v>
      </c>
      <c r="D65" s="107">
        <f>+'Billing Determinants'!G15</f>
        <v>188337.67501488834</v>
      </c>
      <c r="E65" s="120">
        <f>C65*D65</f>
        <v>18383.640458203252</v>
      </c>
      <c r="F65" t="s">
        <v>1143</v>
      </c>
    </row>
    <row r="66" spans="1:6" x14ac:dyDescent="0.2">
      <c r="A66" s="14">
        <f>A65+1</f>
        <v>44</v>
      </c>
      <c r="B66" t="s">
        <v>516</v>
      </c>
      <c r="D66" s="5">
        <f>SUM(D65:D65)</f>
        <v>188337.67501488834</v>
      </c>
      <c r="E66" s="108">
        <f>SUM(E64:E65)</f>
        <v>21607.640458203252</v>
      </c>
      <c r="F66" t="s">
        <v>1172</v>
      </c>
    </row>
    <row r="67" spans="1:6" x14ac:dyDescent="0.2">
      <c r="F67" s="160"/>
    </row>
    <row r="68" spans="1:6" x14ac:dyDescent="0.2">
      <c r="A68" s="14">
        <f>A66+1</f>
        <v>45</v>
      </c>
      <c r="B68" t="s">
        <v>517</v>
      </c>
      <c r="D68" s="5"/>
      <c r="E68" s="1">
        <f>SUM(C21:C22,C24,E55,E61,E66)-'CLS1-1 (Class COS)'!D23</f>
        <v>-6691.1125381961465</v>
      </c>
      <c r="F68" t="s">
        <v>1171</v>
      </c>
    </row>
    <row r="69" spans="1:6" x14ac:dyDescent="0.2">
      <c r="D69" s="5"/>
      <c r="E69" s="1"/>
    </row>
    <row r="70" spans="1:6" x14ac:dyDescent="0.2">
      <c r="A70" s="14">
        <v>45</v>
      </c>
      <c r="B70" t="s">
        <v>1071</v>
      </c>
      <c r="C70" s="398">
        <v>-3.0000000000000001E-5</v>
      </c>
      <c r="E70" s="1"/>
    </row>
  </sheetData>
  <pageMargins left="0.7" right="0.7" top="1.1200000000000001" bottom="0.75" header="0.3" footer="0.3"/>
  <pageSetup scale="53" orientation="landscape" r:id="rId1"/>
  <headerFooter>
    <oddHeader>&amp;CRULE 20:10:13:98
STATEMENT O WORKPAPER - Tab &amp;A
Small Volume Rate Design
Test Year Ending December 31, 2025
Utility: MidAmerican Energy Company
Docket No. NG26-___
Individual Responsible: Stephen Stratton&amp;RPage &amp;P of &amp;N</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N54"/>
  <sheetViews>
    <sheetView view="pageLayout" zoomScaleNormal="115" workbookViewId="0">
      <selection activeCell="B1" sqref="B1"/>
    </sheetView>
  </sheetViews>
  <sheetFormatPr defaultColWidth="9.140625" defaultRowHeight="12.75" x14ac:dyDescent="0.2"/>
  <cols>
    <col min="1" max="1" width="9.140625" style="117"/>
    <col min="2" max="2" width="50.5703125" customWidth="1"/>
    <col min="3" max="4" width="13.85546875" customWidth="1"/>
    <col min="5" max="5" width="14.7109375" customWidth="1"/>
    <col min="14" max="14" width="12.28515625" bestFit="1" customWidth="1"/>
  </cols>
  <sheetData>
    <row r="1" spans="1:7" s="66" customFormat="1" ht="18" x14ac:dyDescent="0.25">
      <c r="A1" s="403" t="s">
        <v>731</v>
      </c>
    </row>
    <row r="2" spans="1:7" s="66" customFormat="1" ht="18" x14ac:dyDescent="0.25">
      <c r="A2" s="403" t="s">
        <v>630</v>
      </c>
    </row>
    <row r="3" spans="1:7" s="66" customFormat="1" ht="13.5" customHeight="1" x14ac:dyDescent="0.25">
      <c r="A3" s="224"/>
    </row>
    <row r="4" spans="1:7" x14ac:dyDescent="0.2">
      <c r="A4" s="127" t="s">
        <v>24</v>
      </c>
      <c r="B4" s="10" t="s">
        <v>614</v>
      </c>
      <c r="C4" s="82" t="s">
        <v>615</v>
      </c>
      <c r="D4" s="10" t="s">
        <v>44</v>
      </c>
      <c r="E4" s="10"/>
      <c r="F4" s="10"/>
      <c r="G4" s="10"/>
    </row>
    <row r="5" spans="1:7" x14ac:dyDescent="0.2">
      <c r="B5" t="s">
        <v>26</v>
      </c>
      <c r="C5" s="2" t="s">
        <v>27</v>
      </c>
      <c r="D5" s="2"/>
      <c r="E5" s="2"/>
    </row>
    <row r="6" spans="1:7" x14ac:dyDescent="0.2">
      <c r="C6" s="2"/>
      <c r="D6" s="2"/>
      <c r="E6" s="2"/>
    </row>
    <row r="7" spans="1:7" x14ac:dyDescent="0.2">
      <c r="A7" s="117">
        <v>1</v>
      </c>
      <c r="B7" t="s">
        <v>376</v>
      </c>
      <c r="C7" s="108">
        <f>'CLS1-1 (Class COS)'!E7</f>
        <v>230953.82648866341</v>
      </c>
      <c r="D7" t="s">
        <v>631</v>
      </c>
      <c r="F7" s="142"/>
    </row>
    <row r="8" spans="1:7" x14ac:dyDescent="0.2">
      <c r="A8" s="117">
        <v>2</v>
      </c>
      <c r="B8" t="s">
        <v>420</v>
      </c>
      <c r="C8" s="108">
        <f>'CLS1-1 (Class COS)'!E8</f>
        <v>1398522.1224871222</v>
      </c>
      <c r="D8" t="s">
        <v>632</v>
      </c>
    </row>
    <row r="9" spans="1:7" x14ac:dyDescent="0.2">
      <c r="A9" s="117">
        <v>3</v>
      </c>
      <c r="B9" t="s">
        <v>421</v>
      </c>
      <c r="C9" s="108">
        <f>'CLS1-1 (Class COS)'!E9</f>
        <v>4135419.555720197</v>
      </c>
      <c r="D9" t="s">
        <v>633</v>
      </c>
    </row>
    <row r="10" spans="1:7" x14ac:dyDescent="0.2">
      <c r="A10" s="117">
        <v>4</v>
      </c>
      <c r="B10" t="s">
        <v>19</v>
      </c>
      <c r="C10" s="108">
        <f>'CLS1-1 (Class COS)'!E10</f>
        <v>711592.70182886533</v>
      </c>
      <c r="D10" t="s">
        <v>634</v>
      </c>
    </row>
    <row r="11" spans="1:7" x14ac:dyDescent="0.2">
      <c r="A11" s="117">
        <v>5</v>
      </c>
      <c r="B11" t="s">
        <v>18</v>
      </c>
      <c r="C11" s="108">
        <f>'CLS1-1 (Class COS)'!E11</f>
        <v>1127955.9632925615</v>
      </c>
      <c r="D11" t="s">
        <v>635</v>
      </c>
    </row>
    <row r="12" spans="1:7" x14ac:dyDescent="0.2">
      <c r="A12" s="117">
        <v>6</v>
      </c>
      <c r="B12" t="s">
        <v>306</v>
      </c>
      <c r="C12" s="108">
        <f>'CLS1-1 (Class COS)'!E12</f>
        <v>88161.980079122412</v>
      </c>
      <c r="D12" t="s">
        <v>636</v>
      </c>
    </row>
    <row r="13" spans="1:7" x14ac:dyDescent="0.2">
      <c r="A13" s="117">
        <v>7</v>
      </c>
      <c r="B13" t="s">
        <v>377</v>
      </c>
      <c r="C13" s="108">
        <f>'CLS1-1 (Class COS)'!E13</f>
        <v>13852.879279123274</v>
      </c>
      <c r="D13" t="s">
        <v>637</v>
      </c>
    </row>
    <row r="14" spans="1:7" x14ac:dyDescent="0.2">
      <c r="A14" s="117">
        <v>8</v>
      </c>
      <c r="B14" t="s">
        <v>275</v>
      </c>
      <c r="C14" s="108">
        <f>'CLS1-1 (Class COS)'!E14</f>
        <v>332851.54600799049</v>
      </c>
      <c r="D14" t="s">
        <v>638</v>
      </c>
    </row>
    <row r="15" spans="1:7" x14ac:dyDescent="0.2">
      <c r="A15" s="117">
        <f t="shared" ref="A15:A20" si="0">A14+1</f>
        <v>9</v>
      </c>
      <c r="B15" t="s">
        <v>723</v>
      </c>
      <c r="C15" s="108">
        <f>'CLS1-1 (Class COS)'!E15</f>
        <v>68450.008851040358</v>
      </c>
      <c r="D15" t="s">
        <v>639</v>
      </c>
    </row>
    <row r="16" spans="1:7" x14ac:dyDescent="0.2">
      <c r="A16" s="117">
        <f t="shared" si="0"/>
        <v>10</v>
      </c>
      <c r="B16" t="s">
        <v>724</v>
      </c>
      <c r="C16" s="108">
        <f>'CLS1-1 (Class COS)'!E16</f>
        <v>100677.98082517204</v>
      </c>
      <c r="D16" t="s">
        <v>640</v>
      </c>
    </row>
    <row r="17" spans="1:7" x14ac:dyDescent="0.2">
      <c r="A17" s="117">
        <f t="shared" si="0"/>
        <v>11</v>
      </c>
      <c r="B17" t="s">
        <v>495</v>
      </c>
      <c r="C17" s="121">
        <f>'CLS1-1 (Class COS)'!E17</f>
        <v>84855.12757823267</v>
      </c>
      <c r="D17" t="s">
        <v>805</v>
      </c>
    </row>
    <row r="18" spans="1:7" x14ac:dyDescent="0.2">
      <c r="A18" s="127">
        <f t="shared" si="0"/>
        <v>12</v>
      </c>
      <c r="B18" s="10" t="s">
        <v>739</v>
      </c>
      <c r="C18" s="120">
        <f>'CLS1-1 (Class COS)'!E18</f>
        <v>49700</v>
      </c>
      <c r="D18" s="10" t="s">
        <v>896</v>
      </c>
      <c r="E18" s="10"/>
      <c r="F18" s="10"/>
      <c r="G18" s="10"/>
    </row>
    <row r="19" spans="1:7" x14ac:dyDescent="0.2">
      <c r="A19" s="117">
        <f t="shared" si="0"/>
        <v>13</v>
      </c>
      <c r="B19" t="s">
        <v>286</v>
      </c>
      <c r="C19" s="1">
        <f>SUM(C7:C18)</f>
        <v>8342993.6924380912</v>
      </c>
      <c r="D19" t="s">
        <v>802</v>
      </c>
    </row>
    <row r="20" spans="1:7" x14ac:dyDescent="0.2">
      <c r="A20" s="117">
        <f t="shared" si="0"/>
        <v>14</v>
      </c>
      <c r="B20" t="s">
        <v>748</v>
      </c>
      <c r="C20" s="1">
        <f>'SRC-2 (S.D. Revenue)'!M43</f>
        <v>79572.900886116317</v>
      </c>
    </row>
    <row r="21" spans="1:7" x14ac:dyDescent="0.2">
      <c r="A21" s="117">
        <f>A20+1</f>
        <v>15</v>
      </c>
      <c r="B21" t="s">
        <v>749</v>
      </c>
      <c r="C21" s="1">
        <f>C11-'RD-4 (MTR)'!H195+C18</f>
        <v>1178877.0149161199</v>
      </c>
      <c r="D21" t="s">
        <v>1149</v>
      </c>
    </row>
    <row r="22" spans="1:7" x14ac:dyDescent="0.2">
      <c r="A22" s="127">
        <f>+A21+1</f>
        <v>16</v>
      </c>
      <c r="B22" s="10" t="s">
        <v>750</v>
      </c>
      <c r="C22" s="137">
        <f>('CLS1-1 (Class COS)'!E23-'CLS1-1 (Class COS)'!E20)</f>
        <v>33373.066356378607</v>
      </c>
      <c r="D22" s="10" t="s">
        <v>1140</v>
      </c>
      <c r="E22" s="10"/>
      <c r="F22" s="10"/>
      <c r="G22" s="10"/>
    </row>
    <row r="23" spans="1:7" x14ac:dyDescent="0.2">
      <c r="A23" s="117">
        <f>A22+1</f>
        <v>17</v>
      </c>
      <c r="B23" t="s">
        <v>752</v>
      </c>
      <c r="C23" s="1">
        <f>C19-SUM(C20:C22)</f>
        <v>7051170.7102794759</v>
      </c>
      <c r="D23" t="s">
        <v>806</v>
      </c>
    </row>
    <row r="25" spans="1:7" x14ac:dyDescent="0.2">
      <c r="A25" s="127" t="s">
        <v>24</v>
      </c>
      <c r="B25" s="10" t="s">
        <v>552</v>
      </c>
      <c r="C25" s="82" t="s">
        <v>615</v>
      </c>
      <c r="D25" s="10" t="s">
        <v>44</v>
      </c>
      <c r="E25" s="10"/>
      <c r="F25" s="10"/>
      <c r="G25" s="10"/>
    </row>
    <row r="26" spans="1:7" x14ac:dyDescent="0.2">
      <c r="B26" t="s">
        <v>26</v>
      </c>
      <c r="C26" s="2" t="s">
        <v>27</v>
      </c>
    </row>
    <row r="27" spans="1:7" x14ac:dyDescent="0.2">
      <c r="C27" s="2"/>
    </row>
    <row r="28" spans="1:7" x14ac:dyDescent="0.2">
      <c r="A28" s="117">
        <f>A23+1</f>
        <v>18</v>
      </c>
      <c r="B28" t="s">
        <v>504</v>
      </c>
      <c r="C28" s="107">
        <f>+'Billing Determinants'!H47</f>
        <v>23470</v>
      </c>
      <c r="D28" t="s">
        <v>807</v>
      </c>
    </row>
    <row r="29" spans="1:7" x14ac:dyDescent="0.2">
      <c r="A29" s="117">
        <f>A28+1</f>
        <v>19</v>
      </c>
      <c r="B29" t="s">
        <v>725</v>
      </c>
      <c r="C29" s="107">
        <f>+'Billing Determinants'!I16</f>
        <v>994</v>
      </c>
      <c r="D29" t="s">
        <v>803</v>
      </c>
    </row>
    <row r="30" spans="1:7" x14ac:dyDescent="0.2">
      <c r="A30" s="117">
        <f t="shared" ref="A30" si="1">A29+1</f>
        <v>20</v>
      </c>
      <c r="B30" t="s">
        <v>726</v>
      </c>
      <c r="C30" s="107">
        <f>+'Billing Determinants'!I17</f>
        <v>4386</v>
      </c>
      <c r="D30" t="s">
        <v>691</v>
      </c>
    </row>
    <row r="31" spans="1:7" x14ac:dyDescent="0.2">
      <c r="A31" s="117">
        <f>A30+1</f>
        <v>21</v>
      </c>
      <c r="B31" t="s">
        <v>142</v>
      </c>
      <c r="C31" s="107">
        <f>+'Billing Determinants'!G47</f>
        <v>47817296.341854148</v>
      </c>
    </row>
    <row r="33" spans="1:14" x14ac:dyDescent="0.2">
      <c r="A33" s="117">
        <f>A31+1</f>
        <v>22</v>
      </c>
      <c r="B33" t="s">
        <v>509</v>
      </c>
      <c r="C33" s="118">
        <f>(C10+C12+C13+C14)/C28</f>
        <v>48.84785288432473</v>
      </c>
      <c r="D33" t="s">
        <v>808</v>
      </c>
      <c r="N33" s="5"/>
    </row>
    <row r="34" spans="1:14" x14ac:dyDescent="0.2">
      <c r="A34" s="117">
        <f>A33+1</f>
        <v>23</v>
      </c>
      <c r="B34" t="s">
        <v>727</v>
      </c>
      <c r="C34" s="118">
        <f>C15/C29</f>
        <v>68.863187978913842</v>
      </c>
      <c r="D34" t="s">
        <v>809</v>
      </c>
    </row>
    <row r="35" spans="1:14" x14ac:dyDescent="0.2">
      <c r="A35" s="117">
        <f>A34+1</f>
        <v>24</v>
      </c>
      <c r="B35" t="s">
        <v>728</v>
      </c>
      <c r="C35" s="118">
        <f>C16/C30</f>
        <v>22.954395992971282</v>
      </c>
      <c r="D35" t="s">
        <v>810</v>
      </c>
    </row>
    <row r="36" spans="1:14" x14ac:dyDescent="0.2">
      <c r="A36" s="117">
        <f>A35+1</f>
        <v>25</v>
      </c>
      <c r="B36" t="s">
        <v>510</v>
      </c>
      <c r="C36" s="118">
        <f>C11/C28</f>
        <v>48.059478623458091</v>
      </c>
      <c r="D36" t="s">
        <v>811</v>
      </c>
    </row>
    <row r="38" spans="1:14" x14ac:dyDescent="0.2">
      <c r="A38" s="127" t="s">
        <v>24</v>
      </c>
      <c r="B38" s="10" t="s">
        <v>617</v>
      </c>
      <c r="C38" s="82" t="s">
        <v>513</v>
      </c>
      <c r="D38" s="82" t="s">
        <v>514</v>
      </c>
      <c r="E38" s="82" t="s">
        <v>143</v>
      </c>
      <c r="F38" s="10" t="s">
        <v>44</v>
      </c>
      <c r="G38" s="10"/>
    </row>
    <row r="39" spans="1:14" x14ac:dyDescent="0.2">
      <c r="B39" t="s">
        <v>26</v>
      </c>
      <c r="C39" s="2" t="s">
        <v>27</v>
      </c>
      <c r="D39" s="2" t="s">
        <v>28</v>
      </c>
      <c r="E39" s="2" t="s">
        <v>29</v>
      </c>
    </row>
    <row r="40" spans="1:14" x14ac:dyDescent="0.2">
      <c r="C40" s="2"/>
      <c r="D40" s="2"/>
      <c r="E40" s="2"/>
    </row>
    <row r="41" spans="1:14" x14ac:dyDescent="0.2">
      <c r="A41" s="117">
        <f>A36+1</f>
        <v>26</v>
      </c>
      <c r="B41" t="s">
        <v>511</v>
      </c>
      <c r="C41" s="400">
        <f>ROUND(42.5*(1+0.226),0)</f>
        <v>52</v>
      </c>
      <c r="D41" s="5">
        <f>C28</f>
        <v>23470</v>
      </c>
      <c r="E41" s="108">
        <f>C41*D41</f>
        <v>1220440</v>
      </c>
      <c r="F41" t="s">
        <v>1050</v>
      </c>
    </row>
    <row r="42" spans="1:14" x14ac:dyDescent="0.2">
      <c r="A42" s="117">
        <f>A41+1</f>
        <v>27</v>
      </c>
      <c r="B42" t="s">
        <v>729</v>
      </c>
      <c r="C42" s="401">
        <f>+'RD-3 (LV)'!C42</f>
        <v>60</v>
      </c>
      <c r="D42" s="5">
        <f>C29</f>
        <v>994</v>
      </c>
      <c r="E42" s="121">
        <f>C42*D42</f>
        <v>59640</v>
      </c>
      <c r="F42" t="s">
        <v>629</v>
      </c>
    </row>
    <row r="43" spans="1:14" x14ac:dyDescent="0.2">
      <c r="A43" s="127">
        <f t="shared" ref="A43" si="2">A42+1</f>
        <v>28</v>
      </c>
      <c r="B43" s="146" t="s">
        <v>730</v>
      </c>
      <c r="C43" s="402">
        <f>+'RD-1 (SV)'!C46</f>
        <v>20</v>
      </c>
      <c r="D43" s="147">
        <f>C30</f>
        <v>4386</v>
      </c>
      <c r="E43" s="120">
        <f>C43*D43</f>
        <v>87720</v>
      </c>
      <c r="F43" s="10" t="s">
        <v>629</v>
      </c>
      <c r="G43" s="10"/>
      <c r="H43" s="10"/>
      <c r="I43" s="10"/>
      <c r="J43" s="10"/>
      <c r="K43" s="10"/>
      <c r="L43" s="10"/>
    </row>
    <row r="44" spans="1:14" x14ac:dyDescent="0.2">
      <c r="A44" s="117">
        <f>+A43+1</f>
        <v>29</v>
      </c>
      <c r="B44" t="s">
        <v>515</v>
      </c>
      <c r="C44" s="262"/>
      <c r="D44" s="5"/>
      <c r="E44" s="108">
        <f>C23-E41-E42-E43</f>
        <v>5683370.7102794759</v>
      </c>
      <c r="F44" t="s">
        <v>812</v>
      </c>
    </row>
    <row r="45" spans="1:14" x14ac:dyDescent="0.2">
      <c r="C45" s="262"/>
      <c r="D45" s="5"/>
      <c r="E45" s="108"/>
    </row>
    <row r="46" spans="1:14" x14ac:dyDescent="0.2">
      <c r="A46" s="117">
        <v>30</v>
      </c>
      <c r="B46" t="s">
        <v>1079</v>
      </c>
      <c r="C46" s="262"/>
      <c r="D46" s="5">
        <f>+'Rate Summary'!L75*('SRC-4 (S.D. Customers)'!G18/('SRC-4 (S.D. Customers)'!G18+'SRC-4 (S.D. Customers)'!G16))</f>
        <v>1335.1153154409203</v>
      </c>
      <c r="E46" s="108"/>
    </row>
    <row r="47" spans="1:14" x14ac:dyDescent="0.2">
      <c r="C47" s="262"/>
      <c r="D47" s="5"/>
      <c r="E47" s="108"/>
    </row>
    <row r="48" spans="1:14" x14ac:dyDescent="0.2">
      <c r="A48" s="117">
        <v>31</v>
      </c>
      <c r="B48" t="s">
        <v>520</v>
      </c>
      <c r="C48" s="398">
        <f>ROUND(E44/C31,5)+C54</f>
        <v>0.11882999999999999</v>
      </c>
      <c r="D48" s="107">
        <f>C31</f>
        <v>47817296.341854148</v>
      </c>
      <c r="E48" s="108">
        <f>C48*D48</f>
        <v>5682129.3243025281</v>
      </c>
      <c r="F48" t="s">
        <v>813</v>
      </c>
    </row>
    <row r="49" spans="1:6" x14ac:dyDescent="0.2">
      <c r="F49" s="160"/>
    </row>
    <row r="50" spans="1:6" x14ac:dyDescent="0.2">
      <c r="A50" s="117">
        <f>+A48+1</f>
        <v>32</v>
      </c>
      <c r="B50" t="s">
        <v>516</v>
      </c>
      <c r="D50" s="5">
        <f>D48</f>
        <v>47817296.341854148</v>
      </c>
      <c r="E50" s="108">
        <f>E41+E42+E48+E43</f>
        <v>7049929.3243025281</v>
      </c>
      <c r="F50" t="s">
        <v>1164</v>
      </c>
    </row>
    <row r="51" spans="1:6" x14ac:dyDescent="0.2">
      <c r="D51" s="5"/>
      <c r="E51" s="108"/>
      <c r="F51" s="160"/>
    </row>
    <row r="52" spans="1:6" x14ac:dyDescent="0.2">
      <c r="A52" s="117">
        <f>+A50+1</f>
        <v>33</v>
      </c>
      <c r="B52" t="s">
        <v>517</v>
      </c>
      <c r="E52" s="1">
        <f>E50-C23</f>
        <v>-1241.385976947844</v>
      </c>
      <c r="F52" t="s">
        <v>1165</v>
      </c>
    </row>
    <row r="54" spans="1:6" x14ac:dyDescent="0.2">
      <c r="A54" s="117">
        <f>+A52+1</f>
        <v>34</v>
      </c>
      <c r="B54" t="s">
        <v>1072</v>
      </c>
      <c r="C54" s="399">
        <v>-3.0000000000000001E-5</v>
      </c>
    </row>
  </sheetData>
  <pageMargins left="0.7" right="0.7" top="1.3978124999999999" bottom="0.75" header="0.3" footer="0.3"/>
  <pageSetup scale="67" orientation="landscape" r:id="rId1"/>
  <headerFooter>
    <oddHeader>&amp;CRULE 20:10:13:98
STATEMENT O WORKPAPER - Tab &amp;A
Medium Volume Rate Design
Test Year Ending December 31, 2025
Utility: MidAmerican Energy Company
Docket No. NG26-___
Individual Responsible: Stephen Stratton&amp;RPage &amp;P of &amp;N</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J71"/>
  <sheetViews>
    <sheetView view="pageLayout" zoomScaleNormal="100" workbookViewId="0">
      <selection activeCell="C66" sqref="C66"/>
    </sheetView>
  </sheetViews>
  <sheetFormatPr defaultColWidth="9.140625" defaultRowHeight="12.75" x14ac:dyDescent="0.2"/>
  <cols>
    <col min="2" max="2" width="48" customWidth="1"/>
    <col min="3" max="4" width="13.85546875" customWidth="1"/>
    <col min="5" max="5" width="14.7109375" customWidth="1"/>
    <col min="6" max="6" width="11.28515625" bestFit="1" customWidth="1"/>
  </cols>
  <sheetData>
    <row r="1" spans="1:10" s="66" customFormat="1" ht="18" x14ac:dyDescent="0.25">
      <c r="A1" s="113" t="s">
        <v>641</v>
      </c>
    </row>
    <row r="2" spans="1:10" s="66" customFormat="1" ht="18" x14ac:dyDescent="0.25">
      <c r="A2" s="113" t="s">
        <v>630</v>
      </c>
    </row>
    <row r="3" spans="1:10" s="66" customFormat="1" ht="13.5" customHeight="1" x14ac:dyDescent="0.25">
      <c r="A3" s="113"/>
    </row>
    <row r="4" spans="1:10" x14ac:dyDescent="0.2">
      <c r="A4" s="10" t="s">
        <v>24</v>
      </c>
      <c r="B4" s="10" t="s">
        <v>614</v>
      </c>
      <c r="C4" s="82" t="s">
        <v>615</v>
      </c>
      <c r="D4" s="10" t="s">
        <v>44</v>
      </c>
      <c r="E4" s="10"/>
      <c r="F4" s="10"/>
      <c r="G4" s="10"/>
      <c r="H4" s="10"/>
      <c r="I4" s="10"/>
      <c r="J4" s="10"/>
    </row>
    <row r="5" spans="1:10" x14ac:dyDescent="0.2">
      <c r="B5" t="s">
        <v>26</v>
      </c>
      <c r="C5" s="2" t="s">
        <v>27</v>
      </c>
      <c r="D5" s="2"/>
      <c r="E5" s="2"/>
    </row>
    <row r="6" spans="1:10" x14ac:dyDescent="0.2">
      <c r="C6" s="2"/>
      <c r="D6" s="2"/>
      <c r="E6" s="2"/>
    </row>
    <row r="7" spans="1:10" x14ac:dyDescent="0.2">
      <c r="A7" s="14">
        <v>1</v>
      </c>
      <c r="B7" t="s">
        <v>376</v>
      </c>
      <c r="C7" s="108">
        <f>'CLS1-1 (Class COS)'!F7</f>
        <v>5098.0174107277371</v>
      </c>
      <c r="D7" t="s">
        <v>642</v>
      </c>
      <c r="F7" s="142"/>
    </row>
    <row r="8" spans="1:10" x14ac:dyDescent="0.2">
      <c r="A8" s="14">
        <v>2</v>
      </c>
      <c r="B8" t="s">
        <v>420</v>
      </c>
      <c r="C8" s="108">
        <f>'CLS1-1 (Class COS)'!F8</f>
        <v>875382.97491387173</v>
      </c>
      <c r="D8" t="s">
        <v>643</v>
      </c>
    </row>
    <row r="9" spans="1:10" x14ac:dyDescent="0.2">
      <c r="A9" s="14">
        <v>3</v>
      </c>
      <c r="B9" t="s">
        <v>421</v>
      </c>
      <c r="C9" s="108">
        <f>'CLS1-1 (Class COS)'!F9</f>
        <v>1382405.4989112117</v>
      </c>
      <c r="D9" t="s">
        <v>644</v>
      </c>
    </row>
    <row r="10" spans="1:10" x14ac:dyDescent="0.2">
      <c r="A10" s="14">
        <v>4</v>
      </c>
      <c r="B10" t="s">
        <v>19</v>
      </c>
      <c r="C10" s="108">
        <f>'CLS1-1 (Class COS)'!F10</f>
        <v>30462.148627767634</v>
      </c>
      <c r="D10" t="s">
        <v>645</v>
      </c>
    </row>
    <row r="11" spans="1:10" x14ac:dyDescent="0.2">
      <c r="A11" s="14">
        <v>5</v>
      </c>
      <c r="B11" t="s">
        <v>18</v>
      </c>
      <c r="C11" s="108">
        <f>'CLS1-1 (Class COS)'!F11</f>
        <v>42736.118737141252</v>
      </c>
      <c r="D11" t="s">
        <v>646</v>
      </c>
    </row>
    <row r="12" spans="1:10" x14ac:dyDescent="0.2">
      <c r="A12" s="14">
        <v>6</v>
      </c>
      <c r="B12" t="s">
        <v>306</v>
      </c>
      <c r="C12" s="108">
        <f>'CLS1-1 (Class COS)'!F12</f>
        <v>1422.5585434808233</v>
      </c>
      <c r="D12" t="s">
        <v>647</v>
      </c>
    </row>
    <row r="13" spans="1:10" x14ac:dyDescent="0.2">
      <c r="A13" s="14">
        <v>7</v>
      </c>
      <c r="B13" t="s">
        <v>377</v>
      </c>
      <c r="C13" s="108">
        <f>'CLS1-1 (Class COS)'!F13</f>
        <v>0</v>
      </c>
      <c r="D13" t="s">
        <v>648</v>
      </c>
    </row>
    <row r="14" spans="1:10" x14ac:dyDescent="0.2">
      <c r="A14" s="14">
        <v>8</v>
      </c>
      <c r="B14" t="s">
        <v>275</v>
      </c>
      <c r="C14" s="108">
        <f>'CLS1-1 (Class COS)'!F14</f>
        <v>110077.34481369794</v>
      </c>
      <c r="D14" t="s">
        <v>649</v>
      </c>
    </row>
    <row r="15" spans="1:10" x14ac:dyDescent="0.2">
      <c r="A15" s="14">
        <v>9</v>
      </c>
      <c r="B15" t="s">
        <v>723</v>
      </c>
      <c r="C15" s="108">
        <f>'CLS1-1 (Class COS)'!F15</f>
        <v>16733.754678876063</v>
      </c>
      <c r="D15" t="s">
        <v>650</v>
      </c>
    </row>
    <row r="16" spans="1:10" x14ac:dyDescent="0.2">
      <c r="A16" s="14">
        <v>10</v>
      </c>
      <c r="B16" t="s">
        <v>495</v>
      </c>
      <c r="C16" s="108">
        <f>'CLS1-1 (Class COS)'!F17</f>
        <v>3085.5604380524778</v>
      </c>
      <c r="D16" t="s">
        <v>814</v>
      </c>
    </row>
    <row r="17" spans="1:10" x14ac:dyDescent="0.2">
      <c r="A17" s="15">
        <f>+A16+1</f>
        <v>11</v>
      </c>
      <c r="B17" s="10" t="s">
        <v>739</v>
      </c>
      <c r="C17" s="120">
        <f>'CLS1-1 (Class COS)'!F18</f>
        <v>12150</v>
      </c>
      <c r="D17" s="10" t="s">
        <v>897</v>
      </c>
      <c r="E17" s="10"/>
      <c r="F17" s="10"/>
      <c r="G17" s="10"/>
      <c r="H17" s="10"/>
      <c r="I17" s="10"/>
      <c r="J17" s="10"/>
    </row>
    <row r="18" spans="1:10" x14ac:dyDescent="0.2">
      <c r="A18" s="14">
        <f t="shared" ref="A18:A21" si="0">+A17+1</f>
        <v>12</v>
      </c>
      <c r="B18" t="s">
        <v>286</v>
      </c>
      <c r="C18" s="1">
        <f>SUM(C7:C17)</f>
        <v>2479553.9770748275</v>
      </c>
      <c r="D18" t="s">
        <v>815</v>
      </c>
    </row>
    <row r="19" spans="1:10" x14ac:dyDescent="0.2">
      <c r="A19" s="14">
        <f t="shared" si="0"/>
        <v>13</v>
      </c>
      <c r="B19" t="s">
        <v>748</v>
      </c>
      <c r="C19" s="1">
        <f>'SRC-2 (S.D. Revenue)'!M44</f>
        <v>2017.6147178516585</v>
      </c>
    </row>
    <row r="20" spans="1:10" x14ac:dyDescent="0.2">
      <c r="A20" s="14">
        <f t="shared" si="0"/>
        <v>14</v>
      </c>
      <c r="B20" t="s">
        <v>749</v>
      </c>
      <c r="C20" s="1">
        <f>C11-'RD-4 (MTR)'!H196+C17</f>
        <v>54971.007312147856</v>
      </c>
      <c r="D20" t="s">
        <v>1150</v>
      </c>
    </row>
    <row r="21" spans="1:10" x14ac:dyDescent="0.2">
      <c r="A21" s="14">
        <f t="shared" si="0"/>
        <v>15</v>
      </c>
      <c r="B21" t="s">
        <v>751</v>
      </c>
      <c r="C21" s="1">
        <f>E67</f>
        <v>0</v>
      </c>
      <c r="D21" t="s">
        <v>816</v>
      </c>
    </row>
    <row r="22" spans="1:10" x14ac:dyDescent="0.2">
      <c r="A22" s="15">
        <f>+A21+1</f>
        <v>16</v>
      </c>
      <c r="B22" s="10" t="s">
        <v>750</v>
      </c>
      <c r="C22" s="137">
        <f>('CLS1-1 (Class COS)'!F23-'CLS1-1 (Class COS)'!F20)</f>
        <v>9918.5403299708851</v>
      </c>
      <c r="D22" s="10" t="s">
        <v>1141</v>
      </c>
      <c r="E22" s="10"/>
      <c r="F22" s="10"/>
      <c r="G22" s="10"/>
      <c r="H22" s="10"/>
      <c r="I22" s="10"/>
      <c r="J22" s="10"/>
    </row>
    <row r="23" spans="1:10" x14ac:dyDescent="0.2">
      <c r="A23" s="14">
        <f>A22+1</f>
        <v>17</v>
      </c>
      <c r="B23" t="s">
        <v>752</v>
      </c>
      <c r="C23" s="1">
        <f>C18-SUM(C19:C22)</f>
        <v>2412646.8147148569</v>
      </c>
      <c r="D23" t="s">
        <v>817</v>
      </c>
    </row>
    <row r="24" spans="1:10" x14ac:dyDescent="0.2">
      <c r="F24" s="1"/>
    </row>
    <row r="25" spans="1:10" x14ac:dyDescent="0.2">
      <c r="A25" s="10" t="s">
        <v>24</v>
      </c>
      <c r="B25" s="10" t="s">
        <v>552</v>
      </c>
      <c r="C25" s="82" t="s">
        <v>615</v>
      </c>
      <c r="D25" s="10" t="s">
        <v>44</v>
      </c>
      <c r="E25" s="10"/>
      <c r="F25" s="10"/>
      <c r="G25" s="10"/>
      <c r="H25" s="10"/>
      <c r="I25" s="10"/>
      <c r="J25" s="10"/>
    </row>
    <row r="26" spans="1:10" x14ac:dyDescent="0.2">
      <c r="B26" t="s">
        <v>26</v>
      </c>
      <c r="C26" s="2" t="s">
        <v>27</v>
      </c>
    </row>
    <row r="27" spans="1:10" x14ac:dyDescent="0.2">
      <c r="C27" s="2"/>
    </row>
    <row r="28" spans="1:10" x14ac:dyDescent="0.2">
      <c r="A28" s="14">
        <f>A23+1</f>
        <v>18</v>
      </c>
      <c r="B28" t="s">
        <v>504</v>
      </c>
      <c r="C28" s="107">
        <f>+'Billing Determinants'!H48</f>
        <v>255</v>
      </c>
      <c r="D28" t="s">
        <v>818</v>
      </c>
    </row>
    <row r="29" spans="1:10" x14ac:dyDescent="0.2">
      <c r="A29" s="14">
        <f>A28+1</f>
        <v>19</v>
      </c>
      <c r="B29" t="s">
        <v>506</v>
      </c>
      <c r="C29" s="107">
        <f>'Billing Determinants'!I48</f>
        <v>243</v>
      </c>
      <c r="D29" t="s">
        <v>819</v>
      </c>
    </row>
    <row r="30" spans="1:10" x14ac:dyDescent="0.2">
      <c r="A30" s="14">
        <f t="shared" ref="A30:A32" si="1">A29+1</f>
        <v>20</v>
      </c>
      <c r="B30" t="s">
        <v>142</v>
      </c>
      <c r="C30" s="107">
        <f>'Billing Determinants'!G48</f>
        <v>29930486.22615258</v>
      </c>
      <c r="D30" t="s">
        <v>820</v>
      </c>
    </row>
    <row r="31" spans="1:10" x14ac:dyDescent="0.2">
      <c r="A31" s="14">
        <f t="shared" si="1"/>
        <v>21</v>
      </c>
      <c r="B31" t="s">
        <v>527</v>
      </c>
      <c r="C31" s="107">
        <f>'Billing Determinants'!J48</f>
        <v>2050578.1176470588</v>
      </c>
      <c r="D31" t="s">
        <v>821</v>
      </c>
    </row>
    <row r="32" spans="1:10" x14ac:dyDescent="0.2">
      <c r="A32" s="14">
        <f t="shared" si="1"/>
        <v>22</v>
      </c>
      <c r="B32" t="s">
        <v>528</v>
      </c>
      <c r="C32" s="107">
        <f>'Billing Determinants'!K48</f>
        <v>128657.88235294117</v>
      </c>
      <c r="D32" t="s">
        <v>628</v>
      </c>
    </row>
    <row r="33" spans="1:10" x14ac:dyDescent="0.2">
      <c r="A33" s="14"/>
    </row>
    <row r="34" spans="1:10" x14ac:dyDescent="0.2">
      <c r="A34" s="14">
        <f>A32+1</f>
        <v>23</v>
      </c>
      <c r="B34" t="s">
        <v>509</v>
      </c>
      <c r="C34" s="118">
        <f>(C10+C12+C13+C14)/C28</f>
        <v>556.71392935273093</v>
      </c>
      <c r="D34" t="s">
        <v>825</v>
      </c>
    </row>
    <row r="35" spans="1:10" x14ac:dyDescent="0.2">
      <c r="A35" s="14">
        <f>A34+1</f>
        <v>24</v>
      </c>
      <c r="B35" t="s">
        <v>681</v>
      </c>
      <c r="C35" s="118">
        <f>C15/C29</f>
        <v>68.863187978913842</v>
      </c>
      <c r="D35" t="s">
        <v>809</v>
      </c>
    </row>
    <row r="36" spans="1:10" x14ac:dyDescent="0.2">
      <c r="A36" s="14">
        <f>A35+1</f>
        <v>25</v>
      </c>
      <c r="B36" t="s">
        <v>510</v>
      </c>
      <c r="C36" s="118">
        <f>C11/C28</f>
        <v>167.59262249859316</v>
      </c>
      <c r="D36" t="s">
        <v>811</v>
      </c>
    </row>
    <row r="38" spans="1:10" x14ac:dyDescent="0.2">
      <c r="A38" s="10" t="s">
        <v>24</v>
      </c>
      <c r="B38" s="10" t="s">
        <v>617</v>
      </c>
      <c r="C38" s="82" t="s">
        <v>513</v>
      </c>
      <c r="D38" s="82" t="s">
        <v>514</v>
      </c>
      <c r="E38" s="82" t="s">
        <v>143</v>
      </c>
      <c r="F38" s="10" t="s">
        <v>44</v>
      </c>
      <c r="G38" s="10"/>
      <c r="H38" s="10"/>
      <c r="I38" s="10"/>
      <c r="J38" s="10"/>
    </row>
    <row r="39" spans="1:10" x14ac:dyDescent="0.2">
      <c r="B39" t="s">
        <v>26</v>
      </c>
      <c r="C39" s="2" t="s">
        <v>27</v>
      </c>
      <c r="D39" s="2" t="s">
        <v>28</v>
      </c>
      <c r="E39" s="2" t="s">
        <v>29</v>
      </c>
    </row>
    <row r="40" spans="1:10" x14ac:dyDescent="0.2">
      <c r="A40" s="14"/>
      <c r="C40" s="2"/>
      <c r="D40" s="2"/>
      <c r="E40" s="2"/>
    </row>
    <row r="41" spans="1:10" x14ac:dyDescent="0.2">
      <c r="A41" s="14">
        <f>A36+1</f>
        <v>26</v>
      </c>
      <c r="B41" t="s">
        <v>511</v>
      </c>
      <c r="C41" s="400">
        <f>ROUND(80*(1+0.226),0)+2</f>
        <v>100</v>
      </c>
      <c r="D41" s="5">
        <f>C28</f>
        <v>255</v>
      </c>
      <c r="E41" s="108">
        <f>C41*D41</f>
        <v>25500</v>
      </c>
      <c r="F41" t="s">
        <v>1053</v>
      </c>
    </row>
    <row r="42" spans="1:10" x14ac:dyDescent="0.2">
      <c r="A42" s="15">
        <f>A41+1</f>
        <v>27</v>
      </c>
      <c r="B42" s="10" t="s">
        <v>512</v>
      </c>
      <c r="C42" s="402">
        <v>60</v>
      </c>
      <c r="D42" s="102">
        <f>C29</f>
        <v>243</v>
      </c>
      <c r="E42" s="120">
        <f>C42*D42</f>
        <v>14580</v>
      </c>
      <c r="F42" s="10" t="s">
        <v>629</v>
      </c>
      <c r="G42" s="10"/>
    </row>
    <row r="43" spans="1:10" x14ac:dyDescent="0.2">
      <c r="A43" s="14">
        <f>A42+1</f>
        <v>28</v>
      </c>
      <c r="B43" t="s">
        <v>530</v>
      </c>
      <c r="C43" s="149"/>
      <c r="D43" s="5"/>
      <c r="E43" s="121">
        <f>E41+E42</f>
        <v>40080</v>
      </c>
      <c r="F43" t="s">
        <v>826</v>
      </c>
    </row>
    <row r="44" spans="1:10" x14ac:dyDescent="0.2">
      <c r="A44" s="14"/>
      <c r="C44" s="148"/>
      <c r="D44" s="5"/>
      <c r="E44" s="108"/>
    </row>
    <row r="45" spans="1:10" x14ac:dyDescent="0.2">
      <c r="A45" s="14">
        <f>A43+1</f>
        <v>29</v>
      </c>
      <c r="B45" t="s">
        <v>421</v>
      </c>
      <c r="C45" s="34">
        <f>C9</f>
        <v>1382405.4989112117</v>
      </c>
      <c r="D45" t="s">
        <v>651</v>
      </c>
      <c r="E45" s="108"/>
    </row>
    <row r="46" spans="1:10" x14ac:dyDescent="0.2">
      <c r="A46" s="15">
        <f>A45+1</f>
        <v>30</v>
      </c>
      <c r="B46" s="10" t="s">
        <v>524</v>
      </c>
      <c r="C46" s="150">
        <f>'ALO-1 (Design Day Peak)'!E38</f>
        <v>0.49095930488192036</v>
      </c>
      <c r="D46" t="s">
        <v>822</v>
      </c>
      <c r="E46" s="108"/>
    </row>
    <row r="47" spans="1:10" x14ac:dyDescent="0.2">
      <c r="A47" s="14">
        <f t="shared" ref="A47:A49" si="2">A46+1</f>
        <v>31</v>
      </c>
      <c r="B47" t="s">
        <v>525</v>
      </c>
      <c r="C47" s="34">
        <f>C45*(1-C46)</f>
        <v>703700.656100819</v>
      </c>
      <c r="D47" t="s">
        <v>823</v>
      </c>
      <c r="E47" s="108"/>
    </row>
    <row r="48" spans="1:10" x14ac:dyDescent="0.2">
      <c r="A48" s="15">
        <f>A47+1</f>
        <v>32</v>
      </c>
      <c r="B48" s="10" t="s">
        <v>376</v>
      </c>
      <c r="C48" s="9">
        <f>C7</f>
        <v>5098.0174107277371</v>
      </c>
      <c r="D48" t="s">
        <v>824</v>
      </c>
      <c r="E48" s="108"/>
    </row>
    <row r="49" spans="1:10" x14ac:dyDescent="0.2">
      <c r="A49" s="14">
        <f t="shared" si="2"/>
        <v>33</v>
      </c>
      <c r="B49" t="s">
        <v>526</v>
      </c>
      <c r="C49" s="34">
        <f>SUM(C47:C48)</f>
        <v>708798.67351154669</v>
      </c>
      <c r="D49" t="s">
        <v>828</v>
      </c>
      <c r="E49" s="108"/>
    </row>
    <row r="50" spans="1:10" x14ac:dyDescent="0.2">
      <c r="A50" s="14"/>
      <c r="D50" s="5"/>
      <c r="E50" s="108"/>
    </row>
    <row r="51" spans="1:10" x14ac:dyDescent="0.2">
      <c r="A51" s="14">
        <f>A49+1</f>
        <v>34</v>
      </c>
      <c r="B51" t="s">
        <v>527</v>
      </c>
      <c r="C51" s="151">
        <f>ROUND((C49-E55)/D53,2)</f>
        <v>0.31</v>
      </c>
      <c r="D51" s="107">
        <f>C31</f>
        <v>2050578.1176470588</v>
      </c>
      <c r="E51" s="108">
        <f>C51*D51</f>
        <v>635679.21647058823</v>
      </c>
      <c r="F51" t="s">
        <v>1152</v>
      </c>
    </row>
    <row r="52" spans="1:10" x14ac:dyDescent="0.2">
      <c r="A52" s="15">
        <f>A51+1</f>
        <v>35</v>
      </c>
      <c r="B52" s="10" t="s">
        <v>528</v>
      </c>
      <c r="C52" s="152">
        <f>C51</f>
        <v>0.31</v>
      </c>
      <c r="D52" s="153">
        <f>C32</f>
        <v>128657.88235294117</v>
      </c>
      <c r="E52" s="120">
        <f>C52*D52</f>
        <v>39883.943529411765</v>
      </c>
      <c r="F52" s="10" t="s">
        <v>1152</v>
      </c>
      <c r="G52" s="10"/>
      <c r="H52" s="10"/>
      <c r="I52" s="10"/>
      <c r="J52" s="10"/>
    </row>
    <row r="53" spans="1:10" x14ac:dyDescent="0.2">
      <c r="A53" s="14">
        <f>A52+1</f>
        <v>36</v>
      </c>
      <c r="B53" t="s">
        <v>529</v>
      </c>
      <c r="D53" s="5">
        <f>SUM(D51:D52)</f>
        <v>2179236</v>
      </c>
      <c r="E53" s="108">
        <f>SUM(E51:E52)</f>
        <v>675563.16</v>
      </c>
      <c r="F53" t="s">
        <v>827</v>
      </c>
    </row>
    <row r="54" spans="1:10" x14ac:dyDescent="0.2">
      <c r="A54" s="14"/>
      <c r="D54" s="5"/>
      <c r="E54" s="108"/>
    </row>
    <row r="55" spans="1:10" x14ac:dyDescent="0.2">
      <c r="A55" s="14">
        <v>37</v>
      </c>
      <c r="B55" t="s">
        <v>1176</v>
      </c>
      <c r="D55" s="5"/>
      <c r="E55" s="121">
        <v>39861.230000000003</v>
      </c>
      <c r="F55" t="s">
        <v>1197</v>
      </c>
    </row>
    <row r="56" spans="1:10" x14ac:dyDescent="0.2">
      <c r="A56" s="14"/>
      <c r="D56" s="5"/>
      <c r="E56" s="121"/>
    </row>
    <row r="57" spans="1:10" x14ac:dyDescent="0.2">
      <c r="A57" s="14">
        <v>38</v>
      </c>
      <c r="B57" t="s">
        <v>515</v>
      </c>
      <c r="D57" s="5"/>
      <c r="E57" s="108">
        <f>C23-E43-E53-E55</f>
        <v>1657142.4247148568</v>
      </c>
      <c r="F57" t="s">
        <v>1163</v>
      </c>
    </row>
    <row r="58" spans="1:10" x14ac:dyDescent="0.2">
      <c r="A58" s="14"/>
      <c r="D58" s="5"/>
      <c r="E58" s="108"/>
      <c r="F58" s="160"/>
    </row>
    <row r="59" spans="1:10" x14ac:dyDescent="0.2">
      <c r="A59" s="14">
        <f>A57+1</f>
        <v>39</v>
      </c>
      <c r="B59" t="s">
        <v>520</v>
      </c>
      <c r="C59" s="115">
        <f>ROUND(E57/C30,5)+C71</f>
        <v>5.5330000000000004E-2</v>
      </c>
      <c r="D59" s="107">
        <f>C30</f>
        <v>29930486.22615258</v>
      </c>
      <c r="E59" s="108">
        <f>C59*D59</f>
        <v>1656053.8028930223</v>
      </c>
      <c r="F59" t="s">
        <v>1153</v>
      </c>
    </row>
    <row r="60" spans="1:10" x14ac:dyDescent="0.2">
      <c r="A60" s="14"/>
      <c r="F60" s="160"/>
    </row>
    <row r="61" spans="1:10" x14ac:dyDescent="0.2">
      <c r="A61" s="14">
        <f>A59+1</f>
        <v>40</v>
      </c>
      <c r="B61" t="s">
        <v>516</v>
      </c>
      <c r="D61" s="5">
        <f>D59</f>
        <v>29930486.22615258</v>
      </c>
      <c r="E61" s="108">
        <f>E43+E53+E55+E59</f>
        <v>2411558.1928930222</v>
      </c>
      <c r="F61" t="s">
        <v>1154</v>
      </c>
    </row>
    <row r="63" spans="1:10" x14ac:dyDescent="0.2">
      <c r="A63" s="10"/>
      <c r="B63" s="10" t="s">
        <v>753</v>
      </c>
      <c r="C63" s="10"/>
      <c r="D63" s="10"/>
      <c r="E63" s="10"/>
      <c r="F63" s="10"/>
      <c r="G63" s="10"/>
      <c r="H63" s="10"/>
      <c r="I63" s="10"/>
      <c r="J63" s="10"/>
    </row>
    <row r="64" spans="1:10" x14ac:dyDescent="0.2">
      <c r="A64" s="14">
        <f>A61+1</f>
        <v>41</v>
      </c>
      <c r="B64" t="s">
        <v>511</v>
      </c>
      <c r="C64" s="401">
        <f>+C41</f>
        <v>100</v>
      </c>
      <c r="D64" s="107">
        <f>SUM('Billing Determinants'!H57:H58)</f>
        <v>0</v>
      </c>
      <c r="E64" s="108">
        <f>C64*D64</f>
        <v>0</v>
      </c>
      <c r="F64" t="s">
        <v>629</v>
      </c>
    </row>
    <row r="65" spans="1:6" x14ac:dyDescent="0.2">
      <c r="A65" s="14">
        <f>A64+1</f>
        <v>42</v>
      </c>
      <c r="B65" t="s">
        <v>694</v>
      </c>
      <c r="C65" s="396">
        <f>ROUND(0.05301*(1+'CLS1-1 (Class COS)'!F25),5)</f>
        <v>7.6399999999999996E-2</v>
      </c>
      <c r="D65" s="107">
        <f>'Billing Determinants'!G57</f>
        <v>0</v>
      </c>
      <c r="E65" s="108">
        <f>C65*D65</f>
        <v>0</v>
      </c>
      <c r="F65" t="s">
        <v>1142</v>
      </c>
    </row>
    <row r="66" spans="1:6" x14ac:dyDescent="0.2">
      <c r="A66" s="14">
        <f t="shared" ref="A66:A67" si="3">A65+1</f>
        <v>43</v>
      </c>
      <c r="B66" t="s">
        <v>695</v>
      </c>
      <c r="C66" s="397">
        <f>ROUND(0.10046*(1+'CLS1-1 (Class COS)'!F25),5)</f>
        <v>0.14479</v>
      </c>
      <c r="D66" s="107">
        <f>'Billing Determinants'!G58</f>
        <v>0</v>
      </c>
      <c r="E66" s="108">
        <f>C66*D66</f>
        <v>0</v>
      </c>
      <c r="F66" t="s">
        <v>1142</v>
      </c>
    </row>
    <row r="67" spans="1:6" x14ac:dyDescent="0.2">
      <c r="A67" s="14">
        <f t="shared" si="3"/>
        <v>44</v>
      </c>
      <c r="B67" t="s">
        <v>516</v>
      </c>
      <c r="C67" s="4"/>
      <c r="D67" s="5">
        <f>SUM(D65:D66)</f>
        <v>0</v>
      </c>
      <c r="E67" s="108">
        <f>SUM(E64:E66)</f>
        <v>0</v>
      </c>
      <c r="F67" t="s">
        <v>829</v>
      </c>
    </row>
    <row r="68" spans="1:6" x14ac:dyDescent="0.2">
      <c r="A68" s="14"/>
      <c r="C68" s="4"/>
      <c r="D68" s="5"/>
      <c r="E68" s="108"/>
    </row>
    <row r="69" spans="1:6" x14ac:dyDescent="0.2">
      <c r="A69" s="14">
        <f>A67+1</f>
        <v>45</v>
      </c>
      <c r="B69" t="s">
        <v>517</v>
      </c>
      <c r="C69" s="4"/>
      <c r="E69" s="1">
        <f>SUM(C19:C20,C22,E61,E67)-'CLS1-1 (Class COS)'!F23</f>
        <v>-1088.6218218347058</v>
      </c>
      <c r="F69" t="s">
        <v>1155</v>
      </c>
    </row>
    <row r="70" spans="1:6" x14ac:dyDescent="0.2">
      <c r="C70" s="4"/>
    </row>
    <row r="71" spans="1:6" x14ac:dyDescent="0.2">
      <c r="A71" s="14">
        <v>45</v>
      </c>
      <c r="B71" t="s">
        <v>1073</v>
      </c>
      <c r="C71" s="399">
        <v>-4.0000000000000003E-5</v>
      </c>
    </row>
  </sheetData>
  <pageMargins left="0.7" right="0.7" top="1.1539583333333334" bottom="0.75" header="0.3" footer="0.3"/>
  <pageSetup scale="52" orientation="landscape" r:id="rId1"/>
  <headerFooter>
    <oddHeader>&amp;CRULE 20:10:13:98
STATEMENT O WORKPAPER - Tab &amp;A
Large Volume Rate Design
Test Year Ending December 31, 2025
Utility: MidAmerican Energy Company
Docket No. NG26-___
Individual Responsible: Stephen Stratton&amp;RPage &amp;P of &amp;N</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R259"/>
  <sheetViews>
    <sheetView view="pageLayout" zoomScaleNormal="100" workbookViewId="0">
      <selection activeCell="J15" sqref="J15"/>
    </sheetView>
  </sheetViews>
  <sheetFormatPr defaultRowHeight="12.75" x14ac:dyDescent="0.2"/>
  <cols>
    <col min="1" max="1" width="9.140625" style="4"/>
    <col min="2" max="2" width="15.85546875" style="4" customWidth="1"/>
    <col min="3" max="3" width="17.85546875" style="4" customWidth="1"/>
    <col min="4" max="4" width="15.42578125" style="4" customWidth="1"/>
    <col min="5" max="5" width="12.42578125" style="4" customWidth="1"/>
    <col min="6" max="6" width="11.85546875" style="4" customWidth="1"/>
    <col min="7" max="7" width="16.7109375" style="4" customWidth="1"/>
    <col min="8" max="8" width="13.140625" style="4" customWidth="1"/>
    <col min="9" max="9" width="15.28515625" style="4" customWidth="1"/>
    <col min="10" max="10" width="7.5703125" style="4" customWidth="1"/>
    <col min="11" max="16" width="10.85546875" style="4" customWidth="1"/>
    <col min="17" max="17" width="9.140625" style="4"/>
    <col min="18" max="18" width="27.7109375" style="4" customWidth="1"/>
    <col min="19" max="20" width="9.140625" style="4"/>
    <col min="21" max="24" width="9.7109375" style="4" customWidth="1"/>
    <col min="25" max="258" width="9.140625" style="4"/>
    <col min="259" max="259" width="5.7109375" style="4" customWidth="1"/>
    <col min="260" max="260" width="5.5703125" style="4" customWidth="1"/>
    <col min="261" max="262" width="7" style="4" customWidth="1"/>
    <col min="263" max="263" width="20.140625" style="4" customWidth="1"/>
    <col min="264" max="264" width="9.140625" style="4"/>
    <col min="265" max="272" width="10.85546875" style="4" customWidth="1"/>
    <col min="273" max="514" width="9.140625" style="4"/>
    <col min="515" max="515" width="5.7109375" style="4" customWidth="1"/>
    <col min="516" max="516" width="5.5703125" style="4" customWidth="1"/>
    <col min="517" max="518" width="7" style="4" customWidth="1"/>
    <col min="519" max="519" width="20.140625" style="4" customWidth="1"/>
    <col min="520" max="520" width="9.140625" style="4"/>
    <col min="521" max="528" width="10.85546875" style="4" customWidth="1"/>
    <col min="529" max="770" width="9.140625" style="4"/>
    <col min="771" max="771" width="5.7109375" style="4" customWidth="1"/>
    <col min="772" max="772" width="5.5703125" style="4" customWidth="1"/>
    <col min="773" max="774" width="7" style="4" customWidth="1"/>
    <col min="775" max="775" width="20.140625" style="4" customWidth="1"/>
    <col min="776" max="776" width="9.140625" style="4"/>
    <col min="777" max="784" width="10.85546875" style="4" customWidth="1"/>
    <col min="785" max="1026" width="9.140625" style="4"/>
    <col min="1027" max="1027" width="5.7109375" style="4" customWidth="1"/>
    <col min="1028" max="1028" width="5.5703125" style="4" customWidth="1"/>
    <col min="1029" max="1030" width="7" style="4" customWidth="1"/>
    <col min="1031" max="1031" width="20.140625" style="4" customWidth="1"/>
    <col min="1032" max="1032" width="9.140625" style="4"/>
    <col min="1033" max="1040" width="10.85546875" style="4" customWidth="1"/>
    <col min="1041" max="1282" width="9.140625" style="4"/>
    <col min="1283" max="1283" width="5.7109375" style="4" customWidth="1"/>
    <col min="1284" max="1284" width="5.5703125" style="4" customWidth="1"/>
    <col min="1285" max="1286" width="7" style="4" customWidth="1"/>
    <col min="1287" max="1287" width="20.140625" style="4" customWidth="1"/>
    <col min="1288" max="1288" width="9.140625" style="4"/>
    <col min="1289" max="1296" width="10.85546875" style="4" customWidth="1"/>
    <col min="1297" max="1538" width="9.140625" style="4"/>
    <col min="1539" max="1539" width="5.7109375" style="4" customWidth="1"/>
    <col min="1540" max="1540" width="5.5703125" style="4" customWidth="1"/>
    <col min="1541" max="1542" width="7" style="4" customWidth="1"/>
    <col min="1543" max="1543" width="20.140625" style="4" customWidth="1"/>
    <col min="1544" max="1544" width="9.140625" style="4"/>
    <col min="1545" max="1552" width="10.85546875" style="4" customWidth="1"/>
    <col min="1553" max="1794" width="9.140625" style="4"/>
    <col min="1795" max="1795" width="5.7109375" style="4" customWidth="1"/>
    <col min="1796" max="1796" width="5.5703125" style="4" customWidth="1"/>
    <col min="1797" max="1798" width="7" style="4" customWidth="1"/>
    <col min="1799" max="1799" width="20.140625" style="4" customWidth="1"/>
    <col min="1800" max="1800" width="9.140625" style="4"/>
    <col min="1801" max="1808" width="10.85546875" style="4" customWidth="1"/>
    <col min="1809" max="2050" width="9.140625" style="4"/>
    <col min="2051" max="2051" width="5.7109375" style="4" customWidth="1"/>
    <col min="2052" max="2052" width="5.5703125" style="4" customWidth="1"/>
    <col min="2053" max="2054" width="7" style="4" customWidth="1"/>
    <col min="2055" max="2055" width="20.140625" style="4" customWidth="1"/>
    <col min="2056" max="2056" width="9.140625" style="4"/>
    <col min="2057" max="2064" width="10.85546875" style="4" customWidth="1"/>
    <col min="2065" max="2306" width="9.140625" style="4"/>
    <col min="2307" max="2307" width="5.7109375" style="4" customWidth="1"/>
    <col min="2308" max="2308" width="5.5703125" style="4" customWidth="1"/>
    <col min="2309" max="2310" width="7" style="4" customWidth="1"/>
    <col min="2311" max="2311" width="20.140625" style="4" customWidth="1"/>
    <col min="2312" max="2312" width="9.140625" style="4"/>
    <col min="2313" max="2320" width="10.85546875" style="4" customWidth="1"/>
    <col min="2321" max="2562" width="9.140625" style="4"/>
    <col min="2563" max="2563" width="5.7109375" style="4" customWidth="1"/>
    <col min="2564" max="2564" width="5.5703125" style="4" customWidth="1"/>
    <col min="2565" max="2566" width="7" style="4" customWidth="1"/>
    <col min="2567" max="2567" width="20.140625" style="4" customWidth="1"/>
    <col min="2568" max="2568" width="9.140625" style="4"/>
    <col min="2569" max="2576" width="10.85546875" style="4" customWidth="1"/>
    <col min="2577" max="2818" width="9.140625" style="4"/>
    <col min="2819" max="2819" width="5.7109375" style="4" customWidth="1"/>
    <col min="2820" max="2820" width="5.5703125" style="4" customWidth="1"/>
    <col min="2821" max="2822" width="7" style="4" customWidth="1"/>
    <col min="2823" max="2823" width="20.140625" style="4" customWidth="1"/>
    <col min="2824" max="2824" width="9.140625" style="4"/>
    <col min="2825" max="2832" width="10.85546875" style="4" customWidth="1"/>
    <col min="2833" max="3074" width="9.140625" style="4"/>
    <col min="3075" max="3075" width="5.7109375" style="4" customWidth="1"/>
    <col min="3076" max="3076" width="5.5703125" style="4" customWidth="1"/>
    <col min="3077" max="3078" width="7" style="4" customWidth="1"/>
    <col min="3079" max="3079" width="20.140625" style="4" customWidth="1"/>
    <col min="3080" max="3080" width="9.140625" style="4"/>
    <col min="3081" max="3088" width="10.85546875" style="4" customWidth="1"/>
    <col min="3089" max="3330" width="9.140625" style="4"/>
    <col min="3331" max="3331" width="5.7109375" style="4" customWidth="1"/>
    <col min="3332" max="3332" width="5.5703125" style="4" customWidth="1"/>
    <col min="3333" max="3334" width="7" style="4" customWidth="1"/>
    <col min="3335" max="3335" width="20.140625" style="4" customWidth="1"/>
    <col min="3336" max="3336" width="9.140625" style="4"/>
    <col min="3337" max="3344" width="10.85546875" style="4" customWidth="1"/>
    <col min="3345" max="3586" width="9.140625" style="4"/>
    <col min="3587" max="3587" width="5.7109375" style="4" customWidth="1"/>
    <col min="3588" max="3588" width="5.5703125" style="4" customWidth="1"/>
    <col min="3589" max="3590" width="7" style="4" customWidth="1"/>
    <col min="3591" max="3591" width="20.140625" style="4" customWidth="1"/>
    <col min="3592" max="3592" width="9.140625" style="4"/>
    <col min="3593" max="3600" width="10.85546875" style="4" customWidth="1"/>
    <col min="3601" max="3842" width="9.140625" style="4"/>
    <col min="3843" max="3843" width="5.7109375" style="4" customWidth="1"/>
    <col min="3844" max="3844" width="5.5703125" style="4" customWidth="1"/>
    <col min="3845" max="3846" width="7" style="4" customWidth="1"/>
    <col min="3847" max="3847" width="20.140625" style="4" customWidth="1"/>
    <col min="3848" max="3848" width="9.140625" style="4"/>
    <col min="3849" max="3856" width="10.85546875" style="4" customWidth="1"/>
    <col min="3857" max="4098" width="9.140625" style="4"/>
    <col min="4099" max="4099" width="5.7109375" style="4" customWidth="1"/>
    <col min="4100" max="4100" width="5.5703125" style="4" customWidth="1"/>
    <col min="4101" max="4102" width="7" style="4" customWidth="1"/>
    <col min="4103" max="4103" width="20.140625" style="4" customWidth="1"/>
    <col min="4104" max="4104" width="9.140625" style="4"/>
    <col min="4105" max="4112" width="10.85546875" style="4" customWidth="1"/>
    <col min="4113" max="4354" width="9.140625" style="4"/>
    <col min="4355" max="4355" width="5.7109375" style="4" customWidth="1"/>
    <col min="4356" max="4356" width="5.5703125" style="4" customWidth="1"/>
    <col min="4357" max="4358" width="7" style="4" customWidth="1"/>
    <col min="4359" max="4359" width="20.140625" style="4" customWidth="1"/>
    <col min="4360" max="4360" width="9.140625" style="4"/>
    <col min="4361" max="4368" width="10.85546875" style="4" customWidth="1"/>
    <col min="4369" max="4610" width="9.140625" style="4"/>
    <col min="4611" max="4611" width="5.7109375" style="4" customWidth="1"/>
    <col min="4612" max="4612" width="5.5703125" style="4" customWidth="1"/>
    <col min="4613" max="4614" width="7" style="4" customWidth="1"/>
    <col min="4615" max="4615" width="20.140625" style="4" customWidth="1"/>
    <col min="4616" max="4616" width="9.140625" style="4"/>
    <col min="4617" max="4624" width="10.85546875" style="4" customWidth="1"/>
    <col min="4625" max="4866" width="9.140625" style="4"/>
    <col min="4867" max="4867" width="5.7109375" style="4" customWidth="1"/>
    <col min="4868" max="4868" width="5.5703125" style="4" customWidth="1"/>
    <col min="4869" max="4870" width="7" style="4" customWidth="1"/>
    <col min="4871" max="4871" width="20.140625" style="4" customWidth="1"/>
    <col min="4872" max="4872" width="9.140625" style="4"/>
    <col min="4873" max="4880" width="10.85546875" style="4" customWidth="1"/>
    <col min="4881" max="5122" width="9.140625" style="4"/>
    <col min="5123" max="5123" width="5.7109375" style="4" customWidth="1"/>
    <col min="5124" max="5124" width="5.5703125" style="4" customWidth="1"/>
    <col min="5125" max="5126" width="7" style="4" customWidth="1"/>
    <col min="5127" max="5127" width="20.140625" style="4" customWidth="1"/>
    <col min="5128" max="5128" width="9.140625" style="4"/>
    <col min="5129" max="5136" width="10.85546875" style="4" customWidth="1"/>
    <col min="5137" max="5378" width="9.140625" style="4"/>
    <col min="5379" max="5379" width="5.7109375" style="4" customWidth="1"/>
    <col min="5380" max="5380" width="5.5703125" style="4" customWidth="1"/>
    <col min="5381" max="5382" width="7" style="4" customWidth="1"/>
    <col min="5383" max="5383" width="20.140625" style="4" customWidth="1"/>
    <col min="5384" max="5384" width="9.140625" style="4"/>
    <col min="5385" max="5392" width="10.85546875" style="4" customWidth="1"/>
    <col min="5393" max="5634" width="9.140625" style="4"/>
    <col min="5635" max="5635" width="5.7109375" style="4" customWidth="1"/>
    <col min="5636" max="5636" width="5.5703125" style="4" customWidth="1"/>
    <col min="5637" max="5638" width="7" style="4" customWidth="1"/>
    <col min="5639" max="5639" width="20.140625" style="4" customWidth="1"/>
    <col min="5640" max="5640" width="9.140625" style="4"/>
    <col min="5641" max="5648" width="10.85546875" style="4" customWidth="1"/>
    <col min="5649" max="5890" width="9.140625" style="4"/>
    <col min="5891" max="5891" width="5.7109375" style="4" customWidth="1"/>
    <col min="5892" max="5892" width="5.5703125" style="4" customWidth="1"/>
    <col min="5893" max="5894" width="7" style="4" customWidth="1"/>
    <col min="5895" max="5895" width="20.140625" style="4" customWidth="1"/>
    <col min="5896" max="5896" width="9.140625" style="4"/>
    <col min="5897" max="5904" width="10.85546875" style="4" customWidth="1"/>
    <col min="5905" max="6146" width="9.140625" style="4"/>
    <col min="6147" max="6147" width="5.7109375" style="4" customWidth="1"/>
    <col min="6148" max="6148" width="5.5703125" style="4" customWidth="1"/>
    <col min="6149" max="6150" width="7" style="4" customWidth="1"/>
    <col min="6151" max="6151" width="20.140625" style="4" customWidth="1"/>
    <col min="6152" max="6152" width="9.140625" style="4"/>
    <col min="6153" max="6160" width="10.85546875" style="4" customWidth="1"/>
    <col min="6161" max="6402" width="9.140625" style="4"/>
    <col min="6403" max="6403" width="5.7109375" style="4" customWidth="1"/>
    <col min="6404" max="6404" width="5.5703125" style="4" customWidth="1"/>
    <col min="6405" max="6406" width="7" style="4" customWidth="1"/>
    <col min="6407" max="6407" width="20.140625" style="4" customWidth="1"/>
    <col min="6408" max="6408" width="9.140625" style="4"/>
    <col min="6409" max="6416" width="10.85546875" style="4" customWidth="1"/>
    <col min="6417" max="6658" width="9.140625" style="4"/>
    <col min="6659" max="6659" width="5.7109375" style="4" customWidth="1"/>
    <col min="6660" max="6660" width="5.5703125" style="4" customWidth="1"/>
    <col min="6661" max="6662" width="7" style="4" customWidth="1"/>
    <col min="6663" max="6663" width="20.140625" style="4" customWidth="1"/>
    <col min="6664" max="6664" width="9.140625" style="4"/>
    <col min="6665" max="6672" width="10.85546875" style="4" customWidth="1"/>
    <col min="6673" max="6914" width="9.140625" style="4"/>
    <col min="6915" max="6915" width="5.7109375" style="4" customWidth="1"/>
    <col min="6916" max="6916" width="5.5703125" style="4" customWidth="1"/>
    <col min="6917" max="6918" width="7" style="4" customWidth="1"/>
    <col min="6919" max="6919" width="20.140625" style="4" customWidth="1"/>
    <col min="6920" max="6920" width="9.140625" style="4"/>
    <col min="6921" max="6928" width="10.85546875" style="4" customWidth="1"/>
    <col min="6929" max="7170" width="9.140625" style="4"/>
    <col min="7171" max="7171" width="5.7109375" style="4" customWidth="1"/>
    <col min="7172" max="7172" width="5.5703125" style="4" customWidth="1"/>
    <col min="7173" max="7174" width="7" style="4" customWidth="1"/>
    <col min="7175" max="7175" width="20.140625" style="4" customWidth="1"/>
    <col min="7176" max="7176" width="9.140625" style="4"/>
    <col min="7177" max="7184" width="10.85546875" style="4" customWidth="1"/>
    <col min="7185" max="7426" width="9.140625" style="4"/>
    <col min="7427" max="7427" width="5.7109375" style="4" customWidth="1"/>
    <col min="7428" max="7428" width="5.5703125" style="4" customWidth="1"/>
    <col min="7429" max="7430" width="7" style="4" customWidth="1"/>
    <col min="7431" max="7431" width="20.140625" style="4" customWidth="1"/>
    <col min="7432" max="7432" width="9.140625" style="4"/>
    <col min="7433" max="7440" width="10.85546875" style="4" customWidth="1"/>
    <col min="7441" max="7682" width="9.140625" style="4"/>
    <col min="7683" max="7683" width="5.7109375" style="4" customWidth="1"/>
    <col min="7684" max="7684" width="5.5703125" style="4" customWidth="1"/>
    <col min="7685" max="7686" width="7" style="4" customWidth="1"/>
    <col min="7687" max="7687" width="20.140625" style="4" customWidth="1"/>
    <col min="7688" max="7688" width="9.140625" style="4"/>
    <col min="7689" max="7696" width="10.85546875" style="4" customWidth="1"/>
    <col min="7697" max="7938" width="9.140625" style="4"/>
    <col min="7939" max="7939" width="5.7109375" style="4" customWidth="1"/>
    <col min="7940" max="7940" width="5.5703125" style="4" customWidth="1"/>
    <col min="7941" max="7942" width="7" style="4" customWidth="1"/>
    <col min="7943" max="7943" width="20.140625" style="4" customWidth="1"/>
    <col min="7944" max="7944" width="9.140625" style="4"/>
    <col min="7945" max="7952" width="10.85546875" style="4" customWidth="1"/>
    <col min="7953" max="8194" width="9.140625" style="4"/>
    <col min="8195" max="8195" width="5.7109375" style="4" customWidth="1"/>
    <col min="8196" max="8196" width="5.5703125" style="4" customWidth="1"/>
    <col min="8197" max="8198" width="7" style="4" customWidth="1"/>
    <col min="8199" max="8199" width="20.140625" style="4" customWidth="1"/>
    <col min="8200" max="8200" width="9.140625" style="4"/>
    <col min="8201" max="8208" width="10.85546875" style="4" customWidth="1"/>
    <col min="8209" max="8450" width="9.140625" style="4"/>
    <col min="8451" max="8451" width="5.7109375" style="4" customWidth="1"/>
    <col min="8452" max="8452" width="5.5703125" style="4" customWidth="1"/>
    <col min="8453" max="8454" width="7" style="4" customWidth="1"/>
    <col min="8455" max="8455" width="20.140625" style="4" customWidth="1"/>
    <col min="8456" max="8456" width="9.140625" style="4"/>
    <col min="8457" max="8464" width="10.85546875" style="4" customWidth="1"/>
    <col min="8465" max="8706" width="9.140625" style="4"/>
    <col min="8707" max="8707" width="5.7109375" style="4" customWidth="1"/>
    <col min="8708" max="8708" width="5.5703125" style="4" customWidth="1"/>
    <col min="8709" max="8710" width="7" style="4" customWidth="1"/>
    <col min="8711" max="8711" width="20.140625" style="4" customWidth="1"/>
    <col min="8712" max="8712" width="9.140625" style="4"/>
    <col min="8713" max="8720" width="10.85546875" style="4" customWidth="1"/>
    <col min="8721" max="8962" width="9.140625" style="4"/>
    <col min="8963" max="8963" width="5.7109375" style="4" customWidth="1"/>
    <col min="8964" max="8964" width="5.5703125" style="4" customWidth="1"/>
    <col min="8965" max="8966" width="7" style="4" customWidth="1"/>
    <col min="8967" max="8967" width="20.140625" style="4" customWidth="1"/>
    <col min="8968" max="8968" width="9.140625" style="4"/>
    <col min="8969" max="8976" width="10.85546875" style="4" customWidth="1"/>
    <col min="8977" max="9218" width="9.140625" style="4"/>
    <col min="9219" max="9219" width="5.7109375" style="4" customWidth="1"/>
    <col min="9220" max="9220" width="5.5703125" style="4" customWidth="1"/>
    <col min="9221" max="9222" width="7" style="4" customWidth="1"/>
    <col min="9223" max="9223" width="20.140625" style="4" customWidth="1"/>
    <col min="9224" max="9224" width="9.140625" style="4"/>
    <col min="9225" max="9232" width="10.85546875" style="4" customWidth="1"/>
    <col min="9233" max="9474" width="9.140625" style="4"/>
    <col min="9475" max="9475" width="5.7109375" style="4" customWidth="1"/>
    <col min="9476" max="9476" width="5.5703125" style="4" customWidth="1"/>
    <col min="9477" max="9478" width="7" style="4" customWidth="1"/>
    <col min="9479" max="9479" width="20.140625" style="4" customWidth="1"/>
    <col min="9480" max="9480" width="9.140625" style="4"/>
    <col min="9481" max="9488" width="10.85546875" style="4" customWidth="1"/>
    <col min="9489" max="9730" width="9.140625" style="4"/>
    <col min="9731" max="9731" width="5.7109375" style="4" customWidth="1"/>
    <col min="9732" max="9732" width="5.5703125" style="4" customWidth="1"/>
    <col min="9733" max="9734" width="7" style="4" customWidth="1"/>
    <col min="9735" max="9735" width="20.140625" style="4" customWidth="1"/>
    <col min="9736" max="9736" width="9.140625" style="4"/>
    <col min="9737" max="9744" width="10.85546875" style="4" customWidth="1"/>
    <col min="9745" max="9986" width="9.140625" style="4"/>
    <col min="9987" max="9987" width="5.7109375" style="4" customWidth="1"/>
    <col min="9988" max="9988" width="5.5703125" style="4" customWidth="1"/>
    <col min="9989" max="9990" width="7" style="4" customWidth="1"/>
    <col min="9991" max="9991" width="20.140625" style="4" customWidth="1"/>
    <col min="9992" max="9992" width="9.140625" style="4"/>
    <col min="9993" max="10000" width="10.85546875" style="4" customWidth="1"/>
    <col min="10001" max="10242" width="9.140625" style="4"/>
    <col min="10243" max="10243" width="5.7109375" style="4" customWidth="1"/>
    <col min="10244" max="10244" width="5.5703125" style="4" customWidth="1"/>
    <col min="10245" max="10246" width="7" style="4" customWidth="1"/>
    <col min="10247" max="10247" width="20.140625" style="4" customWidth="1"/>
    <col min="10248" max="10248" width="9.140625" style="4"/>
    <col min="10249" max="10256" width="10.85546875" style="4" customWidth="1"/>
    <col min="10257" max="10498" width="9.140625" style="4"/>
    <col min="10499" max="10499" width="5.7109375" style="4" customWidth="1"/>
    <col min="10500" max="10500" width="5.5703125" style="4" customWidth="1"/>
    <col min="10501" max="10502" width="7" style="4" customWidth="1"/>
    <col min="10503" max="10503" width="20.140625" style="4" customWidth="1"/>
    <col min="10504" max="10504" width="9.140625" style="4"/>
    <col min="10505" max="10512" width="10.85546875" style="4" customWidth="1"/>
    <col min="10513" max="10754" width="9.140625" style="4"/>
    <col min="10755" max="10755" width="5.7109375" style="4" customWidth="1"/>
    <col min="10756" max="10756" width="5.5703125" style="4" customWidth="1"/>
    <col min="10757" max="10758" width="7" style="4" customWidth="1"/>
    <col min="10759" max="10759" width="20.140625" style="4" customWidth="1"/>
    <col min="10760" max="10760" width="9.140625" style="4"/>
    <col min="10761" max="10768" width="10.85546875" style="4" customWidth="1"/>
    <col min="10769" max="11010" width="9.140625" style="4"/>
    <col min="11011" max="11011" width="5.7109375" style="4" customWidth="1"/>
    <col min="11012" max="11012" width="5.5703125" style="4" customWidth="1"/>
    <col min="11013" max="11014" width="7" style="4" customWidth="1"/>
    <col min="11015" max="11015" width="20.140625" style="4" customWidth="1"/>
    <col min="11016" max="11016" width="9.140625" style="4"/>
    <col min="11017" max="11024" width="10.85546875" style="4" customWidth="1"/>
    <col min="11025" max="11266" width="9.140625" style="4"/>
    <col min="11267" max="11267" width="5.7109375" style="4" customWidth="1"/>
    <col min="11268" max="11268" width="5.5703125" style="4" customWidth="1"/>
    <col min="11269" max="11270" width="7" style="4" customWidth="1"/>
    <col min="11271" max="11271" width="20.140625" style="4" customWidth="1"/>
    <col min="11272" max="11272" width="9.140625" style="4"/>
    <col min="11273" max="11280" width="10.85546875" style="4" customWidth="1"/>
    <col min="11281" max="11522" width="9.140625" style="4"/>
    <col min="11523" max="11523" width="5.7109375" style="4" customWidth="1"/>
    <col min="11524" max="11524" width="5.5703125" style="4" customWidth="1"/>
    <col min="11525" max="11526" width="7" style="4" customWidth="1"/>
    <col min="11527" max="11527" width="20.140625" style="4" customWidth="1"/>
    <col min="11528" max="11528" width="9.140625" style="4"/>
    <col min="11529" max="11536" width="10.85546875" style="4" customWidth="1"/>
    <col min="11537" max="11778" width="9.140625" style="4"/>
    <col min="11779" max="11779" width="5.7109375" style="4" customWidth="1"/>
    <col min="11780" max="11780" width="5.5703125" style="4" customWidth="1"/>
    <col min="11781" max="11782" width="7" style="4" customWidth="1"/>
    <col min="11783" max="11783" width="20.140625" style="4" customWidth="1"/>
    <col min="11784" max="11784" width="9.140625" style="4"/>
    <col min="11785" max="11792" width="10.85546875" style="4" customWidth="1"/>
    <col min="11793" max="12034" width="9.140625" style="4"/>
    <col min="12035" max="12035" width="5.7109375" style="4" customWidth="1"/>
    <col min="12036" max="12036" width="5.5703125" style="4" customWidth="1"/>
    <col min="12037" max="12038" width="7" style="4" customWidth="1"/>
    <col min="12039" max="12039" width="20.140625" style="4" customWidth="1"/>
    <col min="12040" max="12040" width="9.140625" style="4"/>
    <col min="12041" max="12048" width="10.85546875" style="4" customWidth="1"/>
    <col min="12049" max="12290" width="9.140625" style="4"/>
    <col min="12291" max="12291" width="5.7109375" style="4" customWidth="1"/>
    <col min="12292" max="12292" width="5.5703125" style="4" customWidth="1"/>
    <col min="12293" max="12294" width="7" style="4" customWidth="1"/>
    <col min="12295" max="12295" width="20.140625" style="4" customWidth="1"/>
    <col min="12296" max="12296" width="9.140625" style="4"/>
    <col min="12297" max="12304" width="10.85546875" style="4" customWidth="1"/>
    <col min="12305" max="12546" width="9.140625" style="4"/>
    <col min="12547" max="12547" width="5.7109375" style="4" customWidth="1"/>
    <col min="12548" max="12548" width="5.5703125" style="4" customWidth="1"/>
    <col min="12549" max="12550" width="7" style="4" customWidth="1"/>
    <col min="12551" max="12551" width="20.140625" style="4" customWidth="1"/>
    <col min="12552" max="12552" width="9.140625" style="4"/>
    <col min="12553" max="12560" width="10.85546875" style="4" customWidth="1"/>
    <col min="12561" max="12802" width="9.140625" style="4"/>
    <col min="12803" max="12803" width="5.7109375" style="4" customWidth="1"/>
    <col min="12804" max="12804" width="5.5703125" style="4" customWidth="1"/>
    <col min="12805" max="12806" width="7" style="4" customWidth="1"/>
    <col min="12807" max="12807" width="20.140625" style="4" customWidth="1"/>
    <col min="12808" max="12808" width="9.140625" style="4"/>
    <col min="12809" max="12816" width="10.85546875" style="4" customWidth="1"/>
    <col min="12817" max="13058" width="9.140625" style="4"/>
    <col min="13059" max="13059" width="5.7109375" style="4" customWidth="1"/>
    <col min="13060" max="13060" width="5.5703125" style="4" customWidth="1"/>
    <col min="13061" max="13062" width="7" style="4" customWidth="1"/>
    <col min="13063" max="13063" width="20.140625" style="4" customWidth="1"/>
    <col min="13064" max="13064" width="9.140625" style="4"/>
    <col min="13065" max="13072" width="10.85546875" style="4" customWidth="1"/>
    <col min="13073" max="13314" width="9.140625" style="4"/>
    <col min="13315" max="13315" width="5.7109375" style="4" customWidth="1"/>
    <col min="13316" max="13316" width="5.5703125" style="4" customWidth="1"/>
    <col min="13317" max="13318" width="7" style="4" customWidth="1"/>
    <col min="13319" max="13319" width="20.140625" style="4" customWidth="1"/>
    <col min="13320" max="13320" width="9.140625" style="4"/>
    <col min="13321" max="13328" width="10.85546875" style="4" customWidth="1"/>
    <col min="13329" max="13570" width="9.140625" style="4"/>
    <col min="13571" max="13571" width="5.7109375" style="4" customWidth="1"/>
    <col min="13572" max="13572" width="5.5703125" style="4" customWidth="1"/>
    <col min="13573" max="13574" width="7" style="4" customWidth="1"/>
    <col min="13575" max="13575" width="20.140625" style="4" customWidth="1"/>
    <col min="13576" max="13576" width="9.140625" style="4"/>
    <col min="13577" max="13584" width="10.85546875" style="4" customWidth="1"/>
    <col min="13585" max="13826" width="9.140625" style="4"/>
    <col min="13827" max="13827" width="5.7109375" style="4" customWidth="1"/>
    <col min="13828" max="13828" width="5.5703125" style="4" customWidth="1"/>
    <col min="13829" max="13830" width="7" style="4" customWidth="1"/>
    <col min="13831" max="13831" width="20.140625" style="4" customWidth="1"/>
    <col min="13832" max="13832" width="9.140625" style="4"/>
    <col min="13833" max="13840" width="10.85546875" style="4" customWidth="1"/>
    <col min="13841" max="14082" width="9.140625" style="4"/>
    <col min="14083" max="14083" width="5.7109375" style="4" customWidth="1"/>
    <col min="14084" max="14084" width="5.5703125" style="4" customWidth="1"/>
    <col min="14085" max="14086" width="7" style="4" customWidth="1"/>
    <col min="14087" max="14087" width="20.140625" style="4" customWidth="1"/>
    <col min="14088" max="14088" width="9.140625" style="4"/>
    <col min="14089" max="14096" width="10.85546875" style="4" customWidth="1"/>
    <col min="14097" max="14338" width="9.140625" style="4"/>
    <col min="14339" max="14339" width="5.7109375" style="4" customWidth="1"/>
    <col min="14340" max="14340" width="5.5703125" style="4" customWidth="1"/>
    <col min="14341" max="14342" width="7" style="4" customWidth="1"/>
    <col min="14343" max="14343" width="20.140625" style="4" customWidth="1"/>
    <col min="14344" max="14344" width="9.140625" style="4"/>
    <col min="14345" max="14352" width="10.85546875" style="4" customWidth="1"/>
    <col min="14353" max="14594" width="9.140625" style="4"/>
    <col min="14595" max="14595" width="5.7109375" style="4" customWidth="1"/>
    <col min="14596" max="14596" width="5.5703125" style="4" customWidth="1"/>
    <col min="14597" max="14598" width="7" style="4" customWidth="1"/>
    <col min="14599" max="14599" width="20.140625" style="4" customWidth="1"/>
    <col min="14600" max="14600" width="9.140625" style="4"/>
    <col min="14601" max="14608" width="10.85546875" style="4" customWidth="1"/>
    <col min="14609" max="14850" width="9.140625" style="4"/>
    <col min="14851" max="14851" width="5.7109375" style="4" customWidth="1"/>
    <col min="14852" max="14852" width="5.5703125" style="4" customWidth="1"/>
    <col min="14853" max="14854" width="7" style="4" customWidth="1"/>
    <col min="14855" max="14855" width="20.140625" style="4" customWidth="1"/>
    <col min="14856" max="14856" width="9.140625" style="4"/>
    <col min="14857" max="14864" width="10.85546875" style="4" customWidth="1"/>
    <col min="14865" max="15106" width="9.140625" style="4"/>
    <col min="15107" max="15107" width="5.7109375" style="4" customWidth="1"/>
    <col min="15108" max="15108" width="5.5703125" style="4" customWidth="1"/>
    <col min="15109" max="15110" width="7" style="4" customWidth="1"/>
    <col min="15111" max="15111" width="20.140625" style="4" customWidth="1"/>
    <col min="15112" max="15112" width="9.140625" style="4"/>
    <col min="15113" max="15120" width="10.85546875" style="4" customWidth="1"/>
    <col min="15121" max="15362" width="9.140625" style="4"/>
    <col min="15363" max="15363" width="5.7109375" style="4" customWidth="1"/>
    <col min="15364" max="15364" width="5.5703125" style="4" customWidth="1"/>
    <col min="15365" max="15366" width="7" style="4" customWidth="1"/>
    <col min="15367" max="15367" width="20.140625" style="4" customWidth="1"/>
    <col min="15368" max="15368" width="9.140625" style="4"/>
    <col min="15369" max="15376" width="10.85546875" style="4" customWidth="1"/>
    <col min="15377" max="15618" width="9.140625" style="4"/>
    <col min="15619" max="15619" width="5.7109375" style="4" customWidth="1"/>
    <col min="15620" max="15620" width="5.5703125" style="4" customWidth="1"/>
    <col min="15621" max="15622" width="7" style="4" customWidth="1"/>
    <col min="15623" max="15623" width="20.140625" style="4" customWidth="1"/>
    <col min="15624" max="15624" width="9.140625" style="4"/>
    <col min="15625" max="15632" width="10.85546875" style="4" customWidth="1"/>
    <col min="15633" max="15874" width="9.140625" style="4"/>
    <col min="15875" max="15875" width="5.7109375" style="4" customWidth="1"/>
    <col min="15876" max="15876" width="5.5703125" style="4" customWidth="1"/>
    <col min="15877" max="15878" width="7" style="4" customWidth="1"/>
    <col min="15879" max="15879" width="20.140625" style="4" customWidth="1"/>
    <col min="15880" max="15880" width="9.140625" style="4"/>
    <col min="15881" max="15888" width="10.85546875" style="4" customWidth="1"/>
    <col min="15889" max="16130" width="9.140625" style="4"/>
    <col min="16131" max="16131" width="5.7109375" style="4" customWidth="1"/>
    <col min="16132" max="16132" width="5.5703125" style="4" customWidth="1"/>
    <col min="16133" max="16134" width="7" style="4" customWidth="1"/>
    <col min="16135" max="16135" width="20.140625" style="4" customWidth="1"/>
    <col min="16136" max="16136" width="9.140625" style="4"/>
    <col min="16137" max="16144" width="10.85546875" style="4" customWidth="1"/>
    <col min="16145" max="16384" width="9.140625" style="4"/>
  </cols>
  <sheetData>
    <row r="1" spans="1:4" s="66" customFormat="1" ht="18" x14ac:dyDescent="0.25">
      <c r="A1" s="113" t="s">
        <v>654</v>
      </c>
    </row>
    <row r="2" spans="1:4" s="66" customFormat="1" ht="18" x14ac:dyDescent="0.25">
      <c r="A2" s="113"/>
    </row>
    <row r="4" spans="1:4" ht="15" x14ac:dyDescent="0.2">
      <c r="A4" s="114" t="s">
        <v>661</v>
      </c>
    </row>
    <row r="6" spans="1:4" x14ac:dyDescent="0.2">
      <c r="B6" s="13" t="s">
        <v>656</v>
      </c>
      <c r="C6" s="405" t="s">
        <v>679</v>
      </c>
      <c r="D6" s="13" t="s">
        <v>532</v>
      </c>
    </row>
    <row r="7" spans="1:4" x14ac:dyDescent="0.2">
      <c r="A7" s="232" t="s">
        <v>24</v>
      </c>
      <c r="B7" s="12" t="s">
        <v>534</v>
      </c>
      <c r="C7" s="406" t="s">
        <v>535</v>
      </c>
      <c r="D7" s="12" t="s">
        <v>536</v>
      </c>
    </row>
    <row r="8" spans="1:4" x14ac:dyDescent="0.2">
      <c r="B8" s="407" t="s">
        <v>26</v>
      </c>
      <c r="C8" s="407" t="s">
        <v>27</v>
      </c>
      <c r="D8" s="407" t="s">
        <v>28</v>
      </c>
    </row>
    <row r="9" spans="1:4" x14ac:dyDescent="0.2">
      <c r="B9" s="407"/>
      <c r="D9" s="407"/>
    </row>
    <row r="10" spans="1:4" x14ac:dyDescent="0.2">
      <c r="A10" s="234">
        <v>1</v>
      </c>
      <c r="B10" s="49">
        <v>175</v>
      </c>
      <c r="C10" s="4">
        <v>1</v>
      </c>
      <c r="D10" s="408">
        <v>326.55</v>
      </c>
    </row>
    <row r="11" spans="1:4" x14ac:dyDescent="0.2">
      <c r="A11" s="234">
        <f>A10+1</f>
        <v>2</v>
      </c>
      <c r="B11" s="49">
        <v>200</v>
      </c>
      <c r="C11" s="4">
        <v>1</v>
      </c>
      <c r="D11" s="111">
        <f>+D10</f>
        <v>326.55</v>
      </c>
    </row>
    <row r="12" spans="1:4" x14ac:dyDescent="0.2">
      <c r="A12" s="234">
        <f t="shared" ref="A12:A34" si="0">A11+1</f>
        <v>3</v>
      </c>
      <c r="B12" s="49">
        <v>250</v>
      </c>
      <c r="C12" s="4">
        <v>1</v>
      </c>
      <c r="D12" s="111">
        <f>+D10</f>
        <v>326.55</v>
      </c>
    </row>
    <row r="13" spans="1:4" x14ac:dyDescent="0.2">
      <c r="A13" s="234">
        <f t="shared" si="0"/>
        <v>4</v>
      </c>
      <c r="B13" s="49">
        <v>275</v>
      </c>
      <c r="C13" s="4">
        <v>1</v>
      </c>
      <c r="D13" s="111">
        <f>+D10</f>
        <v>326.55</v>
      </c>
    </row>
    <row r="14" spans="1:4" x14ac:dyDescent="0.2">
      <c r="A14" s="234">
        <f t="shared" si="0"/>
        <v>5</v>
      </c>
      <c r="B14" s="49">
        <v>400</v>
      </c>
      <c r="C14" s="4">
        <v>1</v>
      </c>
      <c r="D14" s="408">
        <v>1078.7548999999999</v>
      </c>
    </row>
    <row r="15" spans="1:4" x14ac:dyDescent="0.2">
      <c r="A15" s="234">
        <f t="shared" si="0"/>
        <v>6</v>
      </c>
      <c r="B15" s="49">
        <v>425</v>
      </c>
      <c r="C15" s="4">
        <v>1</v>
      </c>
      <c r="D15" s="111">
        <f>+D14</f>
        <v>1078.7548999999999</v>
      </c>
    </row>
    <row r="16" spans="1:4" x14ac:dyDescent="0.2">
      <c r="A16" s="234">
        <f t="shared" si="0"/>
        <v>7</v>
      </c>
      <c r="B16" s="49">
        <v>600</v>
      </c>
      <c r="C16" s="4">
        <v>1</v>
      </c>
      <c r="D16" s="408">
        <v>2272.0295999999998</v>
      </c>
    </row>
    <row r="17" spans="1:4" x14ac:dyDescent="0.2">
      <c r="A17" s="234">
        <f t="shared" si="0"/>
        <v>8</v>
      </c>
      <c r="B17" s="49">
        <v>675</v>
      </c>
      <c r="C17" s="4">
        <v>1</v>
      </c>
      <c r="D17" s="111">
        <f>+D16</f>
        <v>2272.0295999999998</v>
      </c>
    </row>
    <row r="18" spans="1:4" x14ac:dyDescent="0.2">
      <c r="A18" s="234">
        <f t="shared" si="0"/>
        <v>9</v>
      </c>
      <c r="B18" s="49">
        <v>800</v>
      </c>
      <c r="C18" s="4">
        <v>2</v>
      </c>
      <c r="D18" s="111">
        <f>+D16</f>
        <v>2272.0295999999998</v>
      </c>
    </row>
    <row r="19" spans="1:4" x14ac:dyDescent="0.2">
      <c r="A19" s="234">
        <f t="shared" si="0"/>
        <v>10</v>
      </c>
      <c r="B19" s="49">
        <v>1000</v>
      </c>
      <c r="C19" s="4">
        <v>2</v>
      </c>
      <c r="D19" s="408">
        <v>1802.2083000000002</v>
      </c>
    </row>
    <row r="20" spans="1:4" x14ac:dyDescent="0.2">
      <c r="A20" s="234">
        <f t="shared" si="0"/>
        <v>11</v>
      </c>
      <c r="B20" s="49">
        <v>1100</v>
      </c>
      <c r="C20" s="4">
        <v>2</v>
      </c>
      <c r="D20" s="111">
        <f>+D19</f>
        <v>1802.2083000000002</v>
      </c>
    </row>
    <row r="21" spans="1:4" x14ac:dyDescent="0.2">
      <c r="A21" s="234">
        <f t="shared" si="0"/>
        <v>12</v>
      </c>
      <c r="B21" s="49">
        <v>1500</v>
      </c>
      <c r="C21" s="4">
        <v>2</v>
      </c>
      <c r="D21" s="111">
        <f>+D19</f>
        <v>1802.2083000000002</v>
      </c>
    </row>
    <row r="22" spans="1:4" x14ac:dyDescent="0.2">
      <c r="A22" s="234">
        <f t="shared" si="0"/>
        <v>13</v>
      </c>
      <c r="B22" s="49">
        <v>2000</v>
      </c>
      <c r="C22" s="4">
        <v>2</v>
      </c>
      <c r="D22" s="111">
        <f>+D19</f>
        <v>1802.2083000000002</v>
      </c>
    </row>
    <row r="23" spans="1:4" x14ac:dyDescent="0.2">
      <c r="A23" s="234">
        <f t="shared" si="0"/>
        <v>14</v>
      </c>
      <c r="B23" s="49">
        <v>3000</v>
      </c>
      <c r="C23" s="4">
        <v>2</v>
      </c>
      <c r="D23" s="408">
        <v>5335.25</v>
      </c>
    </row>
    <row r="24" spans="1:4" x14ac:dyDescent="0.2">
      <c r="A24" s="234">
        <f t="shared" si="0"/>
        <v>15</v>
      </c>
      <c r="B24" s="49">
        <v>4000</v>
      </c>
      <c r="C24" s="4">
        <v>3</v>
      </c>
      <c r="D24" s="111">
        <f>+D23</f>
        <v>5335.25</v>
      </c>
    </row>
    <row r="25" spans="1:4" x14ac:dyDescent="0.2">
      <c r="A25" s="234">
        <f t="shared" si="0"/>
        <v>16</v>
      </c>
      <c r="B25" s="49">
        <v>5000</v>
      </c>
      <c r="C25" s="4">
        <v>3</v>
      </c>
      <c r="D25" s="408">
        <v>7207.91</v>
      </c>
    </row>
    <row r="26" spans="1:4" x14ac:dyDescent="0.2">
      <c r="A26" s="234">
        <f t="shared" si="0"/>
        <v>17</v>
      </c>
      <c r="B26" s="49">
        <v>7000</v>
      </c>
      <c r="C26" s="4">
        <v>3</v>
      </c>
      <c r="D26" s="111">
        <f>+D25</f>
        <v>7207.91</v>
      </c>
    </row>
    <row r="27" spans="1:4" x14ac:dyDescent="0.2">
      <c r="A27" s="234">
        <f t="shared" si="0"/>
        <v>18</v>
      </c>
      <c r="B27" s="49">
        <v>11000</v>
      </c>
      <c r="C27" s="4">
        <v>3</v>
      </c>
      <c r="D27" s="408">
        <v>11005.85</v>
      </c>
    </row>
    <row r="28" spans="1:4" x14ac:dyDescent="0.2">
      <c r="A28" s="234">
        <f t="shared" si="0"/>
        <v>19</v>
      </c>
      <c r="B28" s="49">
        <v>15000</v>
      </c>
      <c r="C28" s="4">
        <v>4</v>
      </c>
      <c r="D28" s="111">
        <f>+D27</f>
        <v>11005.85</v>
      </c>
    </row>
    <row r="29" spans="1:4" x14ac:dyDescent="0.2">
      <c r="A29" s="234">
        <f t="shared" si="0"/>
        <v>20</v>
      </c>
      <c r="B29" s="49">
        <v>16000</v>
      </c>
      <c r="C29" s="4">
        <v>4</v>
      </c>
      <c r="D29" s="408">
        <v>11773.04</v>
      </c>
    </row>
    <row r="30" spans="1:4" x14ac:dyDescent="0.2">
      <c r="A30" s="234">
        <f t="shared" si="0"/>
        <v>21</v>
      </c>
      <c r="B30" s="49">
        <v>18000</v>
      </c>
      <c r="C30" s="4">
        <v>4</v>
      </c>
      <c r="D30" s="111">
        <f>+D29</f>
        <v>11773.04</v>
      </c>
    </row>
    <row r="31" spans="1:4" x14ac:dyDescent="0.2">
      <c r="A31" s="234">
        <f t="shared" si="0"/>
        <v>22</v>
      </c>
      <c r="B31" s="49">
        <v>23000</v>
      </c>
      <c r="C31" s="4">
        <v>4</v>
      </c>
      <c r="D31" s="408">
        <v>16815.95</v>
      </c>
    </row>
    <row r="32" spans="1:4" x14ac:dyDescent="0.2">
      <c r="A32" s="234">
        <f t="shared" si="0"/>
        <v>23</v>
      </c>
      <c r="B32" s="49">
        <v>30000</v>
      </c>
      <c r="C32" s="4">
        <v>4</v>
      </c>
      <c r="D32" s="111">
        <f>+D31</f>
        <v>16815.95</v>
      </c>
    </row>
    <row r="33" spans="1:18" x14ac:dyDescent="0.2">
      <c r="A33" s="234">
        <f t="shared" si="0"/>
        <v>24</v>
      </c>
      <c r="B33" s="49">
        <v>38000</v>
      </c>
      <c r="C33" s="4">
        <v>4</v>
      </c>
      <c r="D33" s="408">
        <v>18916.36</v>
      </c>
    </row>
    <row r="34" spans="1:18" x14ac:dyDescent="0.2">
      <c r="A34" s="234">
        <f t="shared" si="0"/>
        <v>25</v>
      </c>
      <c r="B34" s="49">
        <v>56000</v>
      </c>
      <c r="C34" s="4">
        <v>4</v>
      </c>
      <c r="D34" s="408">
        <v>21382.71</v>
      </c>
      <c r="R34" s="409"/>
    </row>
    <row r="35" spans="1:18" x14ac:dyDescent="0.2">
      <c r="R35" s="409"/>
    </row>
    <row r="36" spans="1:18" x14ac:dyDescent="0.2">
      <c r="A36" s="4" t="s">
        <v>1195</v>
      </c>
      <c r="R36" s="409"/>
    </row>
    <row r="37" spans="1:18" x14ac:dyDescent="0.2">
      <c r="R37" s="409"/>
    </row>
    <row r="38" spans="1:18" ht="15" x14ac:dyDescent="0.2">
      <c r="A38" s="114" t="s">
        <v>662</v>
      </c>
      <c r="R38" s="409"/>
    </row>
    <row r="39" spans="1:18" x14ac:dyDescent="0.2">
      <c r="R39" s="409"/>
    </row>
    <row r="40" spans="1:18" x14ac:dyDescent="0.2">
      <c r="H40" s="13" t="s">
        <v>531</v>
      </c>
      <c r="I40" s="13" t="s">
        <v>532</v>
      </c>
      <c r="J40" s="13"/>
      <c r="P40" s="13"/>
    </row>
    <row r="41" spans="1:18" x14ac:dyDescent="0.2">
      <c r="A41" s="232" t="s">
        <v>24</v>
      </c>
      <c r="B41" s="232" t="s">
        <v>249</v>
      </c>
      <c r="C41" s="232" t="s">
        <v>175</v>
      </c>
      <c r="D41" s="12" t="s">
        <v>534</v>
      </c>
      <c r="E41" s="12" t="s">
        <v>175</v>
      </c>
      <c r="F41" s="12" t="s">
        <v>535</v>
      </c>
      <c r="G41" s="12" t="s">
        <v>1040</v>
      </c>
      <c r="H41" s="12" t="s">
        <v>536</v>
      </c>
      <c r="I41" s="12" t="s">
        <v>536</v>
      </c>
      <c r="J41" s="13"/>
      <c r="P41" s="13"/>
    </row>
    <row r="42" spans="1:18" x14ac:dyDescent="0.2">
      <c r="B42" s="407" t="s">
        <v>26</v>
      </c>
      <c r="C42" s="407" t="s">
        <v>27</v>
      </c>
      <c r="D42" s="407" t="s">
        <v>28</v>
      </c>
      <c r="E42" s="407" t="s">
        <v>29</v>
      </c>
      <c r="F42" s="407" t="s">
        <v>36</v>
      </c>
      <c r="G42" s="407" t="s">
        <v>30</v>
      </c>
      <c r="H42" s="407" t="s">
        <v>31</v>
      </c>
      <c r="I42" s="407" t="s">
        <v>32</v>
      </c>
      <c r="J42" s="13"/>
      <c r="P42" s="13"/>
    </row>
    <row r="43" spans="1:18" x14ac:dyDescent="0.2">
      <c r="D43" s="13"/>
      <c r="E43" s="13"/>
      <c r="F43" s="13"/>
      <c r="G43" s="13"/>
      <c r="H43" s="13"/>
      <c r="I43" s="13"/>
      <c r="J43" s="13"/>
      <c r="P43" s="13"/>
    </row>
    <row r="44" spans="1:18" x14ac:dyDescent="0.2">
      <c r="A44" s="234">
        <f>A34+1</f>
        <v>26</v>
      </c>
      <c r="B44" s="4" t="s">
        <v>434</v>
      </c>
      <c r="C44" s="4" t="s">
        <v>434</v>
      </c>
      <c r="D44" s="4">
        <v>23000</v>
      </c>
      <c r="E44" s="4">
        <f>INDEX('SRC-4 (S.D. Customers)'!$F$9:$F$25,MATCH(B44,'SRC-4 (S.D. Customers)'!$E$9:$E$25,0))</f>
        <v>3</v>
      </c>
      <c r="F44" s="4">
        <f>INDEX(C$10:C$34,MATCH(D44,B$10:B$34))</f>
        <v>4</v>
      </c>
      <c r="G44" s="49">
        <v>12</v>
      </c>
      <c r="H44" s="34">
        <f>INDEX(D$10:D$34,MATCH(D44,B$10:B$34))</f>
        <v>16815.95</v>
      </c>
      <c r="I44" s="34">
        <f>G44*H44</f>
        <v>201791.40000000002</v>
      </c>
      <c r="J44" s="409"/>
      <c r="P44" s="409"/>
    </row>
    <row r="45" spans="1:18" x14ac:dyDescent="0.2">
      <c r="A45" s="234">
        <f>A44+1</f>
        <v>27</v>
      </c>
      <c r="B45" s="4" t="s">
        <v>665</v>
      </c>
      <c r="C45" s="4" t="s">
        <v>665</v>
      </c>
      <c r="D45" s="4">
        <v>3000</v>
      </c>
      <c r="E45" s="4">
        <f>INDEX('SRC-4 (S.D. Customers)'!$F$9:$F$25,MATCH(B45,'SRC-4 (S.D. Customers)'!$E$9:$E$25,0))</f>
        <v>3</v>
      </c>
      <c r="F45" s="4">
        <f t="shared" ref="F45:F108" si="1">INDEX(C$10:C$34,MATCH(D45,B$10:B$34))</f>
        <v>2</v>
      </c>
      <c r="G45" s="49">
        <v>0</v>
      </c>
      <c r="H45" s="34">
        <f t="shared" ref="H45:H75" si="2">INDEX(D$10:D$34,MATCH(D45,B$10:B$34))</f>
        <v>5335.25</v>
      </c>
      <c r="I45" s="34">
        <f t="shared" ref="I45:I78" si="3">G45*H45</f>
        <v>0</v>
      </c>
      <c r="J45" s="409"/>
      <c r="P45" s="409"/>
    </row>
    <row r="46" spans="1:18" x14ac:dyDescent="0.2">
      <c r="A46" s="234">
        <f t="shared" ref="A46:A109" si="4">A45+1</f>
        <v>28</v>
      </c>
      <c r="B46" s="4" t="s">
        <v>665</v>
      </c>
      <c r="C46" s="4" t="s">
        <v>665</v>
      </c>
      <c r="D46" s="4">
        <v>7000</v>
      </c>
      <c r="E46" s="4">
        <f>INDEX('SRC-4 (S.D. Customers)'!$F$9:$F$25,MATCH(B46,'SRC-4 (S.D. Customers)'!$E$9:$E$25,0))</f>
        <v>3</v>
      </c>
      <c r="F46" s="4">
        <f t="shared" si="1"/>
        <v>3</v>
      </c>
      <c r="G46" s="49">
        <v>12</v>
      </c>
      <c r="H46" s="34">
        <f t="shared" si="2"/>
        <v>7207.91</v>
      </c>
      <c r="I46" s="34">
        <f t="shared" si="3"/>
        <v>86494.92</v>
      </c>
      <c r="J46" s="409"/>
      <c r="P46" s="409"/>
    </row>
    <row r="47" spans="1:18" x14ac:dyDescent="0.2">
      <c r="A47" s="234">
        <f t="shared" si="4"/>
        <v>29</v>
      </c>
      <c r="B47" s="4" t="s">
        <v>665</v>
      </c>
      <c r="C47" s="4" t="s">
        <v>665</v>
      </c>
      <c r="D47" s="4">
        <v>11000</v>
      </c>
      <c r="E47" s="4">
        <f>INDEX('SRC-4 (S.D. Customers)'!$F$9:$F$25,MATCH(B47,'SRC-4 (S.D. Customers)'!$E$9:$E$25,0))</f>
        <v>3</v>
      </c>
      <c r="F47" s="4">
        <f t="shared" si="1"/>
        <v>3</v>
      </c>
      <c r="G47" s="49">
        <v>124</v>
      </c>
      <c r="H47" s="34">
        <f t="shared" si="2"/>
        <v>11005.85</v>
      </c>
      <c r="I47" s="34">
        <f t="shared" si="3"/>
        <v>1364725.4000000001</v>
      </c>
      <c r="J47" s="409"/>
      <c r="P47" s="409"/>
    </row>
    <row r="48" spans="1:18" x14ac:dyDescent="0.2">
      <c r="A48" s="234">
        <f t="shared" si="4"/>
        <v>30</v>
      </c>
      <c r="B48" s="4" t="s">
        <v>665</v>
      </c>
      <c r="C48" s="4" t="s">
        <v>665</v>
      </c>
      <c r="D48" s="4">
        <v>16000</v>
      </c>
      <c r="E48" s="4">
        <f>INDEX('SRC-4 (S.D. Customers)'!$F$9:$F$25,MATCH(B48,'SRC-4 (S.D. Customers)'!$E$9:$E$25,0))</f>
        <v>3</v>
      </c>
      <c r="F48" s="4">
        <f t="shared" si="1"/>
        <v>4</v>
      </c>
      <c r="G48" s="49">
        <v>48</v>
      </c>
      <c r="H48" s="34">
        <f t="shared" si="2"/>
        <v>11773.04</v>
      </c>
      <c r="I48" s="34">
        <f t="shared" si="3"/>
        <v>565105.92000000004</v>
      </c>
      <c r="J48" s="409"/>
      <c r="P48" s="409"/>
    </row>
    <row r="49" spans="1:16" x14ac:dyDescent="0.2">
      <c r="A49" s="234">
        <f t="shared" si="4"/>
        <v>31</v>
      </c>
      <c r="B49" s="4" t="s">
        <v>665</v>
      </c>
      <c r="C49" s="4" t="s">
        <v>665</v>
      </c>
      <c r="D49" s="4">
        <v>23000</v>
      </c>
      <c r="E49" s="4">
        <f>INDEX('SRC-4 (S.D. Customers)'!$F$9:$F$25,MATCH(B49,'SRC-4 (S.D. Customers)'!$E$9:$E$25,0))</f>
        <v>3</v>
      </c>
      <c r="F49" s="4">
        <f t="shared" si="1"/>
        <v>4</v>
      </c>
      <c r="G49" s="49">
        <v>23.986000000000001</v>
      </c>
      <c r="H49" s="34">
        <f t="shared" si="2"/>
        <v>16815.95</v>
      </c>
      <c r="I49" s="34">
        <f t="shared" si="3"/>
        <v>403347.37670000002</v>
      </c>
      <c r="J49" s="409"/>
    </row>
    <row r="50" spans="1:16" x14ac:dyDescent="0.2">
      <c r="A50" s="234">
        <f t="shared" si="4"/>
        <v>32</v>
      </c>
      <c r="B50" s="4" t="s">
        <v>665</v>
      </c>
      <c r="C50" s="4" t="s">
        <v>665</v>
      </c>
      <c r="D50" s="4">
        <v>30000</v>
      </c>
      <c r="E50" s="4">
        <f>INDEX('SRC-4 (S.D. Customers)'!$F$9:$F$25,MATCH(B50,'SRC-4 (S.D. Customers)'!$E$9:$E$25,0))</f>
        <v>3</v>
      </c>
      <c r="F50" s="4">
        <f t="shared" si="1"/>
        <v>4</v>
      </c>
      <c r="G50" s="49">
        <v>12</v>
      </c>
      <c r="H50" s="34">
        <f t="shared" si="2"/>
        <v>16815.95</v>
      </c>
      <c r="I50" s="34">
        <f t="shared" si="3"/>
        <v>201791.40000000002</v>
      </c>
      <c r="J50" s="409"/>
      <c r="P50" s="409"/>
    </row>
    <row r="51" spans="1:16" x14ac:dyDescent="0.2">
      <c r="A51" s="234">
        <f t="shared" si="4"/>
        <v>33</v>
      </c>
      <c r="B51" s="4" t="s">
        <v>665</v>
      </c>
      <c r="C51" s="4" t="s">
        <v>665</v>
      </c>
      <c r="D51" s="4">
        <v>38000</v>
      </c>
      <c r="E51" s="4">
        <f>INDEX('SRC-4 (S.D. Customers)'!$F$9:$F$25,MATCH(B51,'SRC-4 (S.D. Customers)'!$E$9:$E$25,0))</f>
        <v>3</v>
      </c>
      <c r="F51" s="4">
        <f t="shared" si="1"/>
        <v>4</v>
      </c>
      <c r="G51" s="49">
        <v>12</v>
      </c>
      <c r="H51" s="34">
        <f t="shared" si="2"/>
        <v>18916.36</v>
      </c>
      <c r="I51" s="34">
        <f t="shared" si="3"/>
        <v>226996.32</v>
      </c>
      <c r="J51" s="409"/>
      <c r="P51" s="409"/>
    </row>
    <row r="52" spans="1:16" x14ac:dyDescent="0.2">
      <c r="A52" s="234">
        <f t="shared" si="4"/>
        <v>34</v>
      </c>
      <c r="B52" s="4" t="s">
        <v>665</v>
      </c>
      <c r="C52" s="4" t="s">
        <v>665</v>
      </c>
      <c r="D52" s="4">
        <v>60000</v>
      </c>
      <c r="E52" s="4">
        <f>INDEX('SRC-4 (S.D. Customers)'!$F$9:$F$25,MATCH(B52,'SRC-4 (S.D. Customers)'!$E$9:$E$25,0))</f>
        <v>3</v>
      </c>
      <c r="F52" s="4">
        <f t="shared" si="1"/>
        <v>4</v>
      </c>
      <c r="G52" s="49">
        <v>12</v>
      </c>
      <c r="H52" s="34">
        <f t="shared" si="2"/>
        <v>21382.71</v>
      </c>
      <c r="I52" s="34">
        <f t="shared" si="3"/>
        <v>256592.52</v>
      </c>
      <c r="J52" s="409"/>
      <c r="P52" s="410"/>
    </row>
    <row r="53" spans="1:16" x14ac:dyDescent="0.2">
      <c r="A53" s="234">
        <f t="shared" si="4"/>
        <v>35</v>
      </c>
      <c r="B53" s="4" t="s">
        <v>438</v>
      </c>
      <c r="C53" s="4" t="s">
        <v>438</v>
      </c>
      <c r="D53" s="4">
        <v>400</v>
      </c>
      <c r="E53" s="4">
        <f>INDEX('SRC-4 (S.D. Customers)'!$F$9:$F$25,MATCH(B53,'SRC-4 (S.D. Customers)'!$E$9:$E$25,0))</f>
        <v>2</v>
      </c>
      <c r="F53" s="4">
        <f t="shared" si="1"/>
        <v>1</v>
      </c>
      <c r="G53" s="49">
        <v>254.13399999999999</v>
      </c>
      <c r="H53" s="34">
        <f t="shared" si="2"/>
        <v>1078.7548999999999</v>
      </c>
      <c r="I53" s="34">
        <f t="shared" si="3"/>
        <v>274148.29775659996</v>
      </c>
      <c r="J53" s="409"/>
      <c r="P53" s="409"/>
    </row>
    <row r="54" spans="1:16" x14ac:dyDescent="0.2">
      <c r="A54" s="234">
        <f t="shared" si="4"/>
        <v>36</v>
      </c>
      <c r="B54" s="4" t="s">
        <v>438</v>
      </c>
      <c r="C54" s="4" t="s">
        <v>438</v>
      </c>
      <c r="D54" s="4">
        <v>402</v>
      </c>
      <c r="E54" s="4">
        <f>INDEX('SRC-4 (S.D. Customers)'!$F$9:$F$25,MATCH(B54,'SRC-4 (S.D. Customers)'!$E$9:$E$25,0))</f>
        <v>2</v>
      </c>
      <c r="F54" s="4">
        <f t="shared" si="1"/>
        <v>1</v>
      </c>
      <c r="G54" s="49">
        <v>116</v>
      </c>
      <c r="H54" s="34">
        <f t="shared" si="2"/>
        <v>1078.7548999999999</v>
      </c>
      <c r="I54" s="34">
        <f t="shared" si="3"/>
        <v>125135.56839999999</v>
      </c>
      <c r="J54" s="409"/>
      <c r="P54" s="409"/>
    </row>
    <row r="55" spans="1:16" x14ac:dyDescent="0.2">
      <c r="A55" s="234">
        <f t="shared" si="4"/>
        <v>37</v>
      </c>
      <c r="B55" s="4" t="s">
        <v>438</v>
      </c>
      <c r="C55" s="4" t="s">
        <v>438</v>
      </c>
      <c r="D55" s="4">
        <v>416</v>
      </c>
      <c r="E55" s="4">
        <f>INDEX('SRC-4 (S.D. Customers)'!$F$9:$F$25,MATCH(B55,'SRC-4 (S.D. Customers)'!$E$9:$E$25,0))</f>
        <v>2</v>
      </c>
      <c r="F55" s="4">
        <f t="shared" si="1"/>
        <v>1</v>
      </c>
      <c r="G55" s="49">
        <v>27.266999999999999</v>
      </c>
      <c r="H55" s="34">
        <f t="shared" si="2"/>
        <v>1078.7548999999999</v>
      </c>
      <c r="I55" s="34">
        <f t="shared" si="3"/>
        <v>29414.409858299998</v>
      </c>
      <c r="J55" s="409"/>
      <c r="P55" s="409"/>
    </row>
    <row r="56" spans="1:16" x14ac:dyDescent="0.2">
      <c r="A56" s="234">
        <f t="shared" si="4"/>
        <v>38</v>
      </c>
      <c r="B56" s="4" t="s">
        <v>438</v>
      </c>
      <c r="C56" s="4" t="s">
        <v>438</v>
      </c>
      <c r="D56" s="4">
        <v>425</v>
      </c>
      <c r="E56" s="4">
        <f>INDEX('SRC-4 (S.D. Customers)'!$F$9:$F$25,MATCH(B56,'SRC-4 (S.D. Customers)'!$E$9:$E$25,0))</f>
        <v>2</v>
      </c>
      <c r="F56" s="4">
        <f t="shared" si="1"/>
        <v>1</v>
      </c>
      <c r="G56" s="49">
        <v>146.46600000000001</v>
      </c>
      <c r="H56" s="34">
        <f t="shared" si="2"/>
        <v>1078.7548999999999</v>
      </c>
      <c r="I56" s="34">
        <f t="shared" si="3"/>
        <v>158000.91518340001</v>
      </c>
      <c r="J56" s="409"/>
      <c r="P56" s="409"/>
    </row>
    <row r="57" spans="1:16" x14ac:dyDescent="0.2">
      <c r="A57" s="234">
        <f t="shared" si="4"/>
        <v>39</v>
      </c>
      <c r="B57" s="4" t="s">
        <v>438</v>
      </c>
      <c r="C57" s="4" t="s">
        <v>438</v>
      </c>
      <c r="D57" s="4">
        <v>630</v>
      </c>
      <c r="E57" s="4">
        <f>INDEX('SRC-4 (S.D. Customers)'!$F$9:$F$25,MATCH(B57,'SRC-4 (S.D. Customers)'!$E$9:$E$25,0))</f>
        <v>2</v>
      </c>
      <c r="F57" s="4">
        <f t="shared" si="1"/>
        <v>1</v>
      </c>
      <c r="G57" s="49">
        <v>168</v>
      </c>
      <c r="H57" s="34">
        <f t="shared" si="2"/>
        <v>2272.0295999999998</v>
      </c>
      <c r="I57" s="34">
        <f t="shared" si="3"/>
        <v>381700.97279999999</v>
      </c>
      <c r="J57" s="409"/>
      <c r="P57" s="409"/>
    </row>
    <row r="58" spans="1:16" x14ac:dyDescent="0.2">
      <c r="A58" s="234">
        <f t="shared" si="4"/>
        <v>40</v>
      </c>
      <c r="B58" s="4" t="s">
        <v>438</v>
      </c>
      <c r="C58" s="4" t="s">
        <v>438</v>
      </c>
      <c r="D58" s="4">
        <v>675</v>
      </c>
      <c r="E58" s="4">
        <f>INDEX('SRC-4 (S.D. Customers)'!$F$9:$F$25,MATCH(B58,'SRC-4 (S.D. Customers)'!$E$9:$E$25,0))</f>
        <v>2</v>
      </c>
      <c r="F58" s="4">
        <f t="shared" si="1"/>
        <v>1</v>
      </c>
      <c r="G58" s="49">
        <v>12</v>
      </c>
      <c r="H58" s="34">
        <f t="shared" si="2"/>
        <v>2272.0295999999998</v>
      </c>
      <c r="I58" s="34">
        <f t="shared" si="3"/>
        <v>27264.355199999998</v>
      </c>
      <c r="J58" s="409"/>
      <c r="P58" s="409"/>
    </row>
    <row r="59" spans="1:16" x14ac:dyDescent="0.2">
      <c r="A59" s="234">
        <f t="shared" si="4"/>
        <v>41</v>
      </c>
      <c r="B59" s="4" t="s">
        <v>438</v>
      </c>
      <c r="C59" s="4" t="s">
        <v>438</v>
      </c>
      <c r="D59" s="4">
        <v>750</v>
      </c>
      <c r="E59" s="4">
        <f>INDEX('SRC-4 (S.D. Customers)'!$F$9:$F$25,MATCH(B59,'SRC-4 (S.D. Customers)'!$E$9:$E$25,0))</f>
        <v>2</v>
      </c>
      <c r="F59" s="4">
        <f t="shared" si="1"/>
        <v>1</v>
      </c>
      <c r="G59" s="49">
        <v>36</v>
      </c>
      <c r="H59" s="34">
        <f t="shared" si="2"/>
        <v>2272.0295999999998</v>
      </c>
      <c r="I59" s="34">
        <f t="shared" si="3"/>
        <v>81793.065600000002</v>
      </c>
      <c r="J59" s="409"/>
      <c r="P59" s="409"/>
    </row>
    <row r="60" spans="1:16" x14ac:dyDescent="0.2">
      <c r="A60" s="234">
        <f t="shared" si="4"/>
        <v>42</v>
      </c>
      <c r="B60" s="4" t="s">
        <v>438</v>
      </c>
      <c r="C60" s="4" t="s">
        <v>438</v>
      </c>
      <c r="D60" s="4">
        <v>800</v>
      </c>
      <c r="E60" s="4">
        <f>INDEX('SRC-4 (S.D. Customers)'!$F$9:$F$25,MATCH(B60,'SRC-4 (S.D. Customers)'!$E$9:$E$25,0))</f>
        <v>2</v>
      </c>
      <c r="F60" s="4">
        <f t="shared" si="1"/>
        <v>2</v>
      </c>
      <c r="G60" s="49">
        <v>64.2</v>
      </c>
      <c r="H60" s="34">
        <f t="shared" si="2"/>
        <v>2272.0295999999998</v>
      </c>
      <c r="I60" s="34">
        <f t="shared" si="3"/>
        <v>145864.30032000001</v>
      </c>
      <c r="J60" s="409"/>
      <c r="P60" s="409"/>
    </row>
    <row r="61" spans="1:16" x14ac:dyDescent="0.2">
      <c r="A61" s="234">
        <f t="shared" si="4"/>
        <v>43</v>
      </c>
      <c r="B61" s="4" t="s">
        <v>438</v>
      </c>
      <c r="C61" s="4" t="s">
        <v>438</v>
      </c>
      <c r="D61" s="4">
        <v>998</v>
      </c>
      <c r="E61" s="4">
        <f>INDEX('SRC-4 (S.D. Customers)'!$F$9:$F$25,MATCH(B61,'SRC-4 (S.D. Customers)'!$E$9:$E$25,0))</f>
        <v>2</v>
      </c>
      <c r="F61" s="4">
        <f t="shared" si="1"/>
        <v>2</v>
      </c>
      <c r="G61" s="49">
        <v>463</v>
      </c>
      <c r="H61" s="34">
        <f t="shared" si="2"/>
        <v>2272.0295999999998</v>
      </c>
      <c r="I61" s="34">
        <f t="shared" si="3"/>
        <v>1051949.7047999999</v>
      </c>
      <c r="J61" s="409"/>
      <c r="P61" s="409"/>
    </row>
    <row r="62" spans="1:16" x14ac:dyDescent="0.2">
      <c r="A62" s="234">
        <f t="shared" si="4"/>
        <v>44</v>
      </c>
      <c r="B62" s="4" t="s">
        <v>438</v>
      </c>
      <c r="C62" s="4" t="s">
        <v>438</v>
      </c>
      <c r="D62" s="4">
        <v>1000</v>
      </c>
      <c r="E62" s="4">
        <f>INDEX('SRC-4 (S.D. Customers)'!$F$9:$F$25,MATCH(B62,'SRC-4 (S.D. Customers)'!$E$9:$E$25,0))</f>
        <v>2</v>
      </c>
      <c r="F62" s="4">
        <f t="shared" si="1"/>
        <v>2</v>
      </c>
      <c r="G62" s="49">
        <v>352.63299999999998</v>
      </c>
      <c r="H62" s="34">
        <f t="shared" si="2"/>
        <v>1802.2083000000002</v>
      </c>
      <c r="I62" s="34">
        <f t="shared" si="3"/>
        <v>635518.11945390003</v>
      </c>
      <c r="J62" s="409"/>
      <c r="P62" s="409"/>
    </row>
    <row r="63" spans="1:16" x14ac:dyDescent="0.2">
      <c r="A63" s="234">
        <f t="shared" si="4"/>
        <v>45</v>
      </c>
      <c r="B63" s="4" t="s">
        <v>438</v>
      </c>
      <c r="C63" s="4" t="s">
        <v>438</v>
      </c>
      <c r="D63" s="4">
        <v>1400</v>
      </c>
      <c r="E63" s="4">
        <f>INDEX('SRC-4 (S.D. Customers)'!$F$9:$F$25,MATCH(B63,'SRC-4 (S.D. Customers)'!$E$9:$E$25,0))</f>
        <v>2</v>
      </c>
      <c r="F63" s="4">
        <f t="shared" si="1"/>
        <v>2</v>
      </c>
      <c r="G63" s="49">
        <v>29</v>
      </c>
      <c r="H63" s="34">
        <f t="shared" si="2"/>
        <v>1802.2083000000002</v>
      </c>
      <c r="I63" s="34">
        <f t="shared" si="3"/>
        <v>52264.040700000005</v>
      </c>
      <c r="J63" s="409"/>
      <c r="P63" s="409"/>
    </row>
    <row r="64" spans="1:16" x14ac:dyDescent="0.2">
      <c r="A64" s="234">
        <f t="shared" si="4"/>
        <v>46</v>
      </c>
      <c r="B64" s="4" t="s">
        <v>438</v>
      </c>
      <c r="C64" s="4" t="s">
        <v>438</v>
      </c>
      <c r="D64" s="4">
        <v>1500</v>
      </c>
      <c r="E64" s="4">
        <f>INDEX('SRC-4 (S.D. Customers)'!$F$9:$F$25,MATCH(B64,'SRC-4 (S.D. Customers)'!$E$9:$E$25,0))</f>
        <v>2</v>
      </c>
      <c r="F64" s="4">
        <f t="shared" si="1"/>
        <v>2</v>
      </c>
      <c r="G64" s="49">
        <v>36</v>
      </c>
      <c r="H64" s="34">
        <f t="shared" si="2"/>
        <v>1802.2083000000002</v>
      </c>
      <c r="I64" s="34">
        <f t="shared" si="3"/>
        <v>64879.498800000008</v>
      </c>
      <c r="J64" s="409"/>
      <c r="P64" s="409"/>
    </row>
    <row r="65" spans="1:16" x14ac:dyDescent="0.2">
      <c r="A65" s="234">
        <f t="shared" si="4"/>
        <v>47</v>
      </c>
      <c r="B65" s="4" t="s">
        <v>438</v>
      </c>
      <c r="C65" s="4" t="s">
        <v>438</v>
      </c>
      <c r="D65" s="4">
        <v>2300</v>
      </c>
      <c r="E65" s="4">
        <f>INDEX('SRC-4 (S.D. Customers)'!$F$9:$F$25,MATCH(B65,'SRC-4 (S.D. Customers)'!$E$9:$E$25,0))</f>
        <v>2</v>
      </c>
      <c r="F65" s="4">
        <f t="shared" si="1"/>
        <v>2</v>
      </c>
      <c r="G65" s="49">
        <v>23.832999999999998</v>
      </c>
      <c r="H65" s="34">
        <f t="shared" si="2"/>
        <v>1802.2083000000002</v>
      </c>
      <c r="I65" s="34">
        <f t="shared" si="3"/>
        <v>42952.0304139</v>
      </c>
      <c r="J65" s="409"/>
      <c r="P65" s="409"/>
    </row>
    <row r="66" spans="1:16" x14ac:dyDescent="0.2">
      <c r="A66" s="234">
        <f t="shared" si="4"/>
        <v>48</v>
      </c>
      <c r="B66" s="4" t="s">
        <v>438</v>
      </c>
      <c r="C66" s="4" t="s">
        <v>438</v>
      </c>
      <c r="D66" s="4">
        <v>3000</v>
      </c>
      <c r="E66" s="4">
        <f>INDEX('SRC-4 (S.D. Customers)'!$F$9:$F$25,MATCH(B66,'SRC-4 (S.D. Customers)'!$E$9:$E$25,0))</f>
        <v>2</v>
      </c>
      <c r="F66" s="4">
        <f t="shared" si="1"/>
        <v>2</v>
      </c>
      <c r="G66" s="49">
        <v>1070.6670000000001</v>
      </c>
      <c r="H66" s="34">
        <f t="shared" si="2"/>
        <v>5335.25</v>
      </c>
      <c r="I66" s="34">
        <f t="shared" si="3"/>
        <v>5712276.1117500011</v>
      </c>
      <c r="J66" s="409"/>
      <c r="P66" s="409"/>
    </row>
    <row r="67" spans="1:16" x14ac:dyDescent="0.2">
      <c r="A67" s="234">
        <f t="shared" si="4"/>
        <v>49</v>
      </c>
      <c r="B67" s="4" t="s">
        <v>438</v>
      </c>
      <c r="C67" s="4" t="s">
        <v>438</v>
      </c>
      <c r="D67" s="4">
        <v>5000</v>
      </c>
      <c r="E67" s="4">
        <f>INDEX('SRC-4 (S.D. Customers)'!$F$9:$F$25,MATCH(B67,'SRC-4 (S.D. Customers)'!$E$9:$E$25,0))</f>
        <v>2</v>
      </c>
      <c r="F67" s="4">
        <f t="shared" si="1"/>
        <v>3</v>
      </c>
      <c r="G67" s="49">
        <v>804.86599999999999</v>
      </c>
      <c r="H67" s="34">
        <f t="shared" si="2"/>
        <v>7207.91</v>
      </c>
      <c r="I67" s="34">
        <f t="shared" si="3"/>
        <v>5801401.6900599999</v>
      </c>
      <c r="J67" s="409"/>
      <c r="P67" s="409"/>
    </row>
    <row r="68" spans="1:16" x14ac:dyDescent="0.2">
      <c r="A68" s="234">
        <f t="shared" si="4"/>
        <v>50</v>
      </c>
      <c r="B68" s="4" t="s">
        <v>438</v>
      </c>
      <c r="C68" s="4" t="s">
        <v>438</v>
      </c>
      <c r="D68" s="4">
        <v>7000</v>
      </c>
      <c r="E68" s="4">
        <f>INDEX('SRC-4 (S.D. Customers)'!$F$9:$F$25,MATCH(B68,'SRC-4 (S.D. Customers)'!$E$9:$E$25,0))</f>
        <v>2</v>
      </c>
      <c r="F68" s="4">
        <f t="shared" si="1"/>
        <v>3</v>
      </c>
      <c r="G68" s="49">
        <v>641.23299999999995</v>
      </c>
      <c r="H68" s="34">
        <f t="shared" si="2"/>
        <v>7207.91</v>
      </c>
      <c r="I68" s="34">
        <f t="shared" si="3"/>
        <v>4621949.7530299993</v>
      </c>
      <c r="J68" s="409"/>
      <c r="P68" s="409"/>
    </row>
    <row r="69" spans="1:16" x14ac:dyDescent="0.2">
      <c r="A69" s="234">
        <f t="shared" si="4"/>
        <v>51</v>
      </c>
      <c r="B69" s="4" t="s">
        <v>438</v>
      </c>
      <c r="C69" s="4" t="s">
        <v>438</v>
      </c>
      <c r="D69" s="4">
        <v>11000</v>
      </c>
      <c r="E69" s="4">
        <f>INDEX('SRC-4 (S.D. Customers)'!$F$9:$F$25,MATCH(B69,'SRC-4 (S.D. Customers)'!$E$9:$E$25,0))</f>
        <v>2</v>
      </c>
      <c r="F69" s="4">
        <f t="shared" si="1"/>
        <v>3</v>
      </c>
      <c r="G69" s="49">
        <v>287.86699999999996</v>
      </c>
      <c r="H69" s="34">
        <f t="shared" si="2"/>
        <v>11005.85</v>
      </c>
      <c r="I69" s="34">
        <f t="shared" si="3"/>
        <v>3168221.0219499995</v>
      </c>
      <c r="J69" s="409"/>
      <c r="P69" s="409"/>
    </row>
    <row r="70" spans="1:16" x14ac:dyDescent="0.2">
      <c r="A70" s="234">
        <f t="shared" si="4"/>
        <v>52</v>
      </c>
      <c r="B70" s="4" t="s">
        <v>438</v>
      </c>
      <c r="C70" s="4" t="s">
        <v>438</v>
      </c>
      <c r="D70" s="4">
        <v>16000</v>
      </c>
      <c r="E70" s="4">
        <f>INDEX('SRC-4 (S.D. Customers)'!$F$9:$F$25,MATCH(B70,'SRC-4 (S.D. Customers)'!$E$9:$E$25,0))</f>
        <v>2</v>
      </c>
      <c r="F70" s="4">
        <f t="shared" si="1"/>
        <v>4</v>
      </c>
      <c r="G70" s="49">
        <v>71</v>
      </c>
      <c r="H70" s="34">
        <f t="shared" si="2"/>
        <v>11773.04</v>
      </c>
      <c r="I70" s="34">
        <f t="shared" si="3"/>
        <v>835885.84000000008</v>
      </c>
      <c r="J70" s="409"/>
      <c r="P70" s="409"/>
    </row>
    <row r="71" spans="1:16" x14ac:dyDescent="0.2">
      <c r="A71" s="234">
        <f t="shared" si="4"/>
        <v>53</v>
      </c>
      <c r="B71" s="4" t="s">
        <v>666</v>
      </c>
      <c r="C71" s="4" t="s">
        <v>666</v>
      </c>
      <c r="D71" s="4">
        <v>200</v>
      </c>
      <c r="E71" s="4">
        <f>INDEX('SRC-4 (S.D. Customers)'!$F$9:$F$25,MATCH(B71,'SRC-4 (S.D. Customers)'!$E$9:$E$25,0))</f>
        <v>2</v>
      </c>
      <c r="F71" s="4">
        <f t="shared" si="1"/>
        <v>1</v>
      </c>
      <c r="G71" s="49">
        <v>608.63299999999992</v>
      </c>
      <c r="H71" s="34">
        <f t="shared" si="2"/>
        <v>326.55</v>
      </c>
      <c r="I71" s="34">
        <f t="shared" si="3"/>
        <v>198749.10614999998</v>
      </c>
      <c r="J71" s="409"/>
      <c r="P71" s="409"/>
    </row>
    <row r="72" spans="1:16" x14ac:dyDescent="0.2">
      <c r="A72" s="234">
        <f t="shared" si="4"/>
        <v>54</v>
      </c>
      <c r="B72" s="4" t="s">
        <v>666</v>
      </c>
      <c r="C72" s="4" t="s">
        <v>666</v>
      </c>
      <c r="D72" s="4">
        <v>250</v>
      </c>
      <c r="E72" s="4">
        <f>INDEX('SRC-4 (S.D. Customers)'!$F$9:$F$25,MATCH(B72,'SRC-4 (S.D. Customers)'!$E$9:$E$25,0))</f>
        <v>2</v>
      </c>
      <c r="F72" s="4">
        <f t="shared" si="1"/>
        <v>1</v>
      </c>
      <c r="G72" s="49">
        <v>226.733</v>
      </c>
      <c r="H72" s="34">
        <f t="shared" si="2"/>
        <v>326.55</v>
      </c>
      <c r="I72" s="34">
        <f t="shared" si="3"/>
        <v>74039.66115</v>
      </c>
      <c r="J72" s="409"/>
      <c r="P72" s="409"/>
    </row>
    <row r="73" spans="1:16" x14ac:dyDescent="0.2">
      <c r="A73" s="234">
        <f t="shared" si="4"/>
        <v>55</v>
      </c>
      <c r="B73" s="4" t="s">
        <v>666</v>
      </c>
      <c r="C73" s="4" t="s">
        <v>666</v>
      </c>
      <c r="D73" s="4">
        <v>250</v>
      </c>
      <c r="E73" s="4">
        <f>INDEX('SRC-4 (S.D. Customers)'!$F$9:$F$25,MATCH(B73,'SRC-4 (S.D. Customers)'!$E$9:$E$25,0))</f>
        <v>2</v>
      </c>
      <c r="F73" s="4">
        <f t="shared" si="1"/>
        <v>1</v>
      </c>
      <c r="G73" s="49">
        <v>0</v>
      </c>
      <c r="H73" s="34">
        <f t="shared" si="2"/>
        <v>326.55</v>
      </c>
      <c r="I73" s="34">
        <f t="shared" si="3"/>
        <v>0</v>
      </c>
      <c r="J73" s="409"/>
      <c r="P73" s="409"/>
    </row>
    <row r="74" spans="1:16" x14ac:dyDescent="0.2">
      <c r="A74" s="234">
        <f t="shared" si="4"/>
        <v>56</v>
      </c>
      <c r="B74" s="4" t="s">
        <v>666</v>
      </c>
      <c r="C74" s="4" t="s">
        <v>666</v>
      </c>
      <c r="D74" s="4">
        <v>275</v>
      </c>
      <c r="E74" s="4">
        <f>INDEX('SRC-4 (S.D. Customers)'!$F$9:$F$25,MATCH(B74,'SRC-4 (S.D. Customers)'!$E$9:$E$25,0))</f>
        <v>2</v>
      </c>
      <c r="F74" s="4">
        <f t="shared" si="1"/>
        <v>1</v>
      </c>
      <c r="G74" s="49">
        <v>16.033000000000001</v>
      </c>
      <c r="H74" s="34">
        <f t="shared" si="2"/>
        <v>326.55</v>
      </c>
      <c r="I74" s="34">
        <f t="shared" si="3"/>
        <v>5235.5761500000008</v>
      </c>
      <c r="J74" s="409"/>
    </row>
    <row r="75" spans="1:16" x14ac:dyDescent="0.2">
      <c r="A75" s="234">
        <f t="shared" si="4"/>
        <v>57</v>
      </c>
      <c r="B75" s="4" t="s">
        <v>666</v>
      </c>
      <c r="C75" s="4" t="s">
        <v>666</v>
      </c>
      <c r="D75" s="4">
        <v>400</v>
      </c>
      <c r="E75" s="4">
        <f>INDEX('SRC-4 (S.D. Customers)'!$F$9:$F$25,MATCH(B75,'SRC-4 (S.D. Customers)'!$E$9:$E$25,0))</f>
        <v>2</v>
      </c>
      <c r="F75" s="4">
        <f t="shared" si="1"/>
        <v>1</v>
      </c>
      <c r="G75" s="49">
        <v>12.032999999999999</v>
      </c>
      <c r="H75" s="34">
        <f t="shared" si="2"/>
        <v>1078.7548999999999</v>
      </c>
      <c r="I75" s="34">
        <f t="shared" si="3"/>
        <v>12980.657711699998</v>
      </c>
      <c r="J75" s="409"/>
      <c r="P75" s="409"/>
    </row>
    <row r="76" spans="1:16" x14ac:dyDescent="0.2">
      <c r="A76" s="234">
        <f t="shared" si="4"/>
        <v>58</v>
      </c>
      <c r="B76" s="4" t="s">
        <v>666</v>
      </c>
      <c r="C76" s="4" t="s">
        <v>666</v>
      </c>
      <c r="D76" s="4">
        <v>402</v>
      </c>
      <c r="E76" s="4">
        <f>INDEX('SRC-4 (S.D. Customers)'!$F$9:$F$25,MATCH(B76,'SRC-4 (S.D. Customers)'!$E$9:$E$25,0))</f>
        <v>2</v>
      </c>
      <c r="F76" s="4">
        <f t="shared" si="1"/>
        <v>1</v>
      </c>
      <c r="G76" s="49">
        <v>618.29900000000009</v>
      </c>
      <c r="H76" s="34">
        <f t="shared" ref="H76:H107" si="5">INDEX(D$10:D$34,MATCH(D76,B$10:B$34))</f>
        <v>1078.7548999999999</v>
      </c>
      <c r="I76" s="34">
        <f t="shared" si="3"/>
        <v>666993.07591510005</v>
      </c>
      <c r="J76" s="409"/>
      <c r="K76" s="409"/>
      <c r="L76" s="409"/>
      <c r="M76" s="409"/>
      <c r="N76" s="409"/>
      <c r="O76" s="409"/>
      <c r="P76" s="409"/>
    </row>
    <row r="77" spans="1:16" x14ac:dyDescent="0.2">
      <c r="A77" s="234">
        <f t="shared" si="4"/>
        <v>59</v>
      </c>
      <c r="B77" s="4" t="s">
        <v>666</v>
      </c>
      <c r="C77" s="4" t="s">
        <v>666</v>
      </c>
      <c r="D77" s="4">
        <v>402</v>
      </c>
      <c r="E77" s="4">
        <f>INDEX('SRC-4 (S.D. Customers)'!$F$9:$F$25,MATCH(B77,'SRC-4 (S.D. Customers)'!$E$9:$E$25,0))</f>
        <v>2</v>
      </c>
      <c r="F77" s="4">
        <f t="shared" si="1"/>
        <v>1</v>
      </c>
      <c r="G77" s="49">
        <v>0</v>
      </c>
      <c r="H77" s="34">
        <f t="shared" si="5"/>
        <v>1078.7548999999999</v>
      </c>
      <c r="I77" s="34">
        <f t="shared" si="3"/>
        <v>0</v>
      </c>
      <c r="J77" s="409"/>
      <c r="K77" s="409"/>
      <c r="L77" s="409"/>
      <c r="M77" s="409"/>
      <c r="N77" s="409"/>
      <c r="O77" s="409"/>
      <c r="P77" s="409"/>
    </row>
    <row r="78" spans="1:16" x14ac:dyDescent="0.2">
      <c r="A78" s="234">
        <f t="shared" si="4"/>
        <v>60</v>
      </c>
      <c r="B78" s="4" t="s">
        <v>666</v>
      </c>
      <c r="C78" s="4" t="s">
        <v>666</v>
      </c>
      <c r="D78" s="4">
        <v>415</v>
      </c>
      <c r="E78" s="4">
        <f>INDEX('SRC-4 (S.D. Customers)'!$F$9:$F$25,MATCH(B78,'SRC-4 (S.D. Customers)'!$E$9:$E$25,0))</f>
        <v>2</v>
      </c>
      <c r="F78" s="4">
        <f t="shared" si="1"/>
        <v>1</v>
      </c>
      <c r="G78" s="49">
        <v>35.933</v>
      </c>
      <c r="H78" s="34">
        <f t="shared" si="5"/>
        <v>1078.7548999999999</v>
      </c>
      <c r="I78" s="34">
        <f t="shared" si="3"/>
        <v>38762.899821699997</v>
      </c>
      <c r="J78" s="409"/>
      <c r="K78" s="409"/>
      <c r="L78" s="409"/>
      <c r="M78" s="409"/>
      <c r="N78" s="409"/>
      <c r="O78" s="409"/>
      <c r="P78" s="409"/>
    </row>
    <row r="79" spans="1:16" x14ac:dyDescent="0.2">
      <c r="A79" s="234">
        <f t="shared" si="4"/>
        <v>61</v>
      </c>
      <c r="B79" s="4" t="s">
        <v>666</v>
      </c>
      <c r="C79" s="4" t="s">
        <v>666</v>
      </c>
      <c r="D79" s="4">
        <v>416</v>
      </c>
      <c r="E79" s="4">
        <f>INDEX('SRC-4 (S.D. Customers)'!$F$9:$F$25,MATCH(B79,'SRC-4 (S.D. Customers)'!$E$9:$E$25,0))</f>
        <v>2</v>
      </c>
      <c r="F79" s="4">
        <f t="shared" si="1"/>
        <v>1</v>
      </c>
      <c r="G79" s="49">
        <v>55.666000000000004</v>
      </c>
      <c r="H79" s="34">
        <f t="shared" si="5"/>
        <v>1078.7548999999999</v>
      </c>
      <c r="I79" s="34">
        <f t="shared" ref="I79:I110" si="6">G79*H79</f>
        <v>60049.970263399999</v>
      </c>
      <c r="J79" s="409"/>
      <c r="K79" s="409"/>
      <c r="L79" s="409"/>
      <c r="M79" s="409"/>
      <c r="N79" s="409"/>
      <c r="O79" s="409"/>
      <c r="P79" s="409"/>
    </row>
    <row r="80" spans="1:16" x14ac:dyDescent="0.2">
      <c r="A80" s="234">
        <f t="shared" si="4"/>
        <v>62</v>
      </c>
      <c r="B80" s="4" t="s">
        <v>666</v>
      </c>
      <c r="C80" s="4" t="s">
        <v>666</v>
      </c>
      <c r="D80" s="4">
        <v>425</v>
      </c>
      <c r="E80" s="4">
        <f>INDEX('SRC-4 (S.D. Customers)'!$F$9:$F$25,MATCH(B80,'SRC-4 (S.D. Customers)'!$E$9:$E$25,0))</f>
        <v>2</v>
      </c>
      <c r="F80" s="4">
        <f t="shared" si="1"/>
        <v>1</v>
      </c>
      <c r="G80" s="49">
        <v>1813.663</v>
      </c>
      <c r="H80" s="34">
        <f t="shared" si="5"/>
        <v>1078.7548999999999</v>
      </c>
      <c r="I80" s="34">
        <f t="shared" si="6"/>
        <v>1956497.8481986998</v>
      </c>
      <c r="J80" s="409"/>
      <c r="K80" s="409"/>
      <c r="L80" s="409"/>
      <c r="M80" s="409"/>
      <c r="N80" s="409"/>
      <c r="O80" s="409"/>
      <c r="P80" s="409"/>
    </row>
    <row r="81" spans="1:16" x14ac:dyDescent="0.2">
      <c r="A81" s="234">
        <f t="shared" si="4"/>
        <v>63</v>
      </c>
      <c r="B81" s="4" t="s">
        <v>666</v>
      </c>
      <c r="C81" s="4" t="s">
        <v>666</v>
      </c>
      <c r="D81" s="4">
        <v>425</v>
      </c>
      <c r="E81" s="4">
        <f>INDEX('SRC-4 (S.D. Customers)'!$F$9:$F$25,MATCH(B81,'SRC-4 (S.D. Customers)'!$E$9:$E$25,0))</f>
        <v>2</v>
      </c>
      <c r="F81" s="4">
        <f t="shared" si="1"/>
        <v>1</v>
      </c>
      <c r="G81" s="49">
        <v>0</v>
      </c>
      <c r="H81" s="34">
        <f t="shared" si="5"/>
        <v>1078.7548999999999</v>
      </c>
      <c r="I81" s="34">
        <f t="shared" si="6"/>
        <v>0</v>
      </c>
      <c r="J81" s="409"/>
      <c r="K81" s="409"/>
      <c r="L81" s="409"/>
      <c r="M81" s="409"/>
      <c r="N81" s="409"/>
      <c r="O81" s="409"/>
      <c r="P81" s="409"/>
    </row>
    <row r="82" spans="1:16" x14ac:dyDescent="0.2">
      <c r="A82" s="234">
        <f t="shared" si="4"/>
        <v>64</v>
      </c>
      <c r="B82" s="4" t="s">
        <v>666</v>
      </c>
      <c r="C82" s="4" t="s">
        <v>666</v>
      </c>
      <c r="D82" s="4">
        <v>630</v>
      </c>
      <c r="E82" s="4">
        <f>INDEX('SRC-4 (S.D. Customers)'!$F$9:$F$25,MATCH(B82,'SRC-4 (S.D. Customers)'!$E$9:$E$25,0))</f>
        <v>2</v>
      </c>
      <c r="F82" s="4">
        <f t="shared" si="1"/>
        <v>1</v>
      </c>
      <c r="G82" s="49">
        <v>2236.2669999999998</v>
      </c>
      <c r="H82" s="34">
        <f t="shared" si="5"/>
        <v>2272.0295999999998</v>
      </c>
      <c r="I82" s="34">
        <f t="shared" si="6"/>
        <v>5080864.817503199</v>
      </c>
      <c r="J82" s="409"/>
      <c r="K82" s="409"/>
      <c r="L82" s="409"/>
      <c r="M82" s="409"/>
      <c r="N82" s="409"/>
      <c r="O82" s="409"/>
      <c r="P82" s="409"/>
    </row>
    <row r="83" spans="1:16" x14ac:dyDescent="0.2">
      <c r="A83" s="234">
        <f t="shared" si="4"/>
        <v>65</v>
      </c>
      <c r="B83" s="4" t="s">
        <v>666</v>
      </c>
      <c r="C83" s="4" t="s">
        <v>666</v>
      </c>
      <c r="D83" s="4">
        <v>630</v>
      </c>
      <c r="E83" s="4">
        <f>INDEX('SRC-4 (S.D. Customers)'!$F$9:$F$25,MATCH(B83,'SRC-4 (S.D. Customers)'!$E$9:$E$25,0))</f>
        <v>2</v>
      </c>
      <c r="F83" s="4">
        <f t="shared" si="1"/>
        <v>1</v>
      </c>
      <c r="G83" s="49">
        <v>0</v>
      </c>
      <c r="H83" s="34">
        <f t="shared" si="5"/>
        <v>2272.0295999999998</v>
      </c>
      <c r="I83" s="34">
        <f t="shared" si="6"/>
        <v>0</v>
      </c>
      <c r="J83" s="409"/>
      <c r="K83" s="409"/>
      <c r="L83" s="409"/>
      <c r="M83" s="409"/>
      <c r="N83" s="409"/>
      <c r="O83" s="409"/>
      <c r="P83" s="409"/>
    </row>
    <row r="84" spans="1:16" x14ac:dyDescent="0.2">
      <c r="A84" s="234">
        <f t="shared" si="4"/>
        <v>66</v>
      </c>
      <c r="B84" s="4" t="s">
        <v>666</v>
      </c>
      <c r="C84" s="4" t="s">
        <v>666</v>
      </c>
      <c r="D84" s="4">
        <v>675</v>
      </c>
      <c r="E84" s="4">
        <f>INDEX('SRC-4 (S.D. Customers)'!$F$9:$F$25,MATCH(B84,'SRC-4 (S.D. Customers)'!$E$9:$E$25,0))</f>
        <v>2</v>
      </c>
      <c r="F84" s="4">
        <f t="shared" si="1"/>
        <v>1</v>
      </c>
      <c r="G84" s="49">
        <v>168.59900000000002</v>
      </c>
      <c r="H84" s="34">
        <f t="shared" si="5"/>
        <v>2272.0295999999998</v>
      </c>
      <c r="I84" s="34">
        <f t="shared" si="6"/>
        <v>383061.91853040003</v>
      </c>
      <c r="J84" s="409"/>
      <c r="K84" s="409"/>
      <c r="L84" s="409"/>
      <c r="M84" s="409"/>
      <c r="N84" s="409"/>
      <c r="O84" s="409"/>
      <c r="P84" s="409"/>
    </row>
    <row r="85" spans="1:16" x14ac:dyDescent="0.2">
      <c r="A85" s="234">
        <f t="shared" si="4"/>
        <v>67</v>
      </c>
      <c r="B85" s="4" t="s">
        <v>666</v>
      </c>
      <c r="C85" s="4" t="s">
        <v>666</v>
      </c>
      <c r="D85" s="4">
        <v>750</v>
      </c>
      <c r="E85" s="4">
        <f>INDEX('SRC-4 (S.D. Customers)'!$F$9:$F$25,MATCH(B85,'SRC-4 (S.D. Customers)'!$E$9:$E$25,0))</f>
        <v>2</v>
      </c>
      <c r="F85" s="4">
        <f t="shared" si="1"/>
        <v>1</v>
      </c>
      <c r="G85" s="49">
        <v>724.83299999999997</v>
      </c>
      <c r="H85" s="34">
        <f t="shared" si="5"/>
        <v>2272.0295999999998</v>
      </c>
      <c r="I85" s="34">
        <f t="shared" si="6"/>
        <v>1646842.0310567999</v>
      </c>
      <c r="J85" s="409"/>
      <c r="K85" s="409"/>
      <c r="L85" s="409"/>
      <c r="M85" s="409"/>
      <c r="N85" s="409"/>
      <c r="O85" s="409"/>
      <c r="P85" s="409"/>
    </row>
    <row r="86" spans="1:16" x14ac:dyDescent="0.2">
      <c r="A86" s="234">
        <f t="shared" si="4"/>
        <v>68</v>
      </c>
      <c r="B86" s="4" t="s">
        <v>666</v>
      </c>
      <c r="C86" s="4" t="s">
        <v>666</v>
      </c>
      <c r="D86" s="4">
        <v>800</v>
      </c>
      <c r="E86" s="4">
        <f>INDEX('SRC-4 (S.D. Customers)'!$F$9:$F$25,MATCH(B86,'SRC-4 (S.D. Customers)'!$E$9:$E$25,0))</f>
        <v>2</v>
      </c>
      <c r="F86" s="4">
        <f t="shared" si="1"/>
        <v>2</v>
      </c>
      <c r="G86" s="49">
        <v>1266.5340000000001</v>
      </c>
      <c r="H86" s="34">
        <f t="shared" si="5"/>
        <v>2272.0295999999998</v>
      </c>
      <c r="I86" s="34">
        <f t="shared" si="6"/>
        <v>2877602.7374064</v>
      </c>
      <c r="J86" s="409"/>
      <c r="K86" s="409"/>
      <c r="L86" s="409"/>
      <c r="M86" s="409"/>
      <c r="N86" s="409"/>
      <c r="O86" s="409"/>
      <c r="P86" s="409"/>
    </row>
    <row r="87" spans="1:16" x14ac:dyDescent="0.2">
      <c r="A87" s="234">
        <f t="shared" si="4"/>
        <v>69</v>
      </c>
      <c r="B87" s="4" t="s">
        <v>666</v>
      </c>
      <c r="C87" s="4" t="s">
        <v>666</v>
      </c>
      <c r="D87" s="4">
        <v>998</v>
      </c>
      <c r="E87" s="4">
        <f>INDEX('SRC-4 (S.D. Customers)'!$F$9:$F$25,MATCH(B87,'SRC-4 (S.D. Customers)'!$E$9:$E$25,0))</f>
        <v>2</v>
      </c>
      <c r="F87" s="4">
        <f t="shared" si="1"/>
        <v>2</v>
      </c>
      <c r="G87" s="49">
        <v>2631.498</v>
      </c>
      <c r="H87" s="34">
        <f t="shared" si="5"/>
        <v>2272.0295999999998</v>
      </c>
      <c r="I87" s="34">
        <f t="shared" si="6"/>
        <v>5978841.3483408</v>
      </c>
      <c r="J87" s="409"/>
      <c r="K87" s="409"/>
      <c r="L87" s="409"/>
      <c r="M87" s="409"/>
      <c r="N87" s="409"/>
      <c r="O87" s="409"/>
      <c r="P87" s="409"/>
    </row>
    <row r="88" spans="1:16" x14ac:dyDescent="0.2">
      <c r="A88" s="234">
        <f t="shared" si="4"/>
        <v>70</v>
      </c>
      <c r="B88" s="4" t="s">
        <v>666</v>
      </c>
      <c r="C88" s="4" t="s">
        <v>666</v>
      </c>
      <c r="D88" s="4">
        <v>1000</v>
      </c>
      <c r="E88" s="4">
        <f>INDEX('SRC-4 (S.D. Customers)'!$F$9:$F$25,MATCH(B88,'SRC-4 (S.D. Customers)'!$E$9:$E$25,0))</f>
        <v>2</v>
      </c>
      <c r="F88" s="4">
        <f t="shared" si="1"/>
        <v>2</v>
      </c>
      <c r="G88" s="49">
        <v>3064.4989999999998</v>
      </c>
      <c r="H88" s="34">
        <f t="shared" si="5"/>
        <v>1802.2083000000002</v>
      </c>
      <c r="I88" s="34">
        <f t="shared" si="6"/>
        <v>5522865.5331417006</v>
      </c>
      <c r="J88" s="409"/>
      <c r="K88" s="409"/>
      <c r="L88" s="409"/>
      <c r="M88" s="409"/>
      <c r="N88" s="409"/>
      <c r="O88" s="409"/>
      <c r="P88" s="409"/>
    </row>
    <row r="89" spans="1:16" x14ac:dyDescent="0.2">
      <c r="A89" s="234">
        <f t="shared" si="4"/>
        <v>71</v>
      </c>
      <c r="B89" s="4" t="s">
        <v>666</v>
      </c>
      <c r="C89" s="4" t="s">
        <v>666</v>
      </c>
      <c r="D89" s="4">
        <v>1000</v>
      </c>
      <c r="E89" s="4">
        <f>INDEX('SRC-4 (S.D. Customers)'!$F$9:$F$25,MATCH(B89,'SRC-4 (S.D. Customers)'!$E$9:$E$25,0))</f>
        <v>2</v>
      </c>
      <c r="F89" s="4">
        <f t="shared" si="1"/>
        <v>2</v>
      </c>
      <c r="G89" s="49">
        <v>0</v>
      </c>
      <c r="H89" s="34">
        <f t="shared" si="5"/>
        <v>1802.2083000000002</v>
      </c>
      <c r="I89" s="34">
        <f t="shared" si="6"/>
        <v>0</v>
      </c>
      <c r="J89" s="409"/>
      <c r="K89" s="409"/>
      <c r="L89" s="409"/>
      <c r="M89" s="409"/>
      <c r="N89" s="409"/>
      <c r="O89" s="409"/>
      <c r="P89" s="409"/>
    </row>
    <row r="90" spans="1:16" x14ac:dyDescent="0.2">
      <c r="A90" s="234">
        <f t="shared" si="4"/>
        <v>72</v>
      </c>
      <c r="B90" s="4" t="s">
        <v>666</v>
      </c>
      <c r="C90" s="4" t="s">
        <v>666</v>
      </c>
      <c r="D90" s="4">
        <v>1200</v>
      </c>
      <c r="E90" s="4">
        <f>INDEX('SRC-4 (S.D. Customers)'!$F$9:$F$25,MATCH(B90,'SRC-4 (S.D. Customers)'!$E$9:$E$25,0))</f>
        <v>2</v>
      </c>
      <c r="F90" s="4">
        <f t="shared" si="1"/>
        <v>2</v>
      </c>
      <c r="G90" s="49">
        <v>12</v>
      </c>
      <c r="H90" s="34">
        <f t="shared" si="5"/>
        <v>1802.2083000000002</v>
      </c>
      <c r="I90" s="34">
        <f t="shared" si="6"/>
        <v>21626.499600000003</v>
      </c>
      <c r="J90" s="409"/>
      <c r="K90" s="409"/>
      <c r="L90" s="409"/>
      <c r="M90" s="409"/>
      <c r="N90" s="409"/>
      <c r="O90" s="409"/>
      <c r="P90" s="409"/>
    </row>
    <row r="91" spans="1:16" x14ac:dyDescent="0.2">
      <c r="A91" s="234">
        <f t="shared" si="4"/>
        <v>73</v>
      </c>
      <c r="B91" s="4" t="s">
        <v>666</v>
      </c>
      <c r="C91" s="4" t="s">
        <v>666</v>
      </c>
      <c r="D91" s="4">
        <v>1400</v>
      </c>
      <c r="E91" s="4">
        <f>INDEX('SRC-4 (S.D. Customers)'!$F$9:$F$25,MATCH(B91,'SRC-4 (S.D. Customers)'!$E$9:$E$25,0))</f>
        <v>2</v>
      </c>
      <c r="F91" s="4">
        <f t="shared" si="1"/>
        <v>2</v>
      </c>
      <c r="G91" s="49">
        <v>153</v>
      </c>
      <c r="H91" s="34">
        <f t="shared" si="5"/>
        <v>1802.2083000000002</v>
      </c>
      <c r="I91" s="34">
        <f t="shared" si="6"/>
        <v>275737.86990000005</v>
      </c>
      <c r="J91" s="409"/>
      <c r="K91" s="409"/>
      <c r="L91" s="409"/>
      <c r="M91" s="409"/>
      <c r="N91" s="409"/>
      <c r="O91" s="409"/>
      <c r="P91" s="409"/>
    </row>
    <row r="92" spans="1:16" x14ac:dyDescent="0.2">
      <c r="A92" s="234">
        <f t="shared" si="4"/>
        <v>74</v>
      </c>
      <c r="B92" s="4" t="s">
        <v>666</v>
      </c>
      <c r="C92" s="4" t="s">
        <v>666</v>
      </c>
      <c r="D92" s="4">
        <v>1500</v>
      </c>
      <c r="E92" s="4">
        <f>INDEX('SRC-4 (S.D. Customers)'!$F$9:$F$25,MATCH(B92,'SRC-4 (S.D. Customers)'!$E$9:$E$25,0))</f>
        <v>2</v>
      </c>
      <c r="F92" s="4">
        <f t="shared" si="1"/>
        <v>2</v>
      </c>
      <c r="G92" s="49">
        <v>24</v>
      </c>
      <c r="H92" s="34">
        <f t="shared" si="5"/>
        <v>1802.2083000000002</v>
      </c>
      <c r="I92" s="34">
        <f t="shared" si="6"/>
        <v>43252.999200000006</v>
      </c>
      <c r="J92" s="409"/>
      <c r="K92" s="409"/>
      <c r="L92" s="409"/>
      <c r="M92" s="409"/>
      <c r="N92" s="409"/>
      <c r="O92" s="409"/>
      <c r="P92" s="409"/>
    </row>
    <row r="93" spans="1:16" x14ac:dyDescent="0.2">
      <c r="A93" s="234">
        <f t="shared" si="4"/>
        <v>75</v>
      </c>
      <c r="B93" s="4" t="s">
        <v>666</v>
      </c>
      <c r="C93" s="4" t="s">
        <v>666</v>
      </c>
      <c r="D93" s="4">
        <v>1600</v>
      </c>
      <c r="E93" s="4">
        <f>INDEX('SRC-4 (S.D. Customers)'!$F$9:$F$25,MATCH(B93,'SRC-4 (S.D. Customers)'!$E$9:$E$25,0))</f>
        <v>2</v>
      </c>
      <c r="F93" s="4">
        <f t="shared" si="1"/>
        <v>2</v>
      </c>
      <c r="G93" s="49">
        <v>12</v>
      </c>
      <c r="H93" s="34">
        <f t="shared" si="5"/>
        <v>1802.2083000000002</v>
      </c>
      <c r="I93" s="34">
        <f t="shared" si="6"/>
        <v>21626.499600000003</v>
      </c>
      <c r="J93" s="409"/>
      <c r="K93" s="409"/>
      <c r="L93" s="409"/>
      <c r="M93" s="409"/>
      <c r="N93" s="409"/>
      <c r="O93" s="409"/>
      <c r="P93" s="409"/>
    </row>
    <row r="94" spans="1:16" x14ac:dyDescent="0.2">
      <c r="A94" s="234">
        <f t="shared" si="4"/>
        <v>76</v>
      </c>
      <c r="B94" s="4" t="s">
        <v>666</v>
      </c>
      <c r="C94" s="4" t="s">
        <v>666</v>
      </c>
      <c r="D94" s="4">
        <v>2000</v>
      </c>
      <c r="E94" s="4">
        <f>INDEX('SRC-4 (S.D. Customers)'!$F$9:$F$25,MATCH(B94,'SRC-4 (S.D. Customers)'!$E$9:$E$25,0))</f>
        <v>2</v>
      </c>
      <c r="F94" s="4">
        <f t="shared" si="1"/>
        <v>2</v>
      </c>
      <c r="G94" s="49">
        <v>12</v>
      </c>
      <c r="H94" s="34">
        <f t="shared" si="5"/>
        <v>1802.2083000000002</v>
      </c>
      <c r="I94" s="34">
        <f t="shared" si="6"/>
        <v>21626.499600000003</v>
      </c>
      <c r="J94" s="409"/>
      <c r="K94" s="409"/>
      <c r="L94" s="409"/>
      <c r="M94" s="409"/>
      <c r="N94" s="409"/>
      <c r="O94" s="409"/>
      <c r="P94" s="409"/>
    </row>
    <row r="95" spans="1:16" x14ac:dyDescent="0.2">
      <c r="A95" s="234">
        <f t="shared" si="4"/>
        <v>77</v>
      </c>
      <c r="B95" s="4" t="s">
        <v>666</v>
      </c>
      <c r="C95" s="4" t="s">
        <v>666</v>
      </c>
      <c r="D95" s="4">
        <v>2300</v>
      </c>
      <c r="E95" s="4">
        <f>INDEX('SRC-4 (S.D. Customers)'!$F$9:$F$25,MATCH(B95,'SRC-4 (S.D. Customers)'!$E$9:$E$25,0))</f>
        <v>2</v>
      </c>
      <c r="F95" s="4">
        <f t="shared" si="1"/>
        <v>2</v>
      </c>
      <c r="G95" s="49">
        <v>34</v>
      </c>
      <c r="H95" s="34">
        <f t="shared" si="5"/>
        <v>1802.2083000000002</v>
      </c>
      <c r="I95" s="34">
        <f t="shared" si="6"/>
        <v>61275.082200000004</v>
      </c>
      <c r="J95" s="409"/>
      <c r="K95" s="409"/>
      <c r="L95" s="409"/>
      <c r="M95" s="409"/>
      <c r="N95" s="409"/>
      <c r="O95" s="409"/>
      <c r="P95" s="409"/>
    </row>
    <row r="96" spans="1:16" x14ac:dyDescent="0.2">
      <c r="A96" s="234">
        <f t="shared" si="4"/>
        <v>78</v>
      </c>
      <c r="B96" s="4" t="s">
        <v>666</v>
      </c>
      <c r="C96" s="4" t="s">
        <v>666</v>
      </c>
      <c r="D96" s="4">
        <v>3000</v>
      </c>
      <c r="E96" s="4">
        <f>INDEX('SRC-4 (S.D. Customers)'!$F$9:$F$25,MATCH(B96,'SRC-4 (S.D. Customers)'!$E$9:$E$25,0))</f>
        <v>2</v>
      </c>
      <c r="F96" s="4">
        <f t="shared" si="1"/>
        <v>2</v>
      </c>
      <c r="G96" s="49">
        <v>2494.7670000000003</v>
      </c>
      <c r="H96" s="34">
        <f t="shared" si="5"/>
        <v>5335.25</v>
      </c>
      <c r="I96" s="34">
        <f t="shared" si="6"/>
        <v>13310205.636750001</v>
      </c>
      <c r="J96" s="409"/>
      <c r="K96" s="409"/>
      <c r="L96" s="409"/>
      <c r="M96" s="409"/>
      <c r="N96" s="409"/>
      <c r="O96" s="409"/>
      <c r="P96" s="409"/>
    </row>
    <row r="97" spans="1:16" x14ac:dyDescent="0.2">
      <c r="A97" s="234">
        <f t="shared" si="4"/>
        <v>79</v>
      </c>
      <c r="B97" s="4" t="s">
        <v>666</v>
      </c>
      <c r="C97" s="4" t="s">
        <v>666</v>
      </c>
      <c r="D97" s="4">
        <v>5000</v>
      </c>
      <c r="E97" s="4">
        <f>INDEX('SRC-4 (S.D. Customers)'!$F$9:$F$25,MATCH(B97,'SRC-4 (S.D. Customers)'!$E$9:$E$25,0))</f>
        <v>2</v>
      </c>
      <c r="F97" s="4">
        <f t="shared" si="1"/>
        <v>3</v>
      </c>
      <c r="G97" s="49">
        <v>1535.4</v>
      </c>
      <c r="H97" s="34">
        <f t="shared" si="5"/>
        <v>7207.91</v>
      </c>
      <c r="I97" s="34">
        <f t="shared" si="6"/>
        <v>11067025.014</v>
      </c>
      <c r="J97" s="409"/>
      <c r="K97" s="409"/>
      <c r="L97" s="409"/>
      <c r="M97" s="409"/>
      <c r="N97" s="409"/>
      <c r="O97" s="409"/>
      <c r="P97" s="409"/>
    </row>
    <row r="98" spans="1:16" x14ac:dyDescent="0.2">
      <c r="A98" s="234">
        <f t="shared" si="4"/>
        <v>80</v>
      </c>
      <c r="B98" s="4" t="s">
        <v>666</v>
      </c>
      <c r="C98" s="4" t="s">
        <v>666</v>
      </c>
      <c r="D98" s="4">
        <v>7000</v>
      </c>
      <c r="E98" s="4">
        <f>INDEX('SRC-4 (S.D. Customers)'!$F$9:$F$25,MATCH(B98,'SRC-4 (S.D. Customers)'!$E$9:$E$25,0))</f>
        <v>2</v>
      </c>
      <c r="F98" s="4">
        <f t="shared" si="1"/>
        <v>3</v>
      </c>
      <c r="G98" s="49">
        <v>506.76800000000003</v>
      </c>
      <c r="H98" s="34">
        <f t="shared" si="5"/>
        <v>7207.91</v>
      </c>
      <c r="I98" s="34">
        <f t="shared" si="6"/>
        <v>3652738.1348800003</v>
      </c>
      <c r="J98" s="409"/>
      <c r="K98" s="409"/>
      <c r="L98" s="409"/>
      <c r="M98" s="409"/>
      <c r="N98" s="409"/>
      <c r="O98" s="409"/>
      <c r="P98" s="409"/>
    </row>
    <row r="99" spans="1:16" x14ac:dyDescent="0.2">
      <c r="A99" s="234">
        <f t="shared" si="4"/>
        <v>81</v>
      </c>
      <c r="B99" s="4" t="s">
        <v>666</v>
      </c>
      <c r="C99" s="4" t="s">
        <v>666</v>
      </c>
      <c r="D99" s="4">
        <v>11000</v>
      </c>
      <c r="E99" s="4">
        <f>INDEX('SRC-4 (S.D. Customers)'!$F$9:$F$25,MATCH(B99,'SRC-4 (S.D. Customers)'!$E$9:$E$25,0))</f>
        <v>2</v>
      </c>
      <c r="F99" s="4">
        <f t="shared" si="1"/>
        <v>3</v>
      </c>
      <c r="G99" s="49">
        <v>256.233</v>
      </c>
      <c r="H99" s="34">
        <f t="shared" si="5"/>
        <v>11005.85</v>
      </c>
      <c r="I99" s="34">
        <f t="shared" si="6"/>
        <v>2820061.9630500004</v>
      </c>
      <c r="J99" s="409"/>
      <c r="K99" s="409"/>
      <c r="L99" s="409"/>
      <c r="M99" s="409"/>
      <c r="N99" s="409"/>
      <c r="O99" s="409"/>
      <c r="P99" s="409"/>
    </row>
    <row r="100" spans="1:16" x14ac:dyDescent="0.2">
      <c r="A100" s="234">
        <f t="shared" si="4"/>
        <v>82</v>
      </c>
      <c r="B100" s="4" t="s">
        <v>666</v>
      </c>
      <c r="C100" s="4" t="s">
        <v>666</v>
      </c>
      <c r="D100" s="4">
        <v>16000</v>
      </c>
      <c r="E100" s="4">
        <f>INDEX('SRC-4 (S.D. Customers)'!$F$9:$F$25,MATCH(B100,'SRC-4 (S.D. Customers)'!$E$9:$E$25,0))</f>
        <v>2</v>
      </c>
      <c r="F100" s="4">
        <f t="shared" si="1"/>
        <v>4</v>
      </c>
      <c r="G100" s="49">
        <v>49</v>
      </c>
      <c r="H100" s="34">
        <f t="shared" si="5"/>
        <v>11773.04</v>
      </c>
      <c r="I100" s="34">
        <f t="shared" si="6"/>
        <v>576878.96000000008</v>
      </c>
      <c r="J100" s="409"/>
      <c r="K100" s="409"/>
      <c r="L100" s="409"/>
      <c r="M100" s="409"/>
      <c r="N100" s="409"/>
      <c r="O100" s="409"/>
      <c r="P100" s="409"/>
    </row>
    <row r="101" spans="1:16" x14ac:dyDescent="0.2">
      <c r="A101" s="234">
        <f t="shared" si="4"/>
        <v>83</v>
      </c>
      <c r="B101" s="4" t="s">
        <v>666</v>
      </c>
      <c r="C101" s="4" t="s">
        <v>666</v>
      </c>
      <c r="D101" s="4">
        <v>23000</v>
      </c>
      <c r="E101" s="4">
        <f>INDEX('SRC-4 (S.D. Customers)'!$F$9:$F$25,MATCH(B101,'SRC-4 (S.D. Customers)'!$E$9:$E$25,0))</f>
        <v>2</v>
      </c>
      <c r="F101" s="4">
        <f t="shared" si="1"/>
        <v>4</v>
      </c>
      <c r="G101" s="49">
        <v>12</v>
      </c>
      <c r="H101" s="34">
        <f t="shared" si="5"/>
        <v>16815.95</v>
      </c>
      <c r="I101" s="34">
        <f t="shared" si="6"/>
        <v>201791.40000000002</v>
      </c>
      <c r="J101" s="409"/>
      <c r="K101" s="409"/>
      <c r="L101" s="409"/>
      <c r="M101" s="409"/>
      <c r="N101" s="409"/>
      <c r="O101" s="409"/>
      <c r="P101" s="409"/>
    </row>
    <row r="102" spans="1:16" x14ac:dyDescent="0.2">
      <c r="A102" s="234">
        <f t="shared" si="4"/>
        <v>84</v>
      </c>
      <c r="B102" s="4" t="s">
        <v>667</v>
      </c>
      <c r="C102" s="4" t="s">
        <v>667</v>
      </c>
      <c r="D102" s="4">
        <v>800</v>
      </c>
      <c r="E102" s="4">
        <f>INDEX('SRC-4 (S.D. Customers)'!$F$9:$F$25,MATCH(B102,'SRC-4 (S.D. Customers)'!$E$9:$E$25,0))</f>
        <v>2</v>
      </c>
      <c r="F102" s="4">
        <f t="shared" si="1"/>
        <v>2</v>
      </c>
      <c r="G102" s="49">
        <v>8</v>
      </c>
      <c r="H102" s="34">
        <f t="shared" si="5"/>
        <v>2272.0295999999998</v>
      </c>
      <c r="I102" s="34">
        <f t="shared" si="6"/>
        <v>18176.236799999999</v>
      </c>
      <c r="J102" s="409"/>
      <c r="K102" s="409"/>
      <c r="L102" s="409"/>
      <c r="M102" s="409"/>
      <c r="N102" s="409"/>
      <c r="O102" s="409"/>
      <c r="P102" s="409"/>
    </row>
    <row r="103" spans="1:16" x14ac:dyDescent="0.2">
      <c r="A103" s="234">
        <f t="shared" si="4"/>
        <v>85</v>
      </c>
      <c r="B103" s="4" t="s">
        <v>667</v>
      </c>
      <c r="C103" s="4" t="s">
        <v>667</v>
      </c>
      <c r="D103" s="4">
        <v>998</v>
      </c>
      <c r="E103" s="4">
        <f>INDEX('SRC-4 (S.D. Customers)'!$F$9:$F$25,MATCH(B103,'SRC-4 (S.D. Customers)'!$E$9:$E$25,0))</f>
        <v>2</v>
      </c>
      <c r="F103" s="4">
        <f t="shared" si="1"/>
        <v>2</v>
      </c>
      <c r="G103" s="49">
        <v>24</v>
      </c>
      <c r="H103" s="34">
        <f t="shared" si="5"/>
        <v>2272.0295999999998</v>
      </c>
      <c r="I103" s="34">
        <f t="shared" si="6"/>
        <v>54528.710399999996</v>
      </c>
      <c r="J103" s="409"/>
      <c r="K103" s="409"/>
      <c r="L103" s="409"/>
      <c r="M103" s="409"/>
      <c r="N103" s="409"/>
      <c r="O103" s="409"/>
      <c r="P103" s="409"/>
    </row>
    <row r="104" spans="1:16" x14ac:dyDescent="0.2">
      <c r="A104" s="234">
        <f t="shared" si="4"/>
        <v>86</v>
      </c>
      <c r="B104" s="4" t="s">
        <v>667</v>
      </c>
      <c r="C104" s="4" t="s">
        <v>667</v>
      </c>
      <c r="D104" s="4">
        <v>1000</v>
      </c>
      <c r="E104" s="4">
        <f>INDEX('SRC-4 (S.D. Customers)'!$F$9:$F$25,MATCH(B104,'SRC-4 (S.D. Customers)'!$E$9:$E$25,0))</f>
        <v>2</v>
      </c>
      <c r="F104" s="4">
        <f t="shared" si="1"/>
        <v>2</v>
      </c>
      <c r="G104" s="49">
        <v>48</v>
      </c>
      <c r="H104" s="34">
        <f t="shared" si="5"/>
        <v>1802.2083000000002</v>
      </c>
      <c r="I104" s="34">
        <f t="shared" si="6"/>
        <v>86505.998400000011</v>
      </c>
      <c r="J104" s="409"/>
      <c r="K104" s="409"/>
      <c r="L104" s="409"/>
      <c r="M104" s="409"/>
      <c r="N104" s="409"/>
      <c r="O104" s="409"/>
      <c r="P104" s="409"/>
    </row>
    <row r="105" spans="1:16" x14ac:dyDescent="0.2">
      <c r="A105" s="234">
        <f t="shared" si="4"/>
        <v>87</v>
      </c>
      <c r="B105" s="4" t="s">
        <v>667</v>
      </c>
      <c r="C105" s="4" t="s">
        <v>667</v>
      </c>
      <c r="D105" s="4">
        <v>1400</v>
      </c>
      <c r="E105" s="4">
        <f>INDEX('SRC-4 (S.D. Customers)'!$F$9:$F$25,MATCH(B105,'SRC-4 (S.D. Customers)'!$E$9:$E$25,0))</f>
        <v>2</v>
      </c>
      <c r="F105" s="4">
        <f t="shared" si="1"/>
        <v>2</v>
      </c>
      <c r="G105" s="49">
        <v>0</v>
      </c>
      <c r="H105" s="34">
        <f t="shared" si="5"/>
        <v>1802.2083000000002</v>
      </c>
      <c r="I105" s="34">
        <f t="shared" si="6"/>
        <v>0</v>
      </c>
      <c r="J105" s="409"/>
      <c r="K105" s="409"/>
      <c r="L105" s="409"/>
      <c r="M105" s="409"/>
      <c r="N105" s="409"/>
      <c r="O105" s="409"/>
      <c r="P105" s="409"/>
    </row>
    <row r="106" spans="1:16" x14ac:dyDescent="0.2">
      <c r="A106" s="234">
        <f t="shared" si="4"/>
        <v>88</v>
      </c>
      <c r="B106" s="4" t="s">
        <v>667</v>
      </c>
      <c r="C106" s="4" t="s">
        <v>667</v>
      </c>
      <c r="D106" s="4">
        <v>2300</v>
      </c>
      <c r="E106" s="4">
        <f>INDEX('SRC-4 (S.D. Customers)'!$F$9:$F$25,MATCH(B106,'SRC-4 (S.D. Customers)'!$E$9:$E$25,0))</f>
        <v>2</v>
      </c>
      <c r="F106" s="4">
        <f t="shared" si="1"/>
        <v>2</v>
      </c>
      <c r="G106" s="49">
        <v>11</v>
      </c>
      <c r="H106" s="34">
        <f t="shared" si="5"/>
        <v>1802.2083000000002</v>
      </c>
      <c r="I106" s="34">
        <f t="shared" si="6"/>
        <v>19824.291300000004</v>
      </c>
      <c r="J106" s="409"/>
      <c r="K106" s="409"/>
      <c r="L106" s="409"/>
      <c r="M106" s="409"/>
      <c r="N106" s="409"/>
      <c r="O106" s="409"/>
      <c r="P106" s="409"/>
    </row>
    <row r="107" spans="1:16" x14ac:dyDescent="0.2">
      <c r="A107" s="234">
        <f t="shared" si="4"/>
        <v>89</v>
      </c>
      <c r="B107" s="4" t="s">
        <v>667</v>
      </c>
      <c r="C107" s="4" t="s">
        <v>667</v>
      </c>
      <c r="D107" s="4">
        <v>3000</v>
      </c>
      <c r="E107" s="4">
        <f>INDEX('SRC-4 (S.D. Customers)'!$F$9:$F$25,MATCH(B107,'SRC-4 (S.D. Customers)'!$E$9:$E$25,0))</f>
        <v>2</v>
      </c>
      <c r="F107" s="4">
        <f t="shared" si="1"/>
        <v>2</v>
      </c>
      <c r="G107" s="49">
        <v>248</v>
      </c>
      <c r="H107" s="34">
        <f t="shared" si="5"/>
        <v>5335.25</v>
      </c>
      <c r="I107" s="34">
        <f t="shared" si="6"/>
        <v>1323142</v>
      </c>
      <c r="J107" s="409"/>
      <c r="K107" s="409"/>
      <c r="L107" s="409"/>
      <c r="M107" s="409"/>
      <c r="N107" s="409"/>
      <c r="O107" s="409"/>
      <c r="P107" s="409"/>
    </row>
    <row r="108" spans="1:16" x14ac:dyDescent="0.2">
      <c r="A108" s="234">
        <f t="shared" si="4"/>
        <v>90</v>
      </c>
      <c r="B108" s="4" t="s">
        <v>667</v>
      </c>
      <c r="C108" s="4" t="s">
        <v>667</v>
      </c>
      <c r="D108" s="4">
        <v>5000</v>
      </c>
      <c r="E108" s="4">
        <f>INDEX('SRC-4 (S.D. Customers)'!$F$9:$F$25,MATCH(B108,'SRC-4 (S.D. Customers)'!$E$9:$E$25,0))</f>
        <v>2</v>
      </c>
      <c r="F108" s="4">
        <f t="shared" si="1"/>
        <v>3</v>
      </c>
      <c r="G108" s="49">
        <v>203</v>
      </c>
      <c r="H108" s="34">
        <f t="shared" ref="H108:H141" si="7">INDEX(D$10:D$34,MATCH(D108,B$10:B$34))</f>
        <v>7207.91</v>
      </c>
      <c r="I108" s="34">
        <f t="shared" si="6"/>
        <v>1463205.73</v>
      </c>
      <c r="J108" s="409"/>
      <c r="K108" s="409"/>
      <c r="L108" s="409"/>
      <c r="M108" s="409"/>
      <c r="N108" s="409"/>
      <c r="O108" s="409"/>
      <c r="P108" s="409"/>
    </row>
    <row r="109" spans="1:16" x14ac:dyDescent="0.2">
      <c r="A109" s="234">
        <f t="shared" si="4"/>
        <v>91</v>
      </c>
      <c r="B109" s="4" t="s">
        <v>667</v>
      </c>
      <c r="C109" s="4" t="s">
        <v>667</v>
      </c>
      <c r="D109" s="4">
        <v>7000</v>
      </c>
      <c r="E109" s="4">
        <f>INDEX('SRC-4 (S.D. Customers)'!$F$9:$F$25,MATCH(B109,'SRC-4 (S.D. Customers)'!$E$9:$E$25,0))</f>
        <v>2</v>
      </c>
      <c r="F109" s="4">
        <f t="shared" ref="F109:F158" si="8">INDEX(C$10:C$34,MATCH(D109,B$10:B$34))</f>
        <v>3</v>
      </c>
      <c r="G109" s="49">
        <v>209</v>
      </c>
      <c r="H109" s="34">
        <f t="shared" si="7"/>
        <v>7207.91</v>
      </c>
      <c r="I109" s="34">
        <f t="shared" si="6"/>
        <v>1506453.19</v>
      </c>
      <c r="J109" s="409"/>
      <c r="K109" s="409"/>
      <c r="L109" s="409"/>
      <c r="M109" s="409"/>
      <c r="N109" s="409"/>
      <c r="O109" s="409"/>
      <c r="P109" s="409"/>
    </row>
    <row r="110" spans="1:16" x14ac:dyDescent="0.2">
      <c r="A110" s="234">
        <f t="shared" ref="A110:A143" si="9">A109+1</f>
        <v>92</v>
      </c>
      <c r="B110" s="4" t="s">
        <v>667</v>
      </c>
      <c r="C110" s="4" t="s">
        <v>667</v>
      </c>
      <c r="D110" s="4">
        <v>11000</v>
      </c>
      <c r="E110" s="4">
        <f>INDEX('SRC-4 (S.D. Customers)'!$F$9:$F$25,MATCH(B110,'SRC-4 (S.D. Customers)'!$E$9:$E$25,0))</f>
        <v>2</v>
      </c>
      <c r="F110" s="4">
        <f t="shared" si="8"/>
        <v>3</v>
      </c>
      <c r="G110" s="49">
        <v>135</v>
      </c>
      <c r="H110" s="34">
        <f t="shared" si="7"/>
        <v>11005.85</v>
      </c>
      <c r="I110" s="34">
        <f t="shared" si="6"/>
        <v>1485789.75</v>
      </c>
      <c r="J110" s="409"/>
      <c r="K110" s="409"/>
      <c r="L110" s="409"/>
      <c r="M110" s="409"/>
      <c r="N110" s="409"/>
      <c r="O110" s="409"/>
      <c r="P110" s="409"/>
    </row>
    <row r="111" spans="1:16" x14ac:dyDescent="0.2">
      <c r="A111" s="234">
        <f t="shared" si="9"/>
        <v>93</v>
      </c>
      <c r="B111" s="4" t="s">
        <v>667</v>
      </c>
      <c r="C111" s="4" t="s">
        <v>667</v>
      </c>
      <c r="D111" s="4">
        <v>16000</v>
      </c>
      <c r="E111" s="4">
        <f>INDEX('SRC-4 (S.D. Customers)'!$F$9:$F$25,MATCH(B111,'SRC-4 (S.D. Customers)'!$E$9:$E$25,0))</f>
        <v>2</v>
      </c>
      <c r="F111" s="4">
        <f t="shared" si="8"/>
        <v>4</v>
      </c>
      <c r="G111" s="49">
        <v>96</v>
      </c>
      <c r="H111" s="34">
        <f t="shared" si="7"/>
        <v>11773.04</v>
      </c>
      <c r="I111" s="34">
        <f t="shared" ref="I111:I143" si="10">G111*H111</f>
        <v>1130211.8400000001</v>
      </c>
      <c r="J111" s="409"/>
      <c r="K111" s="409"/>
      <c r="L111" s="409"/>
      <c r="M111" s="409"/>
      <c r="N111" s="409"/>
      <c r="O111" s="409"/>
      <c r="P111" s="409"/>
    </row>
    <row r="112" spans="1:16" x14ac:dyDescent="0.2">
      <c r="A112" s="234">
        <f t="shared" si="9"/>
        <v>94</v>
      </c>
      <c r="B112" s="4" t="s">
        <v>667</v>
      </c>
      <c r="C112" s="4" t="s">
        <v>667</v>
      </c>
      <c r="D112" s="4">
        <v>23000</v>
      </c>
      <c r="E112" s="4">
        <f>INDEX('SRC-4 (S.D. Customers)'!$F$9:$F$25,MATCH(B112,'SRC-4 (S.D. Customers)'!$E$9:$E$25,0))</f>
        <v>2</v>
      </c>
      <c r="F112" s="4">
        <f t="shared" si="8"/>
        <v>4</v>
      </c>
      <c r="G112" s="49">
        <v>24</v>
      </c>
      <c r="H112" s="34">
        <f t="shared" si="7"/>
        <v>16815.95</v>
      </c>
      <c r="I112" s="34">
        <f t="shared" si="10"/>
        <v>403582.80000000005</v>
      </c>
      <c r="J112" s="409"/>
      <c r="K112" s="409"/>
      <c r="L112" s="409"/>
      <c r="M112" s="409"/>
      <c r="N112" s="409"/>
      <c r="O112" s="409"/>
      <c r="P112" s="409"/>
    </row>
    <row r="113" spans="1:16" x14ac:dyDescent="0.2">
      <c r="A113" s="234">
        <f t="shared" si="9"/>
        <v>95</v>
      </c>
      <c r="B113" s="4" t="s">
        <v>670</v>
      </c>
      <c r="C113" s="4" t="s">
        <v>670</v>
      </c>
      <c r="D113" s="4">
        <v>250</v>
      </c>
      <c r="E113" s="4">
        <f>INDEX('SRC-4 (S.D. Customers)'!$F$9:$F$25,MATCH(B113,'SRC-4 (S.D. Customers)'!$E$9:$E$25,0))</f>
        <v>1</v>
      </c>
      <c r="F113" s="4">
        <f t="shared" si="8"/>
        <v>1</v>
      </c>
      <c r="G113" s="49">
        <v>296.53199999999998</v>
      </c>
      <c r="H113" s="34">
        <f t="shared" si="7"/>
        <v>326.55</v>
      </c>
      <c r="I113" s="34">
        <f t="shared" si="10"/>
        <v>96832.524600000004</v>
      </c>
      <c r="J113" s="409"/>
      <c r="K113" s="409"/>
      <c r="L113" s="409"/>
      <c r="M113" s="409"/>
      <c r="N113" s="409"/>
      <c r="O113" s="409"/>
      <c r="P113" s="409"/>
    </row>
    <row r="114" spans="1:16" x14ac:dyDescent="0.2">
      <c r="A114" s="234">
        <f t="shared" si="9"/>
        <v>96</v>
      </c>
      <c r="B114" s="4" t="s">
        <v>670</v>
      </c>
      <c r="C114" s="4" t="s">
        <v>670</v>
      </c>
      <c r="D114" s="4">
        <v>275</v>
      </c>
      <c r="E114" s="4">
        <f>INDEX('SRC-4 (S.D. Customers)'!$F$9:$F$25,MATCH(B114,'SRC-4 (S.D. Customers)'!$E$9:$E$25,0))</f>
        <v>1</v>
      </c>
      <c r="F114" s="4">
        <f t="shared" si="8"/>
        <v>1</v>
      </c>
      <c r="G114" s="49">
        <v>892.36599999999999</v>
      </c>
      <c r="H114" s="34">
        <f t="shared" si="7"/>
        <v>326.55</v>
      </c>
      <c r="I114" s="34">
        <f t="shared" si="10"/>
        <v>291402.11729999998</v>
      </c>
      <c r="J114" s="409"/>
      <c r="K114" s="409"/>
      <c r="L114" s="409"/>
      <c r="M114" s="409"/>
      <c r="N114" s="409"/>
      <c r="O114" s="409"/>
      <c r="P114" s="409"/>
    </row>
    <row r="115" spans="1:16" x14ac:dyDescent="0.2">
      <c r="A115" s="234">
        <f t="shared" si="9"/>
        <v>97</v>
      </c>
      <c r="B115" s="4" t="s">
        <v>670</v>
      </c>
      <c r="C115" s="4" t="s">
        <v>670</v>
      </c>
      <c r="D115" s="4">
        <v>275</v>
      </c>
      <c r="E115" s="4">
        <f>INDEX('SRC-4 (S.D. Customers)'!$F$9:$F$25,MATCH(B115,'SRC-4 (S.D. Customers)'!$E$9:$E$25,0))</f>
        <v>1</v>
      </c>
      <c r="F115" s="4">
        <f t="shared" si="8"/>
        <v>1</v>
      </c>
      <c r="G115" s="49">
        <v>0</v>
      </c>
      <c r="H115" s="34">
        <f t="shared" si="7"/>
        <v>326.55</v>
      </c>
      <c r="I115" s="34">
        <f t="shared" si="10"/>
        <v>0</v>
      </c>
      <c r="J115" s="409"/>
      <c r="K115" s="409"/>
      <c r="L115" s="409"/>
      <c r="M115" s="409"/>
      <c r="N115" s="409"/>
      <c r="O115" s="409"/>
      <c r="P115" s="409"/>
    </row>
    <row r="116" spans="1:16" x14ac:dyDescent="0.2">
      <c r="A116" s="234">
        <f>A115+1</f>
        <v>98</v>
      </c>
      <c r="B116" s="4" t="s">
        <v>670</v>
      </c>
      <c r="C116" s="4" t="s">
        <v>670</v>
      </c>
      <c r="D116" s="4">
        <v>415</v>
      </c>
      <c r="E116" s="4">
        <f>INDEX('SRC-4 (S.D. Customers)'!$F$9:$F$25,MATCH(B116,'SRC-4 (S.D. Customers)'!$E$9:$E$25,0))</f>
        <v>1</v>
      </c>
      <c r="F116" s="4">
        <f t="shared" si="8"/>
        <v>1</v>
      </c>
      <c r="G116" s="49">
        <v>12</v>
      </c>
      <c r="H116" s="34">
        <f t="shared" si="7"/>
        <v>1078.7548999999999</v>
      </c>
      <c r="I116" s="34">
        <f t="shared" si="10"/>
        <v>12945.058799999999</v>
      </c>
      <c r="J116" s="409"/>
      <c r="K116" s="409"/>
      <c r="L116" s="409"/>
      <c r="M116" s="409"/>
      <c r="N116" s="409"/>
      <c r="O116" s="409"/>
      <c r="P116" s="409"/>
    </row>
    <row r="117" spans="1:16" x14ac:dyDescent="0.2">
      <c r="A117" s="234">
        <f t="shared" si="9"/>
        <v>99</v>
      </c>
      <c r="B117" s="4" t="s">
        <v>670</v>
      </c>
      <c r="C117" s="4" t="s">
        <v>670</v>
      </c>
      <c r="D117" s="4">
        <v>800</v>
      </c>
      <c r="E117" s="4">
        <f>INDEX('SRC-4 (S.D. Customers)'!$F$9:$F$25,MATCH(B117,'SRC-4 (S.D. Customers)'!$E$9:$E$25,0))</f>
        <v>1</v>
      </c>
      <c r="F117" s="4">
        <f t="shared" si="8"/>
        <v>2</v>
      </c>
      <c r="G117" s="49">
        <v>24</v>
      </c>
      <c r="H117" s="34">
        <f t="shared" si="7"/>
        <v>2272.0295999999998</v>
      </c>
      <c r="I117" s="34">
        <f t="shared" si="10"/>
        <v>54528.710399999996</v>
      </c>
      <c r="J117" s="409"/>
      <c r="K117" s="409"/>
      <c r="L117" s="409"/>
      <c r="M117" s="409"/>
      <c r="N117" s="409"/>
      <c r="O117" s="409"/>
      <c r="P117" s="409"/>
    </row>
    <row r="118" spans="1:16" x14ac:dyDescent="0.2">
      <c r="A118" s="234">
        <f t="shared" si="9"/>
        <v>100</v>
      </c>
      <c r="B118" s="4" t="s">
        <v>670</v>
      </c>
      <c r="C118" s="4" t="s">
        <v>670</v>
      </c>
      <c r="D118" s="4">
        <v>1600</v>
      </c>
      <c r="E118" s="4">
        <f>INDEX('SRC-4 (S.D. Customers)'!$F$9:$F$25,MATCH(B118,'SRC-4 (S.D. Customers)'!$E$9:$E$25,0))</f>
        <v>1</v>
      </c>
      <c r="F118" s="4">
        <f t="shared" si="8"/>
        <v>2</v>
      </c>
      <c r="G118" s="49">
        <v>364.70100000000002</v>
      </c>
      <c r="H118" s="34">
        <f t="shared" si="7"/>
        <v>1802.2083000000002</v>
      </c>
      <c r="I118" s="34">
        <f t="shared" si="10"/>
        <v>657267.16921830014</v>
      </c>
      <c r="J118" s="409"/>
      <c r="K118" s="409"/>
      <c r="L118" s="409"/>
      <c r="M118" s="409"/>
      <c r="N118" s="409"/>
      <c r="O118" s="409"/>
      <c r="P118" s="409"/>
    </row>
    <row r="119" spans="1:16" x14ac:dyDescent="0.2">
      <c r="A119" s="234">
        <f t="shared" si="9"/>
        <v>101</v>
      </c>
      <c r="B119" s="4" t="s">
        <v>670</v>
      </c>
      <c r="C119" s="4" t="s">
        <v>670</v>
      </c>
      <c r="D119" s="4">
        <v>1600</v>
      </c>
      <c r="E119" s="4">
        <f>INDEX('SRC-4 (S.D. Customers)'!$F$9:$F$25,MATCH(B119,'SRC-4 (S.D. Customers)'!$E$9:$E$25,0))</f>
        <v>1</v>
      </c>
      <c r="F119" s="4">
        <f t="shared" si="8"/>
        <v>2</v>
      </c>
      <c r="G119" s="49">
        <v>0</v>
      </c>
      <c r="H119" s="34">
        <f t="shared" si="7"/>
        <v>1802.2083000000002</v>
      </c>
      <c r="I119" s="34">
        <f t="shared" si="10"/>
        <v>0</v>
      </c>
      <c r="J119" s="409"/>
      <c r="K119" s="409"/>
      <c r="L119" s="409"/>
      <c r="M119" s="409"/>
      <c r="N119" s="409"/>
      <c r="O119" s="409"/>
      <c r="P119" s="409"/>
    </row>
    <row r="120" spans="1:16" x14ac:dyDescent="0.2">
      <c r="A120" s="234">
        <f t="shared" si="9"/>
        <v>102</v>
      </c>
      <c r="B120" s="4" t="s">
        <v>670</v>
      </c>
      <c r="C120" s="4" t="s">
        <v>670</v>
      </c>
      <c r="D120" s="4">
        <v>3000</v>
      </c>
      <c r="E120" s="4">
        <f>INDEX('SRC-4 (S.D. Customers)'!$F$9:$F$25,MATCH(B120,'SRC-4 (S.D. Customers)'!$E$9:$E$25,0))</f>
        <v>1</v>
      </c>
      <c r="F120" s="4">
        <f t="shared" si="8"/>
        <v>2</v>
      </c>
      <c r="G120" s="49">
        <v>60</v>
      </c>
      <c r="H120" s="34">
        <f t="shared" si="7"/>
        <v>5335.25</v>
      </c>
      <c r="I120" s="34">
        <f t="shared" si="10"/>
        <v>320115</v>
      </c>
      <c r="J120" s="409"/>
      <c r="K120" s="409"/>
      <c r="L120" s="409"/>
      <c r="M120" s="409"/>
      <c r="N120" s="409"/>
      <c r="O120" s="409"/>
      <c r="P120" s="409"/>
    </row>
    <row r="121" spans="1:16" x14ac:dyDescent="0.2">
      <c r="A121" s="234">
        <f t="shared" si="9"/>
        <v>103</v>
      </c>
      <c r="B121" s="4" t="s">
        <v>670</v>
      </c>
      <c r="C121" s="4" t="s">
        <v>670</v>
      </c>
      <c r="D121" s="4">
        <v>5000</v>
      </c>
      <c r="E121" s="4">
        <f>INDEX('SRC-4 (S.D. Customers)'!$F$9:$F$25,MATCH(B121,'SRC-4 (S.D. Customers)'!$E$9:$E$25,0))</f>
        <v>1</v>
      </c>
      <c r="F121" s="4">
        <f t="shared" si="8"/>
        <v>3</v>
      </c>
      <c r="G121" s="49">
        <v>20</v>
      </c>
      <c r="H121" s="34">
        <f t="shared" si="7"/>
        <v>7207.91</v>
      </c>
      <c r="I121" s="34">
        <f t="shared" si="10"/>
        <v>144158.20000000001</v>
      </c>
      <c r="J121" s="409"/>
      <c r="K121" s="409"/>
      <c r="L121" s="409"/>
      <c r="M121" s="409"/>
      <c r="N121" s="409"/>
      <c r="O121" s="409"/>
      <c r="P121" s="409"/>
    </row>
    <row r="122" spans="1:16" x14ac:dyDescent="0.2">
      <c r="A122" s="234">
        <f t="shared" si="9"/>
        <v>104</v>
      </c>
      <c r="B122" s="4" t="s">
        <v>435</v>
      </c>
      <c r="C122" s="4" t="s">
        <v>435</v>
      </c>
      <c r="D122" s="4">
        <v>998</v>
      </c>
      <c r="E122" s="4">
        <f>INDEX('SRC-4 (S.D. Customers)'!$F$9:$F$25,MATCH(B122,'SRC-4 (S.D. Customers)'!$E$9:$E$25,0))</f>
        <v>1</v>
      </c>
      <c r="F122" s="4">
        <f t="shared" si="8"/>
        <v>2</v>
      </c>
      <c r="G122" s="49">
        <v>17.7</v>
      </c>
      <c r="H122" s="34">
        <f t="shared" si="7"/>
        <v>2272.0295999999998</v>
      </c>
      <c r="I122" s="34">
        <f t="shared" si="10"/>
        <v>40214.923919999994</v>
      </c>
      <c r="J122" s="409"/>
      <c r="K122" s="409"/>
      <c r="L122" s="409"/>
      <c r="M122" s="409"/>
      <c r="N122" s="409"/>
      <c r="O122" s="409"/>
      <c r="P122" s="409"/>
    </row>
    <row r="123" spans="1:16" x14ac:dyDescent="0.2">
      <c r="A123" s="234">
        <f t="shared" si="9"/>
        <v>105</v>
      </c>
      <c r="B123" s="4" t="s">
        <v>435</v>
      </c>
      <c r="C123" s="4" t="s">
        <v>435</v>
      </c>
      <c r="D123" s="4">
        <v>3000</v>
      </c>
      <c r="E123" s="4">
        <f>INDEX('SRC-4 (S.D. Customers)'!$F$9:$F$25,MATCH(B123,'SRC-4 (S.D. Customers)'!$E$9:$E$25,0))</f>
        <v>1</v>
      </c>
      <c r="F123" s="4">
        <f t="shared" si="8"/>
        <v>2</v>
      </c>
      <c r="G123" s="49">
        <v>12</v>
      </c>
      <c r="H123" s="34">
        <f t="shared" si="7"/>
        <v>5335.25</v>
      </c>
      <c r="I123" s="34">
        <f t="shared" si="10"/>
        <v>64023</v>
      </c>
      <c r="J123" s="409"/>
      <c r="K123" s="409"/>
      <c r="L123" s="409"/>
      <c r="M123" s="409"/>
      <c r="N123" s="409"/>
      <c r="O123" s="409"/>
      <c r="P123" s="409"/>
    </row>
    <row r="124" spans="1:16" x14ac:dyDescent="0.2">
      <c r="A124" s="234">
        <f t="shared" si="9"/>
        <v>106</v>
      </c>
      <c r="B124" s="4" t="s">
        <v>435</v>
      </c>
      <c r="C124" s="4" t="s">
        <v>435</v>
      </c>
      <c r="D124" s="4">
        <v>5000</v>
      </c>
      <c r="E124" s="4">
        <f>INDEX('SRC-4 (S.D. Customers)'!$F$9:$F$25,MATCH(B124,'SRC-4 (S.D. Customers)'!$E$9:$E$25,0))</f>
        <v>1</v>
      </c>
      <c r="F124" s="4">
        <f t="shared" ref="F124" si="11">INDEX(C$10:C$34,MATCH(D124,B$10:B$34))</f>
        <v>3</v>
      </c>
      <c r="G124" s="49">
        <v>2</v>
      </c>
      <c r="H124" s="34">
        <f t="shared" ref="H124:H125" si="12">INDEX(D$10:D$34,MATCH(D124,B$10:B$34))</f>
        <v>7207.91</v>
      </c>
      <c r="I124" s="34">
        <f t="shared" ref="I124:I125" si="13">G124*H124</f>
        <v>14415.82</v>
      </c>
      <c r="J124" s="409"/>
      <c r="K124" s="409"/>
      <c r="L124" s="409"/>
      <c r="M124" s="409"/>
      <c r="N124" s="409"/>
      <c r="O124" s="409"/>
      <c r="P124" s="409"/>
    </row>
    <row r="125" spans="1:16" x14ac:dyDescent="0.2">
      <c r="A125" s="234">
        <f t="shared" si="9"/>
        <v>107</v>
      </c>
      <c r="B125" s="4" t="s">
        <v>435</v>
      </c>
      <c r="C125" s="4" t="s">
        <v>435</v>
      </c>
      <c r="D125" s="4">
        <v>16000</v>
      </c>
      <c r="E125" s="4">
        <f>INDEX('SRC-4 (S.D. Customers)'!$F$9:$F$25,MATCH(B125,'SRC-4 (S.D. Customers)'!$E$9:$E$25,0))</f>
        <v>1</v>
      </c>
      <c r="F125" s="4">
        <f t="shared" ref="F125" si="14">INDEX(C$10:C$34,MATCH(D125,B$10:B$34))</f>
        <v>4</v>
      </c>
      <c r="G125" s="49">
        <v>11</v>
      </c>
      <c r="H125" s="34">
        <f t="shared" si="12"/>
        <v>11773.04</v>
      </c>
      <c r="I125" s="34">
        <f t="shared" si="13"/>
        <v>129503.44</v>
      </c>
      <c r="J125" s="409"/>
      <c r="K125" s="409"/>
      <c r="L125" s="409"/>
      <c r="M125" s="409"/>
      <c r="N125" s="409"/>
      <c r="O125" s="409"/>
      <c r="P125" s="409"/>
    </row>
    <row r="126" spans="1:16" x14ac:dyDescent="0.2">
      <c r="A126" s="234">
        <f>+A125+1</f>
        <v>108</v>
      </c>
      <c r="B126" s="4" t="s">
        <v>439</v>
      </c>
      <c r="C126" s="4" t="s">
        <v>439</v>
      </c>
      <c r="D126" s="4">
        <v>175</v>
      </c>
      <c r="E126" s="4">
        <f>INDEX('SRC-4 (S.D. Customers)'!$F$9:$F$25,MATCH(B126,'SRC-4 (S.D. Customers)'!$E$9:$E$25,0))</f>
        <v>1</v>
      </c>
      <c r="F126" s="4">
        <f t="shared" si="8"/>
        <v>1</v>
      </c>
      <c r="G126" s="49">
        <v>48</v>
      </c>
      <c r="H126" s="34">
        <f t="shared" si="7"/>
        <v>326.55</v>
      </c>
      <c r="I126" s="34">
        <f t="shared" si="10"/>
        <v>15674.400000000001</v>
      </c>
      <c r="J126" s="409"/>
      <c r="K126" s="409"/>
      <c r="L126" s="409"/>
      <c r="M126" s="409"/>
      <c r="N126" s="409"/>
      <c r="O126" s="409"/>
      <c r="P126" s="409"/>
    </row>
    <row r="127" spans="1:16" x14ac:dyDescent="0.2">
      <c r="A127" s="234">
        <f t="shared" si="9"/>
        <v>109</v>
      </c>
      <c r="B127" s="4" t="s">
        <v>439</v>
      </c>
      <c r="C127" s="4" t="s">
        <v>439</v>
      </c>
      <c r="D127" s="4">
        <v>250</v>
      </c>
      <c r="E127" s="4">
        <f>INDEX('SRC-4 (S.D. Customers)'!$F$9:$F$25,MATCH(B127,'SRC-4 (S.D. Customers)'!$E$9:$E$25,0))</f>
        <v>1</v>
      </c>
      <c r="F127" s="4">
        <f t="shared" si="8"/>
        <v>1</v>
      </c>
      <c r="G127" s="49">
        <v>252.76600000000002</v>
      </c>
      <c r="H127" s="34">
        <f t="shared" si="7"/>
        <v>326.55</v>
      </c>
      <c r="I127" s="34">
        <f t="shared" si="10"/>
        <v>82540.737300000008</v>
      </c>
      <c r="J127" s="409"/>
      <c r="K127" s="409"/>
      <c r="L127" s="409"/>
      <c r="M127" s="409"/>
      <c r="N127" s="409"/>
      <c r="O127" s="409"/>
      <c r="P127" s="409"/>
    </row>
    <row r="128" spans="1:16" x14ac:dyDescent="0.2">
      <c r="A128" s="234">
        <f t="shared" si="9"/>
        <v>110</v>
      </c>
      <c r="B128" s="4" t="s">
        <v>439</v>
      </c>
      <c r="C128" s="4" t="s">
        <v>439</v>
      </c>
      <c r="D128" s="4">
        <v>275</v>
      </c>
      <c r="E128" s="4">
        <f>INDEX('SRC-4 (S.D. Customers)'!$F$9:$F$25,MATCH(B128,'SRC-4 (S.D. Customers)'!$E$9:$E$25,0))</f>
        <v>1</v>
      </c>
      <c r="F128" s="4">
        <f t="shared" si="8"/>
        <v>1</v>
      </c>
      <c r="G128" s="49">
        <v>97.432999999999993</v>
      </c>
      <c r="H128" s="34">
        <f t="shared" si="7"/>
        <v>326.55</v>
      </c>
      <c r="I128" s="34">
        <f t="shared" si="10"/>
        <v>31816.746149999999</v>
      </c>
      <c r="J128" s="409"/>
      <c r="K128" s="409"/>
      <c r="L128" s="409"/>
      <c r="M128" s="409"/>
      <c r="N128" s="409"/>
      <c r="O128" s="409"/>
      <c r="P128" s="409"/>
    </row>
    <row r="129" spans="1:16" x14ac:dyDescent="0.2">
      <c r="A129" s="234">
        <f t="shared" si="9"/>
        <v>111</v>
      </c>
      <c r="B129" s="4" t="s">
        <v>439</v>
      </c>
      <c r="C129" s="4" t="s">
        <v>439</v>
      </c>
      <c r="D129" s="4">
        <v>400</v>
      </c>
      <c r="E129" s="4">
        <f>INDEX('SRC-4 (S.D. Customers)'!$F$9:$F$25,MATCH(B129,'SRC-4 (S.D. Customers)'!$E$9:$E$25,0))</f>
        <v>1</v>
      </c>
      <c r="F129" s="4">
        <f t="shared" si="8"/>
        <v>1</v>
      </c>
      <c r="G129" s="49">
        <v>0</v>
      </c>
      <c r="H129" s="34">
        <f t="shared" si="7"/>
        <v>1078.7548999999999</v>
      </c>
      <c r="I129" s="34">
        <f t="shared" si="10"/>
        <v>0</v>
      </c>
      <c r="J129" s="409"/>
      <c r="K129" s="409"/>
      <c r="L129" s="409"/>
      <c r="M129" s="409"/>
      <c r="N129" s="409"/>
      <c r="O129" s="409"/>
      <c r="P129" s="409"/>
    </row>
    <row r="130" spans="1:16" x14ac:dyDescent="0.2">
      <c r="A130" s="234">
        <f t="shared" si="9"/>
        <v>112</v>
      </c>
      <c r="B130" s="4" t="s">
        <v>439</v>
      </c>
      <c r="C130" s="4" t="s">
        <v>439</v>
      </c>
      <c r="D130" s="4">
        <v>402</v>
      </c>
      <c r="E130" s="4">
        <f>INDEX('SRC-4 (S.D. Customers)'!$F$9:$F$25,MATCH(B130,'SRC-4 (S.D. Customers)'!$E$9:$E$25,0))</f>
        <v>1</v>
      </c>
      <c r="F130" s="4">
        <f t="shared" si="8"/>
        <v>1</v>
      </c>
      <c r="G130" s="49">
        <v>7</v>
      </c>
      <c r="H130" s="34">
        <f t="shared" si="7"/>
        <v>1078.7548999999999</v>
      </c>
      <c r="I130" s="34">
        <f t="shared" si="10"/>
        <v>7551.2842999999993</v>
      </c>
      <c r="J130" s="409"/>
      <c r="K130" s="409"/>
      <c r="L130" s="409"/>
      <c r="M130" s="409"/>
      <c r="N130" s="409"/>
      <c r="O130" s="409"/>
      <c r="P130" s="409"/>
    </row>
    <row r="131" spans="1:16" x14ac:dyDescent="0.2">
      <c r="A131" s="234">
        <f t="shared" si="9"/>
        <v>113</v>
      </c>
      <c r="B131" s="4" t="s">
        <v>439</v>
      </c>
      <c r="C131" s="4" t="s">
        <v>439</v>
      </c>
      <c r="D131" s="4">
        <v>425</v>
      </c>
      <c r="E131" s="4">
        <f>INDEX('SRC-4 (S.D. Customers)'!$F$9:$F$25,MATCH(B131,'SRC-4 (S.D. Customers)'!$E$9:$E$25,0))</f>
        <v>1</v>
      </c>
      <c r="F131" s="4">
        <f t="shared" si="8"/>
        <v>1</v>
      </c>
      <c r="G131" s="49">
        <v>286.267</v>
      </c>
      <c r="H131" s="34">
        <f t="shared" si="7"/>
        <v>1078.7548999999999</v>
      </c>
      <c r="I131" s="34">
        <f t="shared" si="10"/>
        <v>308811.92895829998</v>
      </c>
      <c r="J131" s="409"/>
      <c r="K131" s="409"/>
      <c r="L131" s="409"/>
      <c r="M131" s="409"/>
      <c r="N131" s="409"/>
      <c r="O131" s="409"/>
      <c r="P131" s="409"/>
    </row>
    <row r="132" spans="1:16" x14ac:dyDescent="0.2">
      <c r="A132" s="234">
        <f t="shared" si="9"/>
        <v>114</v>
      </c>
      <c r="B132" s="4" t="s">
        <v>439</v>
      </c>
      <c r="C132" s="4" t="s">
        <v>439</v>
      </c>
      <c r="D132" s="4">
        <v>630</v>
      </c>
      <c r="E132" s="4">
        <f>INDEX('SRC-4 (S.D. Customers)'!$F$9:$F$25,MATCH(B132,'SRC-4 (S.D. Customers)'!$E$9:$E$25,0))</f>
        <v>1</v>
      </c>
      <c r="F132" s="4">
        <f t="shared" si="8"/>
        <v>1</v>
      </c>
      <c r="G132" s="49">
        <v>106</v>
      </c>
      <c r="H132" s="34">
        <f t="shared" si="7"/>
        <v>2272.0295999999998</v>
      </c>
      <c r="I132" s="34">
        <f t="shared" si="10"/>
        <v>240835.13759999999</v>
      </c>
      <c r="J132" s="409"/>
      <c r="K132" s="409"/>
      <c r="L132" s="409"/>
      <c r="M132" s="409"/>
      <c r="N132" s="409"/>
      <c r="O132" s="409"/>
      <c r="P132" s="409"/>
    </row>
    <row r="133" spans="1:16" x14ac:dyDescent="0.2">
      <c r="A133" s="234">
        <f t="shared" si="9"/>
        <v>115</v>
      </c>
      <c r="B133" s="4" t="s">
        <v>439</v>
      </c>
      <c r="C133" s="4" t="s">
        <v>439</v>
      </c>
      <c r="D133" s="4">
        <v>750</v>
      </c>
      <c r="E133" s="4">
        <f>INDEX('SRC-4 (S.D. Customers)'!$F$9:$F$25,MATCH(B133,'SRC-4 (S.D. Customers)'!$E$9:$E$25,0))</f>
        <v>1</v>
      </c>
      <c r="F133" s="4">
        <f t="shared" si="8"/>
        <v>1</v>
      </c>
      <c r="G133" s="49">
        <v>12</v>
      </c>
      <c r="H133" s="34">
        <f t="shared" si="7"/>
        <v>2272.0295999999998</v>
      </c>
      <c r="I133" s="34">
        <f t="shared" si="10"/>
        <v>27264.355199999998</v>
      </c>
      <c r="J133" s="409"/>
      <c r="K133" s="409"/>
      <c r="L133" s="409"/>
      <c r="M133" s="409"/>
      <c r="N133" s="409"/>
      <c r="O133" s="409"/>
      <c r="P133" s="409"/>
    </row>
    <row r="134" spans="1:16" x14ac:dyDescent="0.2">
      <c r="A134" s="234">
        <f t="shared" si="9"/>
        <v>116</v>
      </c>
      <c r="B134" s="4" t="s">
        <v>439</v>
      </c>
      <c r="C134" s="4" t="s">
        <v>439</v>
      </c>
      <c r="D134" s="4">
        <v>800</v>
      </c>
      <c r="E134" s="4">
        <f>INDEX('SRC-4 (S.D. Customers)'!$F$9:$F$25,MATCH(B134,'SRC-4 (S.D. Customers)'!$E$9:$E$25,0))</f>
        <v>1</v>
      </c>
      <c r="F134" s="4">
        <f t="shared" si="8"/>
        <v>2</v>
      </c>
      <c r="G134" s="49">
        <v>48</v>
      </c>
      <c r="H134" s="34">
        <f t="shared" si="7"/>
        <v>2272.0295999999998</v>
      </c>
      <c r="I134" s="34">
        <f t="shared" si="10"/>
        <v>109057.42079999999</v>
      </c>
      <c r="J134" s="409"/>
      <c r="K134" s="409"/>
      <c r="L134" s="409"/>
      <c r="M134" s="409"/>
      <c r="N134" s="409"/>
      <c r="O134" s="409"/>
      <c r="P134" s="409"/>
    </row>
    <row r="135" spans="1:16" x14ac:dyDescent="0.2">
      <c r="A135" s="234">
        <f t="shared" si="9"/>
        <v>117</v>
      </c>
      <c r="B135" s="4" t="s">
        <v>439</v>
      </c>
      <c r="C135" s="4" t="s">
        <v>439</v>
      </c>
      <c r="D135" s="4">
        <v>998</v>
      </c>
      <c r="E135" s="4">
        <f>INDEX('SRC-4 (S.D. Customers)'!$F$9:$F$25,MATCH(B135,'SRC-4 (S.D. Customers)'!$E$9:$E$25,0))</f>
        <v>1</v>
      </c>
      <c r="F135" s="4">
        <f t="shared" si="8"/>
        <v>2</v>
      </c>
      <c r="G135" s="49">
        <v>39.632999999999996</v>
      </c>
      <c r="H135" s="34">
        <f t="shared" si="7"/>
        <v>2272.0295999999998</v>
      </c>
      <c r="I135" s="34">
        <f t="shared" si="10"/>
        <v>90047.349136799981</v>
      </c>
      <c r="J135" s="409"/>
      <c r="K135" s="409"/>
      <c r="L135" s="409"/>
      <c r="M135" s="409"/>
      <c r="N135" s="409"/>
      <c r="O135" s="409"/>
      <c r="P135" s="409"/>
    </row>
    <row r="136" spans="1:16" x14ac:dyDescent="0.2">
      <c r="A136" s="234">
        <f t="shared" si="9"/>
        <v>118</v>
      </c>
      <c r="B136" s="4" t="s">
        <v>439</v>
      </c>
      <c r="C136" s="4" t="s">
        <v>439</v>
      </c>
      <c r="D136" s="4">
        <v>1000</v>
      </c>
      <c r="E136" s="4">
        <f>INDEX('SRC-4 (S.D. Customers)'!$F$9:$F$25,MATCH(B136,'SRC-4 (S.D. Customers)'!$E$9:$E$25,0))</f>
        <v>1</v>
      </c>
      <c r="F136" s="4">
        <f t="shared" si="8"/>
        <v>2</v>
      </c>
      <c r="G136" s="49">
        <v>17</v>
      </c>
      <c r="H136" s="34">
        <f t="shared" si="7"/>
        <v>1802.2083000000002</v>
      </c>
      <c r="I136" s="34">
        <f t="shared" si="10"/>
        <v>30637.541100000002</v>
      </c>
      <c r="J136" s="409"/>
      <c r="K136" s="409"/>
      <c r="L136" s="409"/>
      <c r="M136" s="409"/>
      <c r="N136" s="409"/>
      <c r="O136" s="409"/>
      <c r="P136" s="409"/>
    </row>
    <row r="137" spans="1:16" x14ac:dyDescent="0.2">
      <c r="A137" s="234">
        <f t="shared" si="9"/>
        <v>119</v>
      </c>
      <c r="B137" s="4" t="s">
        <v>439</v>
      </c>
      <c r="C137" s="4" t="s">
        <v>439</v>
      </c>
      <c r="D137" s="4">
        <v>3000</v>
      </c>
      <c r="E137" s="4">
        <f>INDEX('SRC-4 (S.D. Customers)'!$F$9:$F$25,MATCH(B137,'SRC-4 (S.D. Customers)'!$E$9:$E$25,0))</f>
        <v>1</v>
      </c>
      <c r="F137" s="4">
        <f t="shared" si="8"/>
        <v>2</v>
      </c>
      <c r="G137" s="49">
        <v>127</v>
      </c>
      <c r="H137" s="34">
        <f t="shared" si="7"/>
        <v>5335.25</v>
      </c>
      <c r="I137" s="34">
        <f t="shared" si="10"/>
        <v>677576.75</v>
      </c>
      <c r="J137" s="409"/>
      <c r="K137" s="409"/>
      <c r="L137" s="409"/>
      <c r="M137" s="409"/>
      <c r="N137" s="409"/>
      <c r="O137" s="409"/>
      <c r="P137" s="409"/>
    </row>
    <row r="138" spans="1:16" x14ac:dyDescent="0.2">
      <c r="A138" s="234">
        <f t="shared" si="9"/>
        <v>120</v>
      </c>
      <c r="B138" s="4" t="s">
        <v>439</v>
      </c>
      <c r="C138" s="4" t="s">
        <v>439</v>
      </c>
      <c r="D138" s="4">
        <v>5000</v>
      </c>
      <c r="E138" s="4">
        <f>INDEX('SRC-4 (S.D. Customers)'!$F$9:$F$25,MATCH(B138,'SRC-4 (S.D. Customers)'!$E$9:$E$25,0))</f>
        <v>1</v>
      </c>
      <c r="F138" s="4">
        <f t="shared" si="8"/>
        <v>3</v>
      </c>
      <c r="G138" s="49">
        <v>43</v>
      </c>
      <c r="H138" s="34">
        <f t="shared" si="7"/>
        <v>7207.91</v>
      </c>
      <c r="I138" s="34">
        <f t="shared" si="10"/>
        <v>309940.13</v>
      </c>
      <c r="J138" s="409"/>
      <c r="K138" s="409"/>
      <c r="L138" s="409"/>
      <c r="M138" s="409"/>
      <c r="N138" s="409"/>
      <c r="O138" s="409"/>
      <c r="P138" s="409"/>
    </row>
    <row r="139" spans="1:16" x14ac:dyDescent="0.2">
      <c r="A139" s="234">
        <f t="shared" si="9"/>
        <v>121</v>
      </c>
      <c r="B139" s="4" t="s">
        <v>439</v>
      </c>
      <c r="C139" s="4" t="s">
        <v>439</v>
      </c>
      <c r="D139" s="4">
        <v>7000</v>
      </c>
      <c r="E139" s="4">
        <f>INDEX('SRC-4 (S.D. Customers)'!$F$9:$F$25,MATCH(B139,'SRC-4 (S.D. Customers)'!$E$9:$E$25,0))</f>
        <v>1</v>
      </c>
      <c r="F139" s="4">
        <f t="shared" si="8"/>
        <v>3</v>
      </c>
      <c r="G139" s="49">
        <v>35</v>
      </c>
      <c r="H139" s="34">
        <f t="shared" si="7"/>
        <v>7207.91</v>
      </c>
      <c r="I139" s="34">
        <f t="shared" si="10"/>
        <v>252276.85</v>
      </c>
      <c r="J139" s="409"/>
      <c r="K139" s="409"/>
      <c r="L139" s="409"/>
      <c r="M139" s="409"/>
      <c r="N139" s="409"/>
      <c r="O139" s="409"/>
      <c r="P139" s="409"/>
    </row>
    <row r="140" spans="1:16" x14ac:dyDescent="0.2">
      <c r="A140" s="234">
        <f t="shared" si="9"/>
        <v>122</v>
      </c>
      <c r="B140" s="4" t="s">
        <v>436</v>
      </c>
      <c r="C140" s="4" t="s">
        <v>436</v>
      </c>
      <c r="D140" s="4">
        <v>3000</v>
      </c>
      <c r="E140" s="4">
        <f>INDEX('SRC-4 (S.D. Customers)'!$F$9:$F$25,MATCH(B140,'SRC-4 (S.D. Customers)'!$E$9:$E$25,0))</f>
        <v>1</v>
      </c>
      <c r="F140" s="4">
        <f t="shared" si="8"/>
        <v>2</v>
      </c>
      <c r="G140" s="49">
        <v>0</v>
      </c>
      <c r="H140" s="34">
        <f t="shared" si="7"/>
        <v>5335.25</v>
      </c>
      <c r="I140" s="34">
        <f t="shared" si="10"/>
        <v>0</v>
      </c>
      <c r="J140" s="409"/>
      <c r="K140" s="409"/>
      <c r="L140" s="409"/>
      <c r="M140" s="409"/>
      <c r="N140" s="409"/>
      <c r="O140" s="409"/>
      <c r="P140" s="409"/>
    </row>
    <row r="141" spans="1:16" x14ac:dyDescent="0.2">
      <c r="A141" s="234">
        <f t="shared" si="9"/>
        <v>123</v>
      </c>
      <c r="B141" s="4" t="s">
        <v>436</v>
      </c>
      <c r="C141" s="4" t="s">
        <v>436</v>
      </c>
      <c r="D141" s="4">
        <v>11000</v>
      </c>
      <c r="E141" s="4">
        <f>INDEX('SRC-4 (S.D. Customers)'!$F$9:$F$25,MATCH(B141,'SRC-4 (S.D. Customers)'!$E$9:$E$25,0))</f>
        <v>1</v>
      </c>
      <c r="F141" s="4">
        <f t="shared" si="8"/>
        <v>3</v>
      </c>
      <c r="G141" s="49">
        <v>24</v>
      </c>
      <c r="H141" s="34">
        <f t="shared" si="7"/>
        <v>11005.85</v>
      </c>
      <c r="I141" s="34">
        <f t="shared" si="10"/>
        <v>264140.40000000002</v>
      </c>
      <c r="J141" s="409"/>
      <c r="K141" s="409"/>
      <c r="L141" s="409"/>
      <c r="M141" s="409"/>
      <c r="N141" s="409"/>
      <c r="O141" s="409"/>
      <c r="P141" s="409"/>
    </row>
    <row r="142" spans="1:16" x14ac:dyDescent="0.2">
      <c r="A142" s="234">
        <f t="shared" si="9"/>
        <v>124</v>
      </c>
      <c r="B142" s="4" t="s">
        <v>436</v>
      </c>
      <c r="C142" s="4" t="s">
        <v>436</v>
      </c>
      <c r="D142" s="4">
        <v>16000</v>
      </c>
      <c r="E142" s="4">
        <f>INDEX('SRC-4 (S.D. Customers)'!$F$9:$F$25,MATCH(B142,'SRC-4 (S.D. Customers)'!$E$9:$E$25,0))</f>
        <v>1</v>
      </c>
      <c r="F142" s="4">
        <f t="shared" si="8"/>
        <v>4</v>
      </c>
      <c r="G142" s="49">
        <v>12</v>
      </c>
      <c r="H142" s="34">
        <f t="shared" ref="H142:H158" si="15">INDEX(D$10:D$34,MATCH(D142,B$10:B$34))</f>
        <v>11773.04</v>
      </c>
      <c r="I142" s="34">
        <f t="shared" si="10"/>
        <v>141276.48000000001</v>
      </c>
      <c r="J142" s="409"/>
      <c r="K142" s="409"/>
      <c r="L142" s="409"/>
      <c r="M142" s="409"/>
      <c r="N142" s="409"/>
      <c r="O142" s="409"/>
      <c r="P142" s="409"/>
    </row>
    <row r="143" spans="1:16" x14ac:dyDescent="0.2">
      <c r="A143" s="234">
        <f t="shared" si="9"/>
        <v>125</v>
      </c>
      <c r="B143" s="4" t="s">
        <v>436</v>
      </c>
      <c r="C143" s="4" t="s">
        <v>436</v>
      </c>
      <c r="D143" s="4">
        <v>23000</v>
      </c>
      <c r="E143" s="4">
        <f>INDEX('SRC-4 (S.D. Customers)'!$F$9:$F$25,MATCH(B143,'SRC-4 (S.D. Customers)'!$E$9:$E$25,0))</f>
        <v>1</v>
      </c>
      <c r="F143" s="4">
        <f t="shared" si="8"/>
        <v>4</v>
      </c>
      <c r="G143" s="49">
        <v>25.952999999999999</v>
      </c>
      <c r="H143" s="34">
        <f t="shared" si="15"/>
        <v>16815.95</v>
      </c>
      <c r="I143" s="34">
        <f t="shared" si="10"/>
        <v>436424.35035000002</v>
      </c>
      <c r="J143" s="409"/>
      <c r="K143" s="409"/>
      <c r="L143" s="409"/>
      <c r="M143" s="409"/>
      <c r="N143" s="409"/>
      <c r="O143" s="409"/>
      <c r="P143" s="409"/>
    </row>
    <row r="144" spans="1:16" x14ac:dyDescent="0.2">
      <c r="A144" s="234">
        <f>+A143+1</f>
        <v>126</v>
      </c>
      <c r="B144" s="4" t="s">
        <v>668</v>
      </c>
      <c r="C144" s="4" t="s">
        <v>668</v>
      </c>
      <c r="D144" s="4">
        <v>175</v>
      </c>
      <c r="E144" s="4">
        <f>INDEX('SRC-4 (S.D. Customers)'!$F$9:$F$25,MATCH(B144,'SRC-4 (S.D. Customers)'!$E$9:$E$25,0))</f>
        <v>1</v>
      </c>
      <c r="F144" s="4">
        <f t="shared" si="8"/>
        <v>1</v>
      </c>
      <c r="G144" s="24">
        <v>166189.16200000001</v>
      </c>
      <c r="H144" s="34">
        <f t="shared" si="15"/>
        <v>326.55</v>
      </c>
      <c r="I144" s="34">
        <f t="shared" ref="I144:I159" si="16">G144*H144</f>
        <v>54269070.851100005</v>
      </c>
      <c r="J144" s="409"/>
      <c r="K144" s="409"/>
      <c r="L144" s="409"/>
      <c r="M144" s="409"/>
      <c r="N144" s="409"/>
      <c r="O144" s="409"/>
      <c r="P144" s="409"/>
    </row>
    <row r="145" spans="1:16" x14ac:dyDescent="0.2">
      <c r="A145" s="234">
        <f t="shared" ref="A145:A165" si="17">+A144+1</f>
        <v>127</v>
      </c>
      <c r="B145" s="4" t="s">
        <v>668</v>
      </c>
      <c r="C145" s="4" t="s">
        <v>668</v>
      </c>
      <c r="D145" s="4">
        <v>200</v>
      </c>
      <c r="E145" s="4">
        <f>INDEX('SRC-4 (S.D. Customers)'!$F$9:$F$25,MATCH(B145,'SRC-4 (S.D. Customers)'!$E$9:$E$25,0))</f>
        <v>1</v>
      </c>
      <c r="F145" s="4">
        <f t="shared" si="8"/>
        <v>1</v>
      </c>
      <c r="G145" s="24">
        <v>5166.8670000000002</v>
      </c>
      <c r="H145" s="34">
        <f t="shared" si="15"/>
        <v>326.55</v>
      </c>
      <c r="I145" s="34">
        <f t="shared" si="16"/>
        <v>1687240.41885</v>
      </c>
      <c r="J145" s="409"/>
      <c r="K145" s="409"/>
      <c r="L145" s="409"/>
      <c r="M145" s="409"/>
      <c r="N145" s="409"/>
      <c r="O145" s="409"/>
      <c r="P145" s="409"/>
    </row>
    <row r="146" spans="1:16" x14ac:dyDescent="0.2">
      <c r="A146" s="234">
        <f t="shared" si="17"/>
        <v>128</v>
      </c>
      <c r="B146" s="4" t="s">
        <v>668</v>
      </c>
      <c r="C146" s="4" t="s">
        <v>668</v>
      </c>
      <c r="D146" s="4">
        <v>225</v>
      </c>
      <c r="E146" s="4">
        <f>INDEX('SRC-4 (S.D. Customers)'!$F$9:$F$25,MATCH(B146,'SRC-4 (S.D. Customers)'!$E$9:$E$25,0))</f>
        <v>1</v>
      </c>
      <c r="F146" s="4">
        <f t="shared" si="8"/>
        <v>1</v>
      </c>
      <c r="G146" s="24">
        <v>19648.764999999999</v>
      </c>
      <c r="H146" s="34">
        <f t="shared" si="15"/>
        <v>326.55</v>
      </c>
      <c r="I146" s="34">
        <f t="shared" si="16"/>
        <v>6416304.2107499996</v>
      </c>
      <c r="J146" s="409"/>
      <c r="K146" s="409"/>
      <c r="L146" s="409"/>
      <c r="M146" s="409"/>
      <c r="N146" s="409"/>
      <c r="O146" s="409"/>
      <c r="P146" s="409"/>
    </row>
    <row r="147" spans="1:16" x14ac:dyDescent="0.2">
      <c r="A147" s="234">
        <f t="shared" si="17"/>
        <v>129</v>
      </c>
      <c r="B147" s="4" t="s">
        <v>668</v>
      </c>
      <c r="C147" s="4" t="s">
        <v>668</v>
      </c>
      <c r="D147" s="4">
        <v>240</v>
      </c>
      <c r="E147" s="4">
        <f>INDEX('SRC-4 (S.D. Customers)'!$F$9:$F$25,MATCH(B147,'SRC-4 (S.D. Customers)'!$E$9:$E$25,0))</f>
        <v>1</v>
      </c>
      <c r="F147" s="4">
        <f t="shared" si="8"/>
        <v>1</v>
      </c>
      <c r="G147" s="24">
        <v>5456.4970000000003</v>
      </c>
      <c r="H147" s="34">
        <f t="shared" si="15"/>
        <v>326.55</v>
      </c>
      <c r="I147" s="34">
        <f t="shared" si="16"/>
        <v>1781819.0953500001</v>
      </c>
      <c r="J147" s="409"/>
      <c r="K147" s="409"/>
      <c r="L147" s="409"/>
      <c r="M147" s="409"/>
      <c r="N147" s="409"/>
      <c r="O147" s="409"/>
      <c r="P147" s="409"/>
    </row>
    <row r="148" spans="1:16" x14ac:dyDescent="0.2">
      <c r="A148" s="234">
        <f t="shared" si="17"/>
        <v>130</v>
      </c>
      <c r="B148" s="4" t="s">
        <v>668</v>
      </c>
      <c r="C148" s="4" t="s">
        <v>668</v>
      </c>
      <c r="D148" s="4">
        <v>250</v>
      </c>
      <c r="E148" s="4">
        <f>INDEX('SRC-4 (S.D. Customers)'!$F$9:$F$25,MATCH(B148,'SRC-4 (S.D. Customers)'!$E$9:$E$25,0))</f>
        <v>1</v>
      </c>
      <c r="F148" s="4">
        <f t="shared" si="8"/>
        <v>1</v>
      </c>
      <c r="G148" s="24">
        <v>889449.13400000008</v>
      </c>
      <c r="H148" s="34">
        <f t="shared" si="15"/>
        <v>326.55</v>
      </c>
      <c r="I148" s="34">
        <f t="shared" si="16"/>
        <v>290449614.70770001</v>
      </c>
      <c r="J148" s="409"/>
      <c r="K148" s="409"/>
      <c r="L148" s="409"/>
      <c r="M148" s="409"/>
      <c r="N148" s="409"/>
      <c r="O148" s="409"/>
      <c r="P148" s="409"/>
    </row>
    <row r="149" spans="1:16" x14ac:dyDescent="0.2">
      <c r="A149" s="234">
        <f t="shared" si="17"/>
        <v>131</v>
      </c>
      <c r="B149" s="4" t="s">
        <v>668</v>
      </c>
      <c r="C149" s="4" t="s">
        <v>668</v>
      </c>
      <c r="D149" s="4">
        <v>275</v>
      </c>
      <c r="E149" s="4">
        <f>INDEX('SRC-4 (S.D. Customers)'!$F$9:$F$25,MATCH(B149,'SRC-4 (S.D. Customers)'!$E$9:$E$25,0))</f>
        <v>1</v>
      </c>
      <c r="F149" s="4">
        <f t="shared" si="8"/>
        <v>1</v>
      </c>
      <c r="G149" s="24">
        <v>194725.576</v>
      </c>
      <c r="H149" s="34">
        <f t="shared" si="15"/>
        <v>326.55</v>
      </c>
      <c r="I149" s="34">
        <f t="shared" si="16"/>
        <v>63587636.842799999</v>
      </c>
      <c r="J149" s="409"/>
      <c r="K149" s="409"/>
      <c r="L149" s="409"/>
      <c r="M149" s="409"/>
      <c r="N149" s="409"/>
      <c r="O149" s="409"/>
      <c r="P149" s="409"/>
    </row>
    <row r="150" spans="1:16" x14ac:dyDescent="0.2">
      <c r="A150" s="234">
        <f t="shared" si="17"/>
        <v>132</v>
      </c>
      <c r="B150" s="4" t="s">
        <v>668</v>
      </c>
      <c r="C150" s="4" t="s">
        <v>668</v>
      </c>
      <c r="D150" s="4">
        <v>305</v>
      </c>
      <c r="E150" s="4">
        <f>INDEX('SRC-4 (S.D. Customers)'!$F$9:$F$25,MATCH(B150,'SRC-4 (S.D. Customers)'!$E$9:$E$25,0))</f>
        <v>1</v>
      </c>
      <c r="F150" s="4">
        <f t="shared" si="8"/>
        <v>1</v>
      </c>
      <c r="G150" s="24">
        <v>12</v>
      </c>
      <c r="H150" s="34">
        <f t="shared" si="15"/>
        <v>326.55</v>
      </c>
      <c r="I150" s="34">
        <f t="shared" si="16"/>
        <v>3918.6000000000004</v>
      </c>
      <c r="J150" s="409"/>
      <c r="K150" s="409"/>
      <c r="L150" s="409"/>
      <c r="M150" s="409"/>
      <c r="N150" s="409"/>
      <c r="O150" s="409"/>
      <c r="P150" s="409"/>
    </row>
    <row r="151" spans="1:16" x14ac:dyDescent="0.2">
      <c r="A151" s="234">
        <f t="shared" si="17"/>
        <v>133</v>
      </c>
      <c r="B151" s="4" t="s">
        <v>668</v>
      </c>
      <c r="C151" s="4" t="s">
        <v>668</v>
      </c>
      <c r="D151" s="4">
        <v>310</v>
      </c>
      <c r="E151" s="4">
        <f>INDEX('SRC-4 (S.D. Customers)'!$F$9:$F$25,MATCH(B151,'SRC-4 (S.D. Customers)'!$E$9:$E$25,0))</f>
        <v>1</v>
      </c>
      <c r="F151" s="4">
        <f t="shared" si="8"/>
        <v>1</v>
      </c>
      <c r="G151" s="24">
        <v>12</v>
      </c>
      <c r="H151" s="34">
        <f t="shared" si="15"/>
        <v>326.55</v>
      </c>
      <c r="I151" s="34">
        <f t="shared" si="16"/>
        <v>3918.6000000000004</v>
      </c>
      <c r="J151" s="409"/>
      <c r="K151" s="409"/>
      <c r="L151" s="409"/>
      <c r="M151" s="409"/>
      <c r="N151" s="409"/>
      <c r="O151" s="409"/>
      <c r="P151" s="409"/>
    </row>
    <row r="152" spans="1:16" x14ac:dyDescent="0.2">
      <c r="A152" s="234">
        <f t="shared" si="17"/>
        <v>134</v>
      </c>
      <c r="B152" s="4" t="s">
        <v>668</v>
      </c>
      <c r="C152" s="4" t="s">
        <v>668</v>
      </c>
      <c r="D152" s="4">
        <v>400</v>
      </c>
      <c r="E152" s="4">
        <f>INDEX('SRC-4 (S.D. Customers)'!$F$9:$F$25,MATCH(B152,'SRC-4 (S.D. Customers)'!$E$9:$E$25,0))</f>
        <v>1</v>
      </c>
      <c r="F152" s="4">
        <f t="shared" si="8"/>
        <v>1</v>
      </c>
      <c r="G152" s="24">
        <v>831.69899999999996</v>
      </c>
      <c r="H152" s="34">
        <f t="shared" si="15"/>
        <v>1078.7548999999999</v>
      </c>
      <c r="I152" s="34">
        <f t="shared" si="16"/>
        <v>897199.37157509988</v>
      </c>
      <c r="J152" s="409"/>
      <c r="K152" s="409"/>
      <c r="L152" s="409"/>
      <c r="M152" s="409"/>
      <c r="N152" s="409"/>
      <c r="O152" s="409"/>
      <c r="P152" s="409"/>
    </row>
    <row r="153" spans="1:16" x14ac:dyDescent="0.2">
      <c r="A153" s="234">
        <f t="shared" si="17"/>
        <v>135</v>
      </c>
      <c r="B153" s="4" t="s">
        <v>668</v>
      </c>
      <c r="C153" s="4" t="s">
        <v>668</v>
      </c>
      <c r="D153" s="4">
        <v>402</v>
      </c>
      <c r="E153" s="4">
        <f>INDEX('SRC-4 (S.D. Customers)'!$F$9:$F$25,MATCH(B153,'SRC-4 (S.D. Customers)'!$E$9:$E$25,0))</f>
        <v>1</v>
      </c>
      <c r="F153" s="4">
        <f t="shared" si="8"/>
        <v>1</v>
      </c>
      <c r="G153" s="24">
        <v>15715.130999999999</v>
      </c>
      <c r="H153" s="34">
        <f t="shared" si="15"/>
        <v>1078.7548999999999</v>
      </c>
      <c r="I153" s="34">
        <f t="shared" si="16"/>
        <v>16952774.570391897</v>
      </c>
      <c r="J153" s="409"/>
      <c r="K153" s="409"/>
      <c r="L153" s="409"/>
      <c r="M153" s="409"/>
      <c r="N153" s="409"/>
      <c r="O153" s="409"/>
      <c r="P153" s="409"/>
    </row>
    <row r="154" spans="1:16" x14ac:dyDescent="0.2">
      <c r="A154" s="234">
        <f t="shared" si="17"/>
        <v>136</v>
      </c>
      <c r="B154" s="4" t="s">
        <v>668</v>
      </c>
      <c r="C154" s="4" t="s">
        <v>668</v>
      </c>
      <c r="D154" s="4">
        <v>415</v>
      </c>
      <c r="E154" s="4">
        <f>INDEX('SRC-4 (S.D. Customers)'!$F$9:$F$25,MATCH(B154,'SRC-4 (S.D. Customers)'!$E$9:$E$25,0))</f>
        <v>1</v>
      </c>
      <c r="F154" s="4">
        <f t="shared" si="8"/>
        <v>1</v>
      </c>
      <c r="G154" s="24">
        <v>310.767</v>
      </c>
      <c r="H154" s="34">
        <f t="shared" si="15"/>
        <v>1078.7548999999999</v>
      </c>
      <c r="I154" s="34">
        <f t="shared" si="16"/>
        <v>335241.42400829995</v>
      </c>
      <c r="J154" s="409"/>
      <c r="K154" s="409"/>
      <c r="L154" s="409"/>
      <c r="M154" s="409"/>
      <c r="N154" s="409"/>
      <c r="O154" s="409"/>
      <c r="P154" s="409"/>
    </row>
    <row r="155" spans="1:16" x14ac:dyDescent="0.2">
      <c r="A155" s="234">
        <f t="shared" si="17"/>
        <v>137</v>
      </c>
      <c r="B155" s="4" t="s">
        <v>668</v>
      </c>
      <c r="C155" s="4" t="s">
        <v>668</v>
      </c>
      <c r="D155" s="4">
        <v>416</v>
      </c>
      <c r="E155" s="4">
        <f>INDEX('SRC-4 (S.D. Customers)'!$F$9:$F$25,MATCH(B155,'SRC-4 (S.D. Customers)'!$E$9:$E$25,0))</f>
        <v>1</v>
      </c>
      <c r="F155" s="4">
        <f t="shared" si="8"/>
        <v>1</v>
      </c>
      <c r="G155" s="24">
        <v>1464.1680000000001</v>
      </c>
      <c r="H155" s="34">
        <f t="shared" si="15"/>
        <v>1078.7548999999999</v>
      </c>
      <c r="I155" s="34">
        <f t="shared" si="16"/>
        <v>1579478.4044232001</v>
      </c>
      <c r="J155" s="409"/>
      <c r="K155" s="409"/>
      <c r="L155" s="409"/>
      <c r="M155" s="409"/>
      <c r="N155" s="409"/>
      <c r="O155" s="409"/>
      <c r="P155" s="409"/>
    </row>
    <row r="156" spans="1:16" x14ac:dyDescent="0.2">
      <c r="A156" s="234">
        <f t="shared" si="17"/>
        <v>138</v>
      </c>
      <c r="B156" s="4" t="s">
        <v>668</v>
      </c>
      <c r="C156" s="4" t="s">
        <v>668</v>
      </c>
      <c r="D156" s="4">
        <v>425</v>
      </c>
      <c r="E156" s="4">
        <f>INDEX('SRC-4 (S.D. Customers)'!$F$9:$F$25,MATCH(B156,'SRC-4 (S.D. Customers)'!$E$9:$E$25,0))</f>
        <v>1</v>
      </c>
      <c r="F156" s="4">
        <f t="shared" si="8"/>
        <v>1</v>
      </c>
      <c r="G156" s="24">
        <v>22753.059000000001</v>
      </c>
      <c r="H156" s="34">
        <f t="shared" si="15"/>
        <v>1078.7548999999999</v>
      </c>
      <c r="I156" s="34">
        <f t="shared" si="16"/>
        <v>24544973.8862391</v>
      </c>
      <c r="J156" s="409"/>
      <c r="K156" s="409"/>
      <c r="L156" s="409"/>
      <c r="M156" s="409"/>
      <c r="N156" s="409"/>
      <c r="O156" s="409"/>
      <c r="P156" s="409"/>
    </row>
    <row r="157" spans="1:16" x14ac:dyDescent="0.2">
      <c r="A157" s="234">
        <f t="shared" si="17"/>
        <v>139</v>
      </c>
      <c r="B157" s="4" t="s">
        <v>668</v>
      </c>
      <c r="C157" s="4" t="s">
        <v>668</v>
      </c>
      <c r="D157" s="4">
        <v>630</v>
      </c>
      <c r="E157" s="4">
        <f>INDEX('SRC-4 (S.D. Customers)'!$F$9:$F$25,MATCH(B157,'SRC-4 (S.D. Customers)'!$E$9:$E$25,0))</f>
        <v>1</v>
      </c>
      <c r="F157" s="4">
        <f t="shared" si="8"/>
        <v>1</v>
      </c>
      <c r="G157" s="24">
        <v>8356.8670000000002</v>
      </c>
      <c r="H157" s="34">
        <f t="shared" si="15"/>
        <v>2272.0295999999998</v>
      </c>
      <c r="I157" s="34">
        <f t="shared" si="16"/>
        <v>18987049.187263198</v>
      </c>
      <c r="J157" s="409"/>
      <c r="K157" s="409"/>
      <c r="L157" s="409"/>
      <c r="M157" s="409"/>
      <c r="N157" s="409"/>
      <c r="O157" s="409"/>
      <c r="P157" s="409"/>
    </row>
    <row r="158" spans="1:16" x14ac:dyDescent="0.2">
      <c r="A158" s="234">
        <f t="shared" si="17"/>
        <v>140</v>
      </c>
      <c r="B158" s="4" t="s">
        <v>668</v>
      </c>
      <c r="C158" s="4" t="s">
        <v>668</v>
      </c>
      <c r="D158" s="4">
        <v>675</v>
      </c>
      <c r="E158" s="4">
        <f>INDEX('SRC-4 (S.D. Customers)'!$F$9:$F$25,MATCH(B158,'SRC-4 (S.D. Customers)'!$E$9:$E$25,0))</f>
        <v>1</v>
      </c>
      <c r="F158" s="4">
        <f t="shared" si="8"/>
        <v>1</v>
      </c>
      <c r="G158" s="24">
        <v>424.19899999999996</v>
      </c>
      <c r="H158" s="34">
        <f t="shared" si="15"/>
        <v>2272.0295999999998</v>
      </c>
      <c r="I158" s="34">
        <f t="shared" si="16"/>
        <v>963792.68429039989</v>
      </c>
      <c r="J158" s="409"/>
      <c r="K158" s="409"/>
      <c r="L158" s="409"/>
      <c r="M158" s="409"/>
      <c r="N158" s="409"/>
      <c r="O158" s="409"/>
      <c r="P158" s="409"/>
    </row>
    <row r="159" spans="1:16" x14ac:dyDescent="0.2">
      <c r="A159" s="234">
        <f t="shared" si="17"/>
        <v>141</v>
      </c>
      <c r="B159" s="4" t="s">
        <v>668</v>
      </c>
      <c r="C159" s="4" t="s">
        <v>668</v>
      </c>
      <c r="D159" s="4">
        <v>750</v>
      </c>
      <c r="E159" s="4">
        <f>INDEX('SRC-4 (S.D. Customers)'!$F$9:$F$25,MATCH(B159,'SRC-4 (S.D. Customers)'!$E$9:$E$25,0))</f>
        <v>1</v>
      </c>
      <c r="F159" s="4">
        <f t="shared" ref="F159:F167" si="18">INDEX(C$10:C$34,MATCH(D159,B$10:B$34))</f>
        <v>1</v>
      </c>
      <c r="G159" s="24">
        <v>802.99900000000002</v>
      </c>
      <c r="H159" s="34">
        <f t="shared" ref="H159:H167" si="19">INDEX(D$10:D$34,MATCH(D159,B$10:B$34))</f>
        <v>2272.0295999999998</v>
      </c>
      <c r="I159" s="34">
        <f t="shared" si="16"/>
        <v>1824437.4967703999</v>
      </c>
      <c r="J159" s="409"/>
      <c r="K159" s="409"/>
      <c r="L159" s="409"/>
      <c r="M159" s="409"/>
      <c r="N159" s="409"/>
      <c r="O159" s="409"/>
      <c r="P159" s="409"/>
    </row>
    <row r="160" spans="1:16" x14ac:dyDescent="0.2">
      <c r="A160" s="234">
        <f t="shared" si="17"/>
        <v>142</v>
      </c>
      <c r="B160" s="4" t="s">
        <v>668</v>
      </c>
      <c r="C160" s="4" t="s">
        <v>668</v>
      </c>
      <c r="D160" s="4">
        <v>800</v>
      </c>
      <c r="E160" s="4">
        <f>INDEX('SRC-4 (S.D. Customers)'!$F$9:$F$25,MATCH(B160,'SRC-4 (S.D. Customers)'!$E$9:$E$25,0))</f>
        <v>1</v>
      </c>
      <c r="F160" s="4">
        <f t="shared" si="18"/>
        <v>2</v>
      </c>
      <c r="G160" s="24">
        <v>1778.566</v>
      </c>
      <c r="H160" s="34">
        <f t="shared" si="19"/>
        <v>2272.0295999999998</v>
      </c>
      <c r="I160" s="34">
        <f t="shared" ref="I160:I165" si="20">G160*H160</f>
        <v>4040954.5975535996</v>
      </c>
      <c r="J160" s="409"/>
      <c r="K160" s="409"/>
      <c r="L160" s="409"/>
      <c r="M160" s="409"/>
      <c r="N160" s="409"/>
      <c r="O160" s="409"/>
      <c r="P160" s="409"/>
    </row>
    <row r="161" spans="1:16" x14ac:dyDescent="0.2">
      <c r="A161" s="234">
        <f t="shared" si="17"/>
        <v>143</v>
      </c>
      <c r="B161" s="4" t="s">
        <v>668</v>
      </c>
      <c r="C161" s="4" t="s">
        <v>668</v>
      </c>
      <c r="D161" s="4">
        <v>998</v>
      </c>
      <c r="E161" s="4">
        <f>INDEX('SRC-4 (S.D. Customers)'!$F$9:$F$25,MATCH(B161,'SRC-4 (S.D. Customers)'!$E$9:$E$25,0))</f>
        <v>1</v>
      </c>
      <c r="F161" s="4">
        <f t="shared" si="18"/>
        <v>2</v>
      </c>
      <c r="G161" s="24">
        <v>2706.9</v>
      </c>
      <c r="H161" s="34">
        <f t="shared" si="19"/>
        <v>2272.0295999999998</v>
      </c>
      <c r="I161" s="34">
        <f t="shared" si="20"/>
        <v>6150156.9242399996</v>
      </c>
      <c r="J161" s="409"/>
      <c r="K161" s="409"/>
      <c r="L161" s="409"/>
      <c r="M161" s="409"/>
      <c r="N161" s="409"/>
      <c r="O161" s="409"/>
      <c r="P161" s="409"/>
    </row>
    <row r="162" spans="1:16" x14ac:dyDescent="0.2">
      <c r="A162" s="234">
        <f t="shared" si="17"/>
        <v>144</v>
      </c>
      <c r="B162" s="4" t="s">
        <v>668</v>
      </c>
      <c r="C162" s="4" t="s">
        <v>668</v>
      </c>
      <c r="D162" s="4">
        <v>1000</v>
      </c>
      <c r="E162" s="4">
        <f>INDEX('SRC-4 (S.D. Customers)'!$F$9:$F$25,MATCH(B162,'SRC-4 (S.D. Customers)'!$E$9:$E$25,0))</f>
        <v>1</v>
      </c>
      <c r="F162" s="4">
        <f t="shared" si="18"/>
        <v>2</v>
      </c>
      <c r="G162" s="24">
        <v>2822.7</v>
      </c>
      <c r="H162" s="34">
        <f t="shared" si="19"/>
        <v>1802.2083000000002</v>
      </c>
      <c r="I162" s="34">
        <f t="shared" si="20"/>
        <v>5087093.3684100006</v>
      </c>
      <c r="J162" s="409"/>
      <c r="K162" s="409"/>
      <c r="L162" s="409"/>
      <c r="M162" s="409"/>
      <c r="N162" s="409"/>
      <c r="O162" s="409"/>
      <c r="P162" s="409"/>
    </row>
    <row r="163" spans="1:16" x14ac:dyDescent="0.2">
      <c r="A163" s="234">
        <f t="shared" si="17"/>
        <v>145</v>
      </c>
      <c r="B163" s="4" t="s">
        <v>668</v>
      </c>
      <c r="C163" s="4" t="s">
        <v>668</v>
      </c>
      <c r="D163" s="4">
        <v>3000</v>
      </c>
      <c r="E163" s="4">
        <f>INDEX('SRC-4 (S.D. Customers)'!$F$9:$F$25,MATCH(B163,'SRC-4 (S.D. Customers)'!$E$9:$E$25,0))</f>
        <v>1</v>
      </c>
      <c r="F163" s="4">
        <f t="shared" si="18"/>
        <v>2</v>
      </c>
      <c r="G163" s="24">
        <v>877.30200000000013</v>
      </c>
      <c r="H163" s="34">
        <f t="shared" si="19"/>
        <v>5335.25</v>
      </c>
      <c r="I163" s="34">
        <f t="shared" si="20"/>
        <v>4680625.4955000011</v>
      </c>
      <c r="J163" s="409"/>
      <c r="K163" s="409"/>
      <c r="L163" s="409"/>
      <c r="M163" s="409"/>
      <c r="N163" s="409"/>
      <c r="O163" s="409"/>
      <c r="P163" s="409"/>
    </row>
    <row r="164" spans="1:16" x14ac:dyDescent="0.2">
      <c r="A164" s="234">
        <f t="shared" si="17"/>
        <v>146</v>
      </c>
      <c r="B164" s="4" t="s">
        <v>668</v>
      </c>
      <c r="C164" s="4" t="s">
        <v>668</v>
      </c>
      <c r="D164" s="4">
        <v>5000</v>
      </c>
      <c r="E164" s="4">
        <f>INDEX('SRC-4 (S.D. Customers)'!$F$9:$F$25,MATCH(B164,'SRC-4 (S.D. Customers)'!$E$9:$E$25,0))</f>
        <v>1</v>
      </c>
      <c r="F164" s="4">
        <f t="shared" si="18"/>
        <v>3</v>
      </c>
      <c r="G164" s="24">
        <v>396.59899999999999</v>
      </c>
      <c r="H164" s="34">
        <f t="shared" si="19"/>
        <v>7207.91</v>
      </c>
      <c r="I164" s="34">
        <f t="shared" si="20"/>
        <v>2858649.8980899998</v>
      </c>
      <c r="J164" s="409"/>
      <c r="K164" s="409"/>
      <c r="L164" s="409"/>
      <c r="M164" s="409"/>
      <c r="N164" s="409"/>
      <c r="O164" s="409"/>
      <c r="P164" s="409"/>
    </row>
    <row r="165" spans="1:16" x14ac:dyDescent="0.2">
      <c r="A165" s="234">
        <f t="shared" si="17"/>
        <v>147</v>
      </c>
      <c r="B165" s="4" t="s">
        <v>668</v>
      </c>
      <c r="C165" s="4" t="s">
        <v>668</v>
      </c>
      <c r="D165" s="4">
        <v>7000</v>
      </c>
      <c r="E165" s="4">
        <f>INDEX('SRC-4 (S.D. Customers)'!$F$9:$F$25,MATCH(B165,'SRC-4 (S.D. Customers)'!$E$9:$E$25,0))</f>
        <v>1</v>
      </c>
      <c r="F165" s="4">
        <f t="shared" si="18"/>
        <v>3</v>
      </c>
      <c r="G165" s="24">
        <v>152.86700000000002</v>
      </c>
      <c r="H165" s="34">
        <f t="shared" si="19"/>
        <v>7207.91</v>
      </c>
      <c r="I165" s="34">
        <f t="shared" si="20"/>
        <v>1101851.5779700002</v>
      </c>
      <c r="J165" s="409"/>
      <c r="K165" s="409"/>
      <c r="L165" s="409"/>
      <c r="M165" s="409"/>
      <c r="N165" s="409"/>
      <c r="O165" s="409"/>
      <c r="P165" s="409"/>
    </row>
    <row r="166" spans="1:16" x14ac:dyDescent="0.2">
      <c r="A166" s="234">
        <f t="shared" ref="A166" si="21">+A165+1</f>
        <v>148</v>
      </c>
      <c r="B166" s="4" t="s">
        <v>668</v>
      </c>
      <c r="C166" s="4" t="s">
        <v>668</v>
      </c>
      <c r="D166" s="4">
        <v>11000</v>
      </c>
      <c r="E166" s="4">
        <f>INDEX('SRC-4 (S.D. Customers)'!$F$9:$F$25,MATCH(B166,'SRC-4 (S.D. Customers)'!$E$9:$E$25,0))</f>
        <v>1</v>
      </c>
      <c r="F166" s="4">
        <f t="shared" ref="F166" si="22">INDEX(C$10:C$34,MATCH(D166,B$10:B$34))</f>
        <v>3</v>
      </c>
      <c r="G166" s="24">
        <v>24.466000000000001</v>
      </c>
      <c r="H166" s="34">
        <f t="shared" ref="H166" si="23">INDEX(D$10:D$34,MATCH(D166,B$10:B$34))</f>
        <v>11005.85</v>
      </c>
      <c r="I166" s="34">
        <f t="shared" ref="I166" si="24">G166*H166</f>
        <v>269269.12609999999</v>
      </c>
      <c r="J166" s="409"/>
      <c r="K166" s="409"/>
      <c r="L166" s="409"/>
      <c r="M166" s="409"/>
      <c r="N166" s="409"/>
      <c r="O166" s="409"/>
      <c r="P166" s="409"/>
    </row>
    <row r="167" spans="1:16" x14ac:dyDescent="0.2">
      <c r="A167" s="234">
        <f>+A165+1</f>
        <v>148</v>
      </c>
      <c r="B167" s="4" t="s">
        <v>669</v>
      </c>
      <c r="C167" s="4" t="s">
        <v>669</v>
      </c>
      <c r="D167" s="4">
        <v>1000</v>
      </c>
      <c r="E167" s="4">
        <f>INDEX('SRC-4 (S.D. Customers)'!$F$9:$F$25,MATCH(B167,'SRC-4 (S.D. Customers)'!$E$9:$E$25,0))</f>
        <v>1</v>
      </c>
      <c r="F167" s="4">
        <f t="shared" si="18"/>
        <v>2</v>
      </c>
      <c r="G167" s="24">
        <v>0</v>
      </c>
      <c r="H167" s="34">
        <f t="shared" si="19"/>
        <v>1802.2083000000002</v>
      </c>
      <c r="I167" s="34">
        <f t="shared" ref="I167" si="25">G167*H167</f>
        <v>0</v>
      </c>
      <c r="J167" s="409"/>
      <c r="K167" s="409"/>
      <c r="L167" s="409"/>
      <c r="M167" s="409"/>
      <c r="N167" s="409"/>
      <c r="O167" s="409"/>
      <c r="P167" s="409"/>
    </row>
    <row r="168" spans="1:16" ht="13.5" thickBot="1" x14ac:dyDescent="0.25">
      <c r="G168" s="411">
        <f>SUM(G44:G167)</f>
        <v>1367418.1840000001</v>
      </c>
    </row>
    <row r="169" spans="1:16" ht="13.5" thickTop="1" x14ac:dyDescent="0.2">
      <c r="A169" s="4" t="s">
        <v>1022</v>
      </c>
    </row>
    <row r="170" spans="1:16" x14ac:dyDescent="0.2">
      <c r="A170" s="66" t="s">
        <v>830</v>
      </c>
    </row>
    <row r="171" spans="1:16" x14ac:dyDescent="0.2">
      <c r="A171" s="4" t="s">
        <v>655</v>
      </c>
    </row>
    <row r="172" spans="1:16" x14ac:dyDescent="0.2">
      <c r="A172" t="s">
        <v>1194</v>
      </c>
    </row>
    <row r="173" spans="1:16" x14ac:dyDescent="0.2">
      <c r="A173" s="4" t="s">
        <v>657</v>
      </c>
    </row>
    <row r="174" spans="1:16" x14ac:dyDescent="0.2">
      <c r="A174" s="4" t="s">
        <v>658</v>
      </c>
    </row>
    <row r="175" spans="1:16" x14ac:dyDescent="0.2">
      <c r="A175" s="66"/>
    </row>
    <row r="177" spans="1:12" ht="15.75" x14ac:dyDescent="0.25">
      <c r="A177" s="168" t="s">
        <v>660</v>
      </c>
    </row>
    <row r="178" spans="1:12" x14ac:dyDescent="0.2">
      <c r="F178" s="13" t="s">
        <v>757</v>
      </c>
      <c r="G178" s="13" t="s">
        <v>760</v>
      </c>
      <c r="H178" s="13" t="s">
        <v>533</v>
      </c>
    </row>
    <row r="179" spans="1:12" x14ac:dyDescent="0.2">
      <c r="B179" s="13"/>
      <c r="C179" s="13"/>
      <c r="D179" s="13" t="s">
        <v>532</v>
      </c>
      <c r="E179" s="13" t="s">
        <v>533</v>
      </c>
      <c r="F179" s="13" t="s">
        <v>761</v>
      </c>
      <c r="G179" s="13" t="s">
        <v>761</v>
      </c>
      <c r="H179" s="13" t="s">
        <v>762</v>
      </c>
    </row>
    <row r="180" spans="1:12" x14ac:dyDescent="0.2">
      <c r="A180" s="232" t="s">
        <v>24</v>
      </c>
      <c r="B180" s="12" t="s">
        <v>907</v>
      </c>
      <c r="C180" s="12" t="s">
        <v>514</v>
      </c>
      <c r="D180" s="12" t="s">
        <v>536</v>
      </c>
      <c r="E180" s="12" t="s">
        <v>536</v>
      </c>
      <c r="F180" s="12" t="s">
        <v>536</v>
      </c>
      <c r="G180" s="12" t="s">
        <v>536</v>
      </c>
      <c r="H180" s="12" t="s">
        <v>536</v>
      </c>
      <c r="I180" s="12" t="s">
        <v>272</v>
      </c>
      <c r="J180" s="286" t="s">
        <v>44</v>
      </c>
      <c r="K180" s="232"/>
      <c r="L180" s="232"/>
    </row>
    <row r="181" spans="1:12" x14ac:dyDescent="0.2">
      <c r="B181" s="407" t="s">
        <v>26</v>
      </c>
      <c r="C181" s="407" t="s">
        <v>27</v>
      </c>
      <c r="D181" s="407" t="s">
        <v>28</v>
      </c>
      <c r="E181" s="407" t="s">
        <v>29</v>
      </c>
      <c r="F181" s="407" t="s">
        <v>36</v>
      </c>
      <c r="G181" s="405" t="s">
        <v>30</v>
      </c>
      <c r="H181" s="405" t="s">
        <v>31</v>
      </c>
      <c r="I181" s="405" t="s">
        <v>32</v>
      </c>
    </row>
    <row r="182" spans="1:12" x14ac:dyDescent="0.2">
      <c r="B182" s="13"/>
      <c r="C182" s="13"/>
      <c r="D182" s="13"/>
      <c r="E182" s="13"/>
      <c r="F182" s="13"/>
    </row>
    <row r="183" spans="1:12" x14ac:dyDescent="0.2">
      <c r="A183" s="234">
        <f>A167+1</f>
        <v>149</v>
      </c>
      <c r="B183" s="409">
        <v>1</v>
      </c>
      <c r="C183" s="49">
        <f>+C258</f>
        <v>1341269.56</v>
      </c>
      <c r="D183" s="34">
        <f>SUMIF($F$44:$F$167,$B183,I$44:I$167)</f>
        <v>496601679.78896928</v>
      </c>
      <c r="E183" s="34">
        <f>D183*$E$190</f>
        <v>6422112.2868244015</v>
      </c>
      <c r="F183" s="262">
        <f>E183/C183</f>
        <v>4.7880847208851893</v>
      </c>
      <c r="G183" s="389">
        <v>4.75</v>
      </c>
      <c r="H183" s="34">
        <f>G183*C183</f>
        <v>6371030.4100000001</v>
      </c>
      <c r="I183" s="34"/>
      <c r="J183" t="s">
        <v>1144</v>
      </c>
    </row>
    <row r="184" spans="1:12" x14ac:dyDescent="0.2">
      <c r="A184" s="234">
        <f>A183+1</f>
        <v>150</v>
      </c>
      <c r="B184" s="409">
        <v>2</v>
      </c>
      <c r="C184" s="49">
        <f>+D258</f>
        <v>20232.059999999998</v>
      </c>
      <c r="D184" s="34">
        <f>SUMIF($F$44:$F$167,$B184,I$44:I$167)</f>
        <v>59344839.999155402</v>
      </c>
      <c r="E184" s="34">
        <f>D184*$E$190</f>
        <v>767454.5649546748</v>
      </c>
      <c r="F184" s="262">
        <f>E184/C184</f>
        <v>37.93259633248789</v>
      </c>
      <c r="G184" s="390">
        <v>38</v>
      </c>
      <c r="H184" s="34">
        <f t="shared" ref="H184:H186" si="26">G184*C184</f>
        <v>768818.27999999991</v>
      </c>
      <c r="I184" s="34"/>
      <c r="J184" t="s">
        <v>1145</v>
      </c>
    </row>
    <row r="185" spans="1:12" x14ac:dyDescent="0.2">
      <c r="A185" s="234">
        <f t="shared" ref="A185:A187" si="27">A184+1</f>
        <v>151</v>
      </c>
      <c r="B185" s="409">
        <v>3</v>
      </c>
      <c r="C185" s="49">
        <f>+E258</f>
        <v>5260.4199999999992</v>
      </c>
      <c r="D185" s="34">
        <f>SUMIF($F$44:$F$167,$B185,I$44:I$167)</f>
        <v>42252768.569129989</v>
      </c>
      <c r="E185" s="34">
        <f>D185*$E$190</f>
        <v>546417.85403438134</v>
      </c>
      <c r="F185" s="262">
        <f t="shared" ref="F185:F186" si="28">E185/C185</f>
        <v>103.87342722337407</v>
      </c>
      <c r="G185" s="390">
        <v>104</v>
      </c>
      <c r="H185" s="34">
        <f t="shared" si="26"/>
        <v>547083.67999999993</v>
      </c>
      <c r="I185" s="34"/>
      <c r="J185" t="s">
        <v>1146</v>
      </c>
    </row>
    <row r="186" spans="1:12" x14ac:dyDescent="0.2">
      <c r="A186" s="286">
        <f t="shared" si="27"/>
        <v>152</v>
      </c>
      <c r="B186" s="426">
        <v>4</v>
      </c>
      <c r="C186" s="325">
        <f>+F258</f>
        <v>413.923</v>
      </c>
      <c r="D186" s="9">
        <f>SUMIF($F$44:$F$167,$B186,I$44:I$167)</f>
        <v>5711180.0470500011</v>
      </c>
      <c r="E186" s="9">
        <f>D186*$E$190</f>
        <v>73857.663083242922</v>
      </c>
      <c r="F186" s="229">
        <f t="shared" si="28"/>
        <v>178.43333925209018</v>
      </c>
      <c r="G186" s="391">
        <v>179</v>
      </c>
      <c r="H186" s="435">
        <f t="shared" si="26"/>
        <v>74092.217000000004</v>
      </c>
      <c r="I186" s="9"/>
      <c r="J186" t="s">
        <v>1147</v>
      </c>
    </row>
    <row r="187" spans="1:12" ht="13.5" thickBot="1" x14ac:dyDescent="0.25">
      <c r="A187" s="412">
        <f t="shared" si="27"/>
        <v>153</v>
      </c>
      <c r="B187" s="413" t="s">
        <v>177</v>
      </c>
      <c r="C187" s="411">
        <f>SUM(C183:C186)</f>
        <v>1367175.963</v>
      </c>
      <c r="D187" s="414">
        <f>SUM(D183:D186)</f>
        <v>603910468.40430462</v>
      </c>
      <c r="E187" s="414">
        <f>SUM(E183:E186)</f>
        <v>7809842.3688967004</v>
      </c>
      <c r="F187" s="415"/>
      <c r="G187" s="416"/>
      <c r="H187" s="417">
        <f>SUM(H183:H186)</f>
        <v>7761024.5870000003</v>
      </c>
      <c r="I187" s="417">
        <f>E187-H187</f>
        <v>48817.781896700151</v>
      </c>
    </row>
    <row r="188" spans="1:12" ht="13.5" thickTop="1" x14ac:dyDescent="0.2"/>
    <row r="189" spans="1:12" x14ac:dyDescent="0.2">
      <c r="A189" s="234">
        <f>A187+1</f>
        <v>154</v>
      </c>
      <c r="B189" s="409" t="s">
        <v>537</v>
      </c>
      <c r="C189" s="409"/>
      <c r="D189" s="409"/>
      <c r="E189" s="28">
        <f>'CLS1-1 (Class COS)'!C11</f>
        <v>7809842.3688967004</v>
      </c>
      <c r="F189" s="409"/>
      <c r="G189" s="4" t="s">
        <v>659</v>
      </c>
    </row>
    <row r="190" spans="1:12" x14ac:dyDescent="0.2">
      <c r="A190" s="234">
        <f>A189+1</f>
        <v>155</v>
      </c>
      <c r="B190" s="409" t="s">
        <v>863</v>
      </c>
      <c r="C190" s="409"/>
      <c r="D190" s="409"/>
      <c r="E190" s="47">
        <f>E189/D187</f>
        <v>1.293211954005769E-2</v>
      </c>
      <c r="F190" s="410"/>
      <c r="G190" s="4" t="s">
        <v>831</v>
      </c>
    </row>
    <row r="191" spans="1:12" x14ac:dyDescent="0.2">
      <c r="A191" s="234"/>
      <c r="B191" s="409"/>
      <c r="C191" s="409"/>
      <c r="D191" s="409"/>
      <c r="E191" s="47"/>
      <c r="F191" s="410"/>
    </row>
    <row r="192" spans="1:12" x14ac:dyDescent="0.2">
      <c r="B192" s="409"/>
      <c r="C192" s="409"/>
      <c r="D192" s="504" t="s">
        <v>758</v>
      </c>
      <c r="E192" s="504"/>
      <c r="F192" s="504"/>
      <c r="G192" s="504"/>
      <c r="H192" s="13" t="s">
        <v>759</v>
      </c>
    </row>
    <row r="193" spans="1:13" x14ac:dyDescent="0.2">
      <c r="A193" s="232"/>
      <c r="B193" s="419" t="s">
        <v>1036</v>
      </c>
      <c r="C193" s="419" t="s">
        <v>514</v>
      </c>
      <c r="D193" s="418">
        <v>1</v>
      </c>
      <c r="E193" s="418">
        <v>2</v>
      </c>
      <c r="F193" s="418">
        <v>3</v>
      </c>
      <c r="G193" s="418">
        <v>4</v>
      </c>
      <c r="H193" s="12" t="s">
        <v>148</v>
      </c>
    </row>
    <row r="194" spans="1:13" ht="12.75" customHeight="1" x14ac:dyDescent="0.2">
      <c r="A194" s="234">
        <f>A190+1</f>
        <v>156</v>
      </c>
      <c r="B194" s="409">
        <v>1</v>
      </c>
      <c r="C194" s="81">
        <f>SUM(D194:G194)</f>
        <v>1343450.953</v>
      </c>
      <c r="D194" s="420">
        <f>+C255</f>
        <v>1334201</v>
      </c>
      <c r="E194" s="421">
        <f t="shared" ref="E194:G194" si="29">+D255</f>
        <v>8506.23</v>
      </c>
      <c r="F194" s="421">
        <f t="shared" si="29"/>
        <v>694.95</v>
      </c>
      <c r="G194" s="422">
        <f t="shared" si="29"/>
        <v>48.773000000000003</v>
      </c>
      <c r="H194" s="204">
        <f>(D194*($F$183-$G$183))+(E194*($F$184-$G$184))+(F194*($F$185-$G$185))+(G194*($F$186-$G$186))</f>
        <v>50123.722095264951</v>
      </c>
      <c r="I194" s="505" t="s">
        <v>908</v>
      </c>
      <c r="J194" s="506"/>
      <c r="K194" s="506"/>
      <c r="L194" s="506"/>
      <c r="M194" s="506"/>
    </row>
    <row r="195" spans="1:13" x14ac:dyDescent="0.2">
      <c r="A195" s="234">
        <f>A194+1</f>
        <v>157</v>
      </c>
      <c r="B195" s="409">
        <v>2</v>
      </c>
      <c r="C195" s="81">
        <f>SUM(D195:G195)</f>
        <v>23470.01</v>
      </c>
      <c r="D195" s="423">
        <f t="shared" ref="D195:G195" si="30">+C256</f>
        <v>7068.5599999999995</v>
      </c>
      <c r="E195" s="424">
        <f t="shared" si="30"/>
        <v>11725.83</v>
      </c>
      <c r="F195" s="424">
        <f t="shared" si="30"/>
        <v>4430.0199999999995</v>
      </c>
      <c r="G195" s="425">
        <f t="shared" si="30"/>
        <v>245.59999999999997</v>
      </c>
      <c r="H195" s="204">
        <f t="shared" ref="H195" si="31">(D195*($F$183-$G$183))+(E195*($F$184-$G$184))+(F195*($F$185-$G$185))+(G195*($F$186-$G$186))</f>
        <v>-1221.0516235583873</v>
      </c>
      <c r="I195" s="505"/>
      <c r="J195" s="506"/>
      <c r="K195" s="506"/>
      <c r="L195" s="506"/>
      <c r="M195" s="506"/>
    </row>
    <row r="196" spans="1:13" x14ac:dyDescent="0.2">
      <c r="A196" s="286">
        <f>A195+1</f>
        <v>158</v>
      </c>
      <c r="B196" s="426">
        <v>3</v>
      </c>
      <c r="C196" s="427">
        <f>SUM(D196:G196)</f>
        <v>255</v>
      </c>
      <c r="D196" s="428">
        <f t="shared" ref="D196:G196" si="32">+C257</f>
        <v>0</v>
      </c>
      <c r="E196" s="427">
        <f t="shared" si="32"/>
        <v>0</v>
      </c>
      <c r="F196" s="427">
        <f t="shared" si="32"/>
        <v>135.44999999999999</v>
      </c>
      <c r="G196" s="429">
        <f t="shared" si="32"/>
        <v>119.55</v>
      </c>
      <c r="H196" s="205">
        <f>(D196*($F$183-$G$183))+(E196*($F$184-$G$184))+(F196*($F$185-$G$185))+(G196*($F$186-$G$186))</f>
        <v>-84.888575006602025</v>
      </c>
      <c r="I196" s="505"/>
      <c r="J196" s="506"/>
      <c r="K196" s="506"/>
      <c r="L196" s="506"/>
      <c r="M196" s="506"/>
    </row>
    <row r="197" spans="1:13" ht="13.5" thickBot="1" x14ac:dyDescent="0.25">
      <c r="A197" s="412">
        <f>A196+1</f>
        <v>159</v>
      </c>
      <c r="B197" s="413" t="s">
        <v>177</v>
      </c>
      <c r="C197" s="411">
        <f>SUM(C194:C196)</f>
        <v>1367175.963</v>
      </c>
      <c r="D197" s="411">
        <f>SUM(D194:D196)</f>
        <v>1341269.56</v>
      </c>
      <c r="E197" s="411">
        <f t="shared" ref="E197:G197" si="33">SUM(E194:E196)</f>
        <v>20232.059999999998</v>
      </c>
      <c r="F197" s="411">
        <f t="shared" si="33"/>
        <v>5260.4199999999992</v>
      </c>
      <c r="G197" s="411">
        <f t="shared" si="33"/>
        <v>413.923</v>
      </c>
      <c r="H197" s="207">
        <f>SUM(H194:H196)</f>
        <v>48817.781896699962</v>
      </c>
      <c r="I197" s="505"/>
      <c r="J197" s="506"/>
      <c r="K197" s="506"/>
      <c r="L197" s="506"/>
      <c r="M197" s="506"/>
    </row>
    <row r="198" spans="1:13" ht="13.5" thickTop="1" x14ac:dyDescent="0.2">
      <c r="A198" s="234"/>
      <c r="B198" s="409"/>
      <c r="C198" s="409"/>
      <c r="D198" s="409"/>
      <c r="E198" s="47"/>
      <c r="F198" s="410"/>
    </row>
    <row r="199" spans="1:13" x14ac:dyDescent="0.2">
      <c r="B199" s="409"/>
      <c r="C199" s="409"/>
      <c r="D199" s="409"/>
      <c r="E199" s="409"/>
      <c r="F199" s="409"/>
    </row>
    <row r="200" spans="1:13" x14ac:dyDescent="0.2">
      <c r="D200" s="430" t="s">
        <v>532</v>
      </c>
      <c r="E200" s="430" t="s">
        <v>531</v>
      </c>
      <c r="F200" s="430" t="s">
        <v>22</v>
      </c>
    </row>
    <row r="201" spans="1:13" x14ac:dyDescent="0.2">
      <c r="A201" s="232"/>
      <c r="B201" s="419" t="s">
        <v>175</v>
      </c>
      <c r="C201" s="419" t="s">
        <v>514</v>
      </c>
      <c r="D201" s="419" t="s">
        <v>536</v>
      </c>
      <c r="E201" s="419" t="s">
        <v>536</v>
      </c>
      <c r="F201" s="419" t="s">
        <v>560</v>
      </c>
    </row>
    <row r="202" spans="1:13" x14ac:dyDescent="0.2">
      <c r="A202" s="234">
        <f>A197+1</f>
        <v>160</v>
      </c>
      <c r="B202" s="409">
        <v>1</v>
      </c>
      <c r="C202" s="49">
        <f>+C194</f>
        <v>1343450.953</v>
      </c>
      <c r="D202" s="34">
        <f>SUMIF($E$44:$E$165,$B202,I$44:I$165)</f>
        <v>513055080.0384087</v>
      </c>
      <c r="E202" s="262">
        <f>D202/C202</f>
        <v>381.89342074061466</v>
      </c>
      <c r="F202" s="410">
        <f>E202/E$202</f>
        <v>1</v>
      </c>
      <c r="G202" s="433" t="s">
        <v>832</v>
      </c>
    </row>
    <row r="203" spans="1:13" x14ac:dyDescent="0.2">
      <c r="A203" s="234">
        <f>A202+1</f>
        <v>161</v>
      </c>
      <c r="B203" s="409">
        <v>2</v>
      </c>
      <c r="C203" s="49">
        <f>+C195</f>
        <v>23470.01</v>
      </c>
      <c r="D203" s="34">
        <f>SUMIF($E$44:$E$165,$B203,I$44:I$165)</f>
        <v>87279273.983096018</v>
      </c>
      <c r="E203" s="262">
        <f>D203/C203</f>
        <v>3718.7574263111105</v>
      </c>
      <c r="F203" s="410">
        <f>E203/E$202</f>
        <v>9.7376839305040637</v>
      </c>
      <c r="G203" s="433" t="s">
        <v>663</v>
      </c>
    </row>
    <row r="204" spans="1:13" x14ac:dyDescent="0.2">
      <c r="A204" s="286">
        <f>A203+1</f>
        <v>162</v>
      </c>
      <c r="B204" s="426">
        <v>3</v>
      </c>
      <c r="C204" s="325">
        <f>+C196</f>
        <v>255</v>
      </c>
      <c r="D204" s="9">
        <f>SUMIF($E$44:$E$165,$B204,I$44:I$165)</f>
        <v>3306845.2566999998</v>
      </c>
      <c r="E204" s="229">
        <f t="shared" ref="E204:E205" si="34">D204/C204</f>
        <v>12968.020614509804</v>
      </c>
      <c r="F204" s="434">
        <f>E204/E$202</f>
        <v>33.957172106711404</v>
      </c>
      <c r="G204" s="433"/>
    </row>
    <row r="205" spans="1:13" x14ac:dyDescent="0.2">
      <c r="A205" s="234">
        <f>A204+1</f>
        <v>163</v>
      </c>
      <c r="B205" s="430" t="s">
        <v>177</v>
      </c>
      <c r="C205" s="49">
        <f>SUM(C202:C204)</f>
        <v>1367175.963</v>
      </c>
      <c r="D205" s="34">
        <f>SUM(D202:D204)</f>
        <v>603641199.2782048</v>
      </c>
      <c r="E205" s="262">
        <f t="shared" si="34"/>
        <v>441.52414584120714</v>
      </c>
      <c r="F205" s="409"/>
    </row>
    <row r="206" spans="1:13" x14ac:dyDescent="0.2">
      <c r="B206" s="409"/>
      <c r="C206" s="409"/>
      <c r="D206" s="409"/>
      <c r="E206" s="409"/>
      <c r="F206" s="409"/>
    </row>
    <row r="207" spans="1:13" x14ac:dyDescent="0.2">
      <c r="B207" s="167"/>
      <c r="C207" s="430" t="s">
        <v>532</v>
      </c>
      <c r="D207" s="430" t="s">
        <v>22</v>
      </c>
      <c r="E207" s="409"/>
      <c r="F207" s="409"/>
    </row>
    <row r="208" spans="1:13" x14ac:dyDescent="0.2">
      <c r="A208" s="232"/>
      <c r="B208" s="166" t="s">
        <v>306</v>
      </c>
      <c r="C208" s="419" t="s">
        <v>536</v>
      </c>
      <c r="D208" s="419" t="s">
        <v>560</v>
      </c>
      <c r="E208" s="409"/>
      <c r="F208" s="409"/>
    </row>
    <row r="209" spans="1:7" x14ac:dyDescent="0.2">
      <c r="A209" s="234">
        <f>A205+1</f>
        <v>164</v>
      </c>
      <c r="B209" s="409" t="s">
        <v>417</v>
      </c>
      <c r="C209" s="262">
        <v>196.0752</v>
      </c>
      <c r="D209" s="431">
        <f>C209/C$209</f>
        <v>1</v>
      </c>
      <c r="E209" s="409" t="s">
        <v>833</v>
      </c>
      <c r="F209" s="409"/>
    </row>
    <row r="210" spans="1:7" x14ac:dyDescent="0.2">
      <c r="A210" s="234">
        <f>A209+1</f>
        <v>165</v>
      </c>
      <c r="B210" s="409" t="s">
        <v>418</v>
      </c>
      <c r="C210" s="262">
        <v>1267.0401999999999</v>
      </c>
      <c r="D210" s="431">
        <f>C210/C$209</f>
        <v>6.4620115139497498</v>
      </c>
      <c r="E210" s="409" t="s">
        <v>1197</v>
      </c>
      <c r="F210" s="409"/>
    </row>
    <row r="211" spans="1:7" x14ac:dyDescent="0.2">
      <c r="A211" s="234">
        <f>A210+1</f>
        <v>166</v>
      </c>
      <c r="B211" s="409" t="s">
        <v>419</v>
      </c>
      <c r="C211" s="262">
        <v>1881.7075</v>
      </c>
      <c r="D211" s="431">
        <f>C211/C$209</f>
        <v>9.5968664063583766</v>
      </c>
      <c r="E211" s="409"/>
      <c r="F211" s="409"/>
    </row>
    <row r="212" spans="1:7" x14ac:dyDescent="0.2">
      <c r="A212" s="234"/>
      <c r="B212" s="409"/>
      <c r="C212" s="409"/>
      <c r="D212" s="409"/>
      <c r="E212" s="409"/>
      <c r="F212" s="409"/>
    </row>
    <row r="213" spans="1:7" x14ac:dyDescent="0.2">
      <c r="A213" s="234"/>
      <c r="B213" s="409"/>
      <c r="C213" s="430" t="s">
        <v>532</v>
      </c>
      <c r="D213" s="430" t="s">
        <v>22</v>
      </c>
      <c r="E213" s="409"/>
      <c r="F213" s="409"/>
    </row>
    <row r="214" spans="1:7" x14ac:dyDescent="0.2">
      <c r="A214" s="286"/>
      <c r="B214" s="166" t="s">
        <v>19</v>
      </c>
      <c r="C214" s="419" t="s">
        <v>536</v>
      </c>
      <c r="D214" s="419" t="s">
        <v>560</v>
      </c>
      <c r="E214" s="409"/>
      <c r="F214" s="409"/>
    </row>
    <row r="215" spans="1:7" x14ac:dyDescent="0.2">
      <c r="A215" s="234">
        <f>A211+1</f>
        <v>167</v>
      </c>
      <c r="B215" s="409" t="s">
        <v>417</v>
      </c>
      <c r="C215" s="262">
        <v>984.33842634293796</v>
      </c>
      <c r="D215" s="431">
        <f>C215/C$215</f>
        <v>1</v>
      </c>
      <c r="E215" s="409" t="s">
        <v>834</v>
      </c>
      <c r="F215" s="409"/>
    </row>
    <row r="216" spans="1:7" x14ac:dyDescent="0.2">
      <c r="A216" s="234">
        <f>A215+1</f>
        <v>168</v>
      </c>
      <c r="B216" s="409" t="s">
        <v>418</v>
      </c>
      <c r="C216" s="262">
        <v>3223.099801587301</v>
      </c>
      <c r="D216" s="431">
        <f>C216/C$215</f>
        <v>3.2743817729049938</v>
      </c>
      <c r="E216" s="409" t="s">
        <v>1202</v>
      </c>
      <c r="F216" s="409"/>
    </row>
    <row r="217" spans="1:7" x14ac:dyDescent="0.2">
      <c r="A217" s="234">
        <f>A216+1</f>
        <v>169</v>
      </c>
      <c r="B217" s="409" t="s">
        <v>419</v>
      </c>
      <c r="C217" s="262">
        <v>12699.180909090908</v>
      </c>
      <c r="D217" s="431">
        <f>C217/C$215</f>
        <v>12.901234544171484</v>
      </c>
      <c r="E217" s="409"/>
      <c r="F217" s="409"/>
    </row>
    <row r="218" spans="1:7" x14ac:dyDescent="0.2">
      <c r="B218" s="409"/>
      <c r="C218" s="409"/>
      <c r="D218" s="409"/>
      <c r="E218" s="409"/>
      <c r="F218" s="409"/>
    </row>
    <row r="219" spans="1:7" x14ac:dyDescent="0.2">
      <c r="C219" s="507" t="s">
        <v>1042</v>
      </c>
      <c r="D219" s="507"/>
      <c r="E219" s="507"/>
      <c r="F219" s="507"/>
      <c r="G219" s="507"/>
    </row>
    <row r="220" spans="1:7" x14ac:dyDescent="0.2">
      <c r="A220" s="232"/>
      <c r="B220" s="12" t="s">
        <v>249</v>
      </c>
      <c r="C220" s="232">
        <v>1</v>
      </c>
      <c r="D220" s="232">
        <v>2</v>
      </c>
      <c r="E220" s="232">
        <v>3</v>
      </c>
      <c r="F220" s="232">
        <v>4</v>
      </c>
      <c r="G220" s="406" t="s">
        <v>177</v>
      </c>
    </row>
    <row r="221" spans="1:7" x14ac:dyDescent="0.2">
      <c r="A221" s="234">
        <f>+A217+1</f>
        <v>170</v>
      </c>
      <c r="B221" s="13" t="s">
        <v>670</v>
      </c>
      <c r="C221" s="81">
        <f t="shared" ref="C221:F233" si="35">SUMIFS($G$44:$G$167,$B$44:$B$167,$B221,$F$44:$F$167,C$220)</f>
        <v>1200.8979999999999</v>
      </c>
      <c r="D221" s="81">
        <f t="shared" si="35"/>
        <v>448.70100000000002</v>
      </c>
      <c r="E221" s="81">
        <f t="shared" si="35"/>
        <v>20</v>
      </c>
      <c r="F221" s="81">
        <f t="shared" si="35"/>
        <v>0</v>
      </c>
      <c r="G221" s="377">
        <f>SUM(C221:F221)</f>
        <v>1669.5989999999999</v>
      </c>
    </row>
    <row r="222" spans="1:7" x14ac:dyDescent="0.2">
      <c r="A222" s="234">
        <f>+A221+1</f>
        <v>171</v>
      </c>
      <c r="B222" s="13" t="s">
        <v>435</v>
      </c>
      <c r="C222" s="81">
        <f t="shared" si="35"/>
        <v>0</v>
      </c>
      <c r="D222" s="81">
        <f t="shared" si="35"/>
        <v>29.7</v>
      </c>
      <c r="E222" s="81">
        <f t="shared" si="35"/>
        <v>2</v>
      </c>
      <c r="F222" s="81">
        <f t="shared" si="35"/>
        <v>11</v>
      </c>
      <c r="G222" s="377">
        <f t="shared" ref="G222:G233" si="36">SUM(C222:F222)</f>
        <v>42.7</v>
      </c>
    </row>
    <row r="223" spans="1:7" x14ac:dyDescent="0.2">
      <c r="A223" s="234">
        <f t="shared" ref="A223:A233" si="37">+A222+1</f>
        <v>172</v>
      </c>
      <c r="B223" s="13" t="s">
        <v>669</v>
      </c>
      <c r="C223" s="81">
        <f t="shared" si="35"/>
        <v>0</v>
      </c>
      <c r="D223" s="81">
        <f t="shared" si="35"/>
        <v>0</v>
      </c>
      <c r="E223" s="81">
        <f t="shared" si="35"/>
        <v>0</v>
      </c>
      <c r="F223" s="81">
        <f t="shared" si="35"/>
        <v>0</v>
      </c>
      <c r="G223" s="377">
        <f t="shared" si="36"/>
        <v>0</v>
      </c>
    </row>
    <row r="224" spans="1:7" x14ac:dyDescent="0.2">
      <c r="A224" s="234">
        <f t="shared" si="37"/>
        <v>173</v>
      </c>
      <c r="B224" s="13" t="s">
        <v>439</v>
      </c>
      <c r="C224" s="81">
        <f t="shared" si="35"/>
        <v>809.46600000000001</v>
      </c>
      <c r="D224" s="81">
        <f t="shared" si="35"/>
        <v>231.63299999999998</v>
      </c>
      <c r="E224" s="81">
        <f t="shared" si="35"/>
        <v>78</v>
      </c>
      <c r="F224" s="81">
        <f t="shared" si="35"/>
        <v>0</v>
      </c>
      <c r="G224" s="377">
        <f t="shared" si="36"/>
        <v>1119.0989999999999</v>
      </c>
    </row>
    <row r="225" spans="1:8" x14ac:dyDescent="0.2">
      <c r="A225" s="234">
        <f t="shared" si="37"/>
        <v>174</v>
      </c>
      <c r="B225" s="13" t="s">
        <v>668</v>
      </c>
      <c r="C225" s="81">
        <f t="shared" si="35"/>
        <v>1331318.8900000004</v>
      </c>
      <c r="D225" s="81">
        <f t="shared" si="35"/>
        <v>8185.4680000000008</v>
      </c>
      <c r="E225" s="81">
        <f t="shared" si="35"/>
        <v>573.93200000000002</v>
      </c>
      <c r="F225" s="81">
        <f t="shared" si="35"/>
        <v>0</v>
      </c>
      <c r="G225" s="377">
        <f t="shared" si="36"/>
        <v>1340078.2900000005</v>
      </c>
    </row>
    <row r="226" spans="1:8" x14ac:dyDescent="0.2">
      <c r="A226" s="234">
        <f t="shared" si="37"/>
        <v>175</v>
      </c>
      <c r="B226" s="13" t="s">
        <v>436</v>
      </c>
      <c r="C226" s="81">
        <f t="shared" si="35"/>
        <v>0</v>
      </c>
      <c r="D226" s="81">
        <f t="shared" si="35"/>
        <v>0</v>
      </c>
      <c r="E226" s="81">
        <f t="shared" si="35"/>
        <v>24</v>
      </c>
      <c r="F226" s="81">
        <f t="shared" si="35"/>
        <v>37.953000000000003</v>
      </c>
      <c r="G226" s="377">
        <f t="shared" si="36"/>
        <v>61.953000000000003</v>
      </c>
    </row>
    <row r="227" spans="1:8" x14ac:dyDescent="0.2">
      <c r="A227" s="234">
        <f t="shared" si="37"/>
        <v>176</v>
      </c>
      <c r="B227" s="13" t="s">
        <v>667</v>
      </c>
      <c r="C227" s="81">
        <f t="shared" si="35"/>
        <v>0</v>
      </c>
      <c r="D227" s="81">
        <f t="shared" si="35"/>
        <v>339</v>
      </c>
      <c r="E227" s="81">
        <f t="shared" si="35"/>
        <v>547</v>
      </c>
      <c r="F227" s="81">
        <f t="shared" si="35"/>
        <v>120</v>
      </c>
      <c r="G227" s="377">
        <f t="shared" si="36"/>
        <v>1006</v>
      </c>
    </row>
    <row r="228" spans="1:8" x14ac:dyDescent="0.2">
      <c r="A228" s="234">
        <f t="shared" si="37"/>
        <v>177</v>
      </c>
      <c r="B228" s="13" t="s">
        <v>438</v>
      </c>
      <c r="C228" s="81">
        <f t="shared" si="35"/>
        <v>759.86699999999996</v>
      </c>
      <c r="D228" s="81">
        <f t="shared" si="35"/>
        <v>2039.3330000000001</v>
      </c>
      <c r="E228" s="81">
        <f t="shared" si="35"/>
        <v>1733.9659999999999</v>
      </c>
      <c r="F228" s="81">
        <f t="shared" si="35"/>
        <v>71</v>
      </c>
      <c r="G228" s="377">
        <f t="shared" si="36"/>
        <v>4604.1659999999993</v>
      </c>
    </row>
    <row r="229" spans="1:8" x14ac:dyDescent="0.2">
      <c r="A229" s="234">
        <f t="shared" si="37"/>
        <v>178</v>
      </c>
      <c r="B229" s="13" t="s">
        <v>666</v>
      </c>
      <c r="C229" s="81">
        <f t="shared" si="35"/>
        <v>6516.692</v>
      </c>
      <c r="D229" s="81">
        <f t="shared" si="35"/>
        <v>9704.2980000000007</v>
      </c>
      <c r="E229" s="81">
        <f t="shared" si="35"/>
        <v>2298.4010000000003</v>
      </c>
      <c r="F229" s="81">
        <f t="shared" si="35"/>
        <v>61</v>
      </c>
      <c r="G229" s="377">
        <f t="shared" si="36"/>
        <v>18580.391000000003</v>
      </c>
    </row>
    <row r="230" spans="1:8" x14ac:dyDescent="0.2">
      <c r="A230" s="234">
        <f t="shared" si="37"/>
        <v>179</v>
      </c>
      <c r="B230" s="13" t="s">
        <v>671</v>
      </c>
      <c r="C230" s="81">
        <f t="shared" si="35"/>
        <v>0</v>
      </c>
      <c r="D230" s="81">
        <f t="shared" si="35"/>
        <v>0</v>
      </c>
      <c r="E230" s="81">
        <f t="shared" si="35"/>
        <v>0</v>
      </c>
      <c r="F230" s="81">
        <f t="shared" si="35"/>
        <v>0</v>
      </c>
      <c r="G230" s="377">
        <f t="shared" si="36"/>
        <v>0</v>
      </c>
    </row>
    <row r="231" spans="1:8" x14ac:dyDescent="0.2">
      <c r="A231" s="234">
        <f t="shared" si="37"/>
        <v>180</v>
      </c>
      <c r="B231" s="13" t="s">
        <v>437</v>
      </c>
      <c r="C231" s="81">
        <f t="shared" si="35"/>
        <v>0</v>
      </c>
      <c r="D231" s="81">
        <f t="shared" si="35"/>
        <v>0</v>
      </c>
      <c r="E231" s="81">
        <f t="shared" si="35"/>
        <v>0</v>
      </c>
      <c r="F231" s="81">
        <f t="shared" si="35"/>
        <v>0</v>
      </c>
      <c r="G231" s="377">
        <f t="shared" si="36"/>
        <v>0</v>
      </c>
    </row>
    <row r="232" spans="1:8" x14ac:dyDescent="0.2">
      <c r="A232" s="234">
        <f t="shared" si="37"/>
        <v>181</v>
      </c>
      <c r="B232" s="13" t="s">
        <v>665</v>
      </c>
      <c r="C232" s="81">
        <f t="shared" si="35"/>
        <v>0</v>
      </c>
      <c r="D232" s="81">
        <f t="shared" si="35"/>
        <v>0</v>
      </c>
      <c r="E232" s="81">
        <f t="shared" si="35"/>
        <v>136</v>
      </c>
      <c r="F232" s="81">
        <f t="shared" si="35"/>
        <v>107.986</v>
      </c>
      <c r="G232" s="377">
        <f t="shared" si="36"/>
        <v>243.98599999999999</v>
      </c>
    </row>
    <row r="233" spans="1:8" x14ac:dyDescent="0.2">
      <c r="A233" s="234">
        <f t="shared" si="37"/>
        <v>182</v>
      </c>
      <c r="B233" s="13" t="s">
        <v>434</v>
      </c>
      <c r="C233" s="81">
        <f t="shared" si="35"/>
        <v>0</v>
      </c>
      <c r="D233" s="81">
        <f t="shared" si="35"/>
        <v>0</v>
      </c>
      <c r="E233" s="81">
        <f t="shared" si="35"/>
        <v>0</v>
      </c>
      <c r="F233" s="81">
        <f t="shared" si="35"/>
        <v>12</v>
      </c>
      <c r="G233" s="377">
        <f t="shared" si="36"/>
        <v>12</v>
      </c>
    </row>
    <row r="234" spans="1:8" ht="13.5" thickBot="1" x14ac:dyDescent="0.25">
      <c r="A234" s="234">
        <f>+A233+1</f>
        <v>183</v>
      </c>
      <c r="B234" s="13" t="s">
        <v>177</v>
      </c>
      <c r="C234" s="432">
        <f>SUM(C221:C233)</f>
        <v>1340605.8130000005</v>
      </c>
      <c r="D234" s="432">
        <f t="shared" ref="D234:G234" si="38">SUM(D221:D233)</f>
        <v>20978.133000000002</v>
      </c>
      <c r="E234" s="432">
        <f t="shared" si="38"/>
        <v>5413.2990000000009</v>
      </c>
      <c r="F234" s="432">
        <f t="shared" si="38"/>
        <v>420.93899999999996</v>
      </c>
      <c r="G234" s="432">
        <f t="shared" si="38"/>
        <v>1367418.1840000006</v>
      </c>
    </row>
    <row r="235" spans="1:8" ht="13.5" thickTop="1" x14ac:dyDescent="0.2"/>
    <row r="236" spans="1:8" x14ac:dyDescent="0.2">
      <c r="C236" s="503" t="s">
        <v>1041</v>
      </c>
      <c r="D236" s="503"/>
      <c r="E236" s="503"/>
      <c r="F236" s="503"/>
      <c r="G236" s="503"/>
    </row>
    <row r="237" spans="1:8" x14ac:dyDescent="0.2">
      <c r="B237" s="12" t="s">
        <v>249</v>
      </c>
      <c r="C237" s="232">
        <v>1</v>
      </c>
      <c r="D237" s="232">
        <v>2</v>
      </c>
      <c r="E237" s="232">
        <v>3</v>
      </c>
      <c r="F237" s="232">
        <v>4</v>
      </c>
      <c r="G237" s="406" t="s">
        <v>177</v>
      </c>
    </row>
    <row r="238" spans="1:8" x14ac:dyDescent="0.2">
      <c r="A238" s="234">
        <f>+A234+1</f>
        <v>184</v>
      </c>
      <c r="B238" s="13" t="s">
        <v>670</v>
      </c>
      <c r="C238" s="81">
        <f>ROUND((C221/$G221)*('SRC-4 (S.D. Customers)'!$G11+'SRC-4 (S.D. Customers)'!$G23),2)</f>
        <v>1263.04</v>
      </c>
      <c r="D238" s="81">
        <f>ROUND((D221/$G221)*('SRC-4 (S.D. Customers)'!$G11+'SRC-4 (S.D. Customers)'!$G23),2)</f>
        <v>471.92</v>
      </c>
      <c r="E238" s="81">
        <f>ROUND((E221/$G221)*('SRC-4 (S.D. Customers)'!$G11+'SRC-4 (S.D. Customers)'!$G23),2)</f>
        <v>21.03</v>
      </c>
      <c r="F238" s="81">
        <f>ROUND((F221/$G221)*('SRC-4 (S.D. Customers)'!$G11+'SRC-4 (S.D. Customers)'!$G23),2)</f>
        <v>0</v>
      </c>
      <c r="G238" s="377">
        <f>SUM(C238:F238)</f>
        <v>1755.99</v>
      </c>
      <c r="H238" s="377">
        <f>+G238-'SRC-4 (S.D. Customers)'!G11-'SRC-4 (S.D. Customers)'!G23</f>
        <v>-9.9999999999909051E-3</v>
      </c>
    </row>
    <row r="239" spans="1:8" x14ac:dyDescent="0.2">
      <c r="A239" s="234">
        <f>+A238+1</f>
        <v>185</v>
      </c>
      <c r="B239" s="13" t="s">
        <v>435</v>
      </c>
      <c r="C239" s="81">
        <f>ROUND((C222/$G222)*'SRC-4 (S.D. Customers)'!$G12,2)</f>
        <v>0</v>
      </c>
      <c r="D239" s="81">
        <f>ROUND((D222/$G222)*'SRC-4 (S.D. Customers)'!$G12,2)</f>
        <v>29.21</v>
      </c>
      <c r="E239" s="81">
        <f>ROUND((E222/$G222)*'SRC-4 (S.D. Customers)'!$G12,2)</f>
        <v>1.97</v>
      </c>
      <c r="F239" s="81">
        <f>ROUND((F222/$G222)*'SRC-4 (S.D. Customers)'!$G12,2)</f>
        <v>10.82</v>
      </c>
      <c r="G239" s="377">
        <f t="shared" ref="G239:G250" si="39">SUM(C239:F239)</f>
        <v>42</v>
      </c>
      <c r="H239" s="377">
        <f>+G239-'SRC-4 (S.D. Customers)'!G12</f>
        <v>0</v>
      </c>
    </row>
    <row r="240" spans="1:8" x14ac:dyDescent="0.2">
      <c r="A240" s="234">
        <f t="shared" ref="A240:A251" si="40">+A239+1</f>
        <v>186</v>
      </c>
      <c r="B240" s="13" t="s">
        <v>669</v>
      </c>
      <c r="C240" s="81">
        <f>IF($G223=0,0,ROUND((C223/$G223)*'SRC-4 (S.D. Customers)'!$G25,2))</f>
        <v>0</v>
      </c>
      <c r="D240" s="81">
        <f>IF($G223=0,0,ROUND((D223/$G223)*'SRC-4 (S.D. Customers)'!$G25,2))</f>
        <v>0</v>
      </c>
      <c r="E240" s="81">
        <f>IF($G223=0,0,ROUND((E223/$G223)*'SRC-4 (S.D. Customers)'!$G25,2))</f>
        <v>0</v>
      </c>
      <c r="F240" s="81">
        <f>IF($G223=0,0,ROUND((F223/$G223)*'SRC-4 (S.D. Customers)'!$G25,2))</f>
        <v>0</v>
      </c>
      <c r="G240" s="377">
        <f t="shared" si="39"/>
        <v>0</v>
      </c>
    </row>
    <row r="241" spans="1:8" x14ac:dyDescent="0.2">
      <c r="A241" s="234">
        <f t="shared" si="40"/>
        <v>187</v>
      </c>
      <c r="B241" s="13" t="s">
        <v>439</v>
      </c>
      <c r="C241" s="81">
        <f>IF($G224=0,0,ROUND((C224/$G224)*'SRC-4 (S.D. Customers)'!$G18,2))</f>
        <v>977.93</v>
      </c>
      <c r="D241" s="81">
        <f>IF($G224=0,0,ROUND((D224/$G224)*'SRC-4 (S.D. Customers)'!$G18,2))</f>
        <v>279.83999999999997</v>
      </c>
      <c r="E241" s="81">
        <f>IF($G224=0,0,ROUND((E224/$G224)*'SRC-4 (S.D. Customers)'!$G18,2))</f>
        <v>94.23</v>
      </c>
      <c r="F241" s="81">
        <f>IF($G224=0,0,ROUND((F224/$G224)*'SRC-4 (S.D. Customers)'!$G18,2))</f>
        <v>0</v>
      </c>
      <c r="G241" s="377">
        <f t="shared" si="39"/>
        <v>1352</v>
      </c>
      <c r="H241" s="377">
        <f>+G241-'SRC-4 (S.D. Customers)'!G18</f>
        <v>0</v>
      </c>
    </row>
    <row r="242" spans="1:8" x14ac:dyDescent="0.2">
      <c r="A242" s="234">
        <f t="shared" si="40"/>
        <v>188</v>
      </c>
      <c r="B242" s="13" t="s">
        <v>668</v>
      </c>
      <c r="C242" s="81">
        <f>ROUND((C225/$G225)*('SRC-4 (S.D. Customers)'!$G14+'SRC-4 (S.D. Customers)'!$G22+'SRC-4 (S.D. Customers)'!$G24),2)</f>
        <v>1333223.07</v>
      </c>
      <c r="D242" s="81">
        <f>ROUND((D225/$G225)*('SRC-4 (S.D. Customers)'!$G14+'SRC-4 (S.D. Customers)'!$G22+'SRC-4 (S.D. Customers)'!$G24),2)</f>
        <v>8197.18</v>
      </c>
      <c r="E242" s="81">
        <f>ROUND((E225/$G225)*('SRC-4 (S.D. Customers)'!$G14+'SRC-4 (S.D. Customers)'!$G22+'SRC-4 (S.D. Customers)'!$G24),2)</f>
        <v>574.75</v>
      </c>
      <c r="F242" s="81">
        <f>ROUND((F225/$G225)*('SRC-4 (S.D. Customers)'!$G14+'SRC-4 (S.D. Customers)'!$G22+'SRC-4 (S.D. Customers)'!$G24),2)</f>
        <v>0</v>
      </c>
      <c r="G242" s="377">
        <f t="shared" si="39"/>
        <v>1341995</v>
      </c>
      <c r="H242" s="377">
        <f>+G242-'SRC-4 (S.D. Customers)'!G14-'SRC-4 (S.D. Customers)'!G22-'SRC-4 (S.D. Customers)'!G24</f>
        <v>0</v>
      </c>
    </row>
    <row r="243" spans="1:8" x14ac:dyDescent="0.2">
      <c r="A243" s="234">
        <f t="shared" si="40"/>
        <v>189</v>
      </c>
      <c r="B243" s="13" t="s">
        <v>436</v>
      </c>
      <c r="C243" s="81">
        <f>IF($G226=0,0,ROUND((C226/$G226)*('SRC-4 (S.D. Customers)'!$G13+'SRC-4 (S.D. Customers)'!$G21),2))</f>
        <v>0</v>
      </c>
      <c r="D243" s="81">
        <f t="shared" ref="D243:F243" si="41">SUMIFS($G$44:$G$167,$B$44:$B$167,$B243,$F$44:$F$167,D$220)</f>
        <v>0</v>
      </c>
      <c r="E243" s="81">
        <f t="shared" si="41"/>
        <v>24</v>
      </c>
      <c r="F243" s="81">
        <f t="shared" si="41"/>
        <v>37.953000000000003</v>
      </c>
      <c r="G243" s="377">
        <f t="shared" si="39"/>
        <v>61.953000000000003</v>
      </c>
      <c r="H243" s="377">
        <f>+G243-'SRC-4 (S.D. Customers)'!G13-'SRC-4 (S.D. Customers)'!G21</f>
        <v>-4.6999999999997044E-2</v>
      </c>
    </row>
    <row r="244" spans="1:8" x14ac:dyDescent="0.2">
      <c r="A244" s="234">
        <f t="shared" si="40"/>
        <v>190</v>
      </c>
      <c r="B244" s="13" t="s">
        <v>667</v>
      </c>
      <c r="C244" s="81">
        <f>IF($G227=0,0,ROUND((C227/$G227)*'SRC-4 (S.D. Customers)'!$G17,2))</f>
        <v>0</v>
      </c>
      <c r="D244" s="81">
        <f>IF($G227=0,0,ROUND((D227/$G227)*'SRC-4 (S.D. Customers)'!$G17,2))</f>
        <v>334.96</v>
      </c>
      <c r="E244" s="81">
        <f>IF($G227=0,0,ROUND((E227/$G227)*'SRC-4 (S.D. Customers)'!$G17,2))</f>
        <v>540.48</v>
      </c>
      <c r="F244" s="81">
        <f>IF($G227=0,0,ROUND((F227/$G227)*'SRC-4 (S.D. Customers)'!$G17,2))</f>
        <v>118.57</v>
      </c>
      <c r="G244" s="377">
        <f t="shared" si="39"/>
        <v>994.01</v>
      </c>
      <c r="H244" s="377">
        <f>+G244-'SRC-4 (S.D. Customers)'!G17</f>
        <v>9.9999999999909051E-3</v>
      </c>
    </row>
    <row r="245" spans="1:8" x14ac:dyDescent="0.2">
      <c r="A245" s="234">
        <f t="shared" si="40"/>
        <v>191</v>
      </c>
      <c r="B245" s="13" t="s">
        <v>438</v>
      </c>
      <c r="C245" s="81">
        <f>IF($G228=0,0,ROUND((C228/$G228)*'SRC-4 (S.D. Customers)'!$G16,2))</f>
        <v>723.86</v>
      </c>
      <c r="D245" s="81">
        <f>IF($G228=0,0,ROUND((D228/$G228)*'SRC-4 (S.D. Customers)'!$G16,2))</f>
        <v>1942.7</v>
      </c>
      <c r="E245" s="81">
        <f>IF($G228=0,0,ROUND((E228/$G228)*'SRC-4 (S.D. Customers)'!$G16,2))</f>
        <v>1651.8</v>
      </c>
      <c r="F245" s="81">
        <f>IF($G228=0,0,ROUND((F228/$G228)*'SRC-4 (S.D. Customers)'!$G16,2))</f>
        <v>67.64</v>
      </c>
      <c r="G245" s="377">
        <f t="shared" si="39"/>
        <v>4386</v>
      </c>
      <c r="H245" s="377">
        <f>+G245-'SRC-4 (S.D. Customers)'!G16</f>
        <v>0</v>
      </c>
    </row>
    <row r="246" spans="1:8" x14ac:dyDescent="0.2">
      <c r="A246" s="234">
        <f t="shared" si="40"/>
        <v>192</v>
      </c>
      <c r="B246" s="13" t="s">
        <v>666</v>
      </c>
      <c r="C246" s="81">
        <f>IF($G229=0,0,ROUND((C229/$G229)*('SRC-4 (S.D. Customers)'!$G10+'SRC-4 (S.D. Customers)'!$G20),2))</f>
        <v>6344.7</v>
      </c>
      <c r="D246" s="81">
        <f>IF($G229=0,0,ROUND((D229/$G229)*('SRC-4 (S.D. Customers)'!$G10+'SRC-4 (S.D. Customers)'!$G20),2))</f>
        <v>9448.17</v>
      </c>
      <c r="E246" s="81">
        <f>IF($G229=0,0,ROUND((E229/$G229)*('SRC-4 (S.D. Customers)'!$G10+'SRC-4 (S.D. Customers)'!$G20),2))</f>
        <v>2237.7399999999998</v>
      </c>
      <c r="F246" s="81">
        <f>IF($G229=0,0,ROUND((F229/$G229)*('SRC-4 (S.D. Customers)'!$G10+'SRC-4 (S.D. Customers)'!$G20),2))</f>
        <v>59.39</v>
      </c>
      <c r="G246" s="377">
        <f t="shared" si="39"/>
        <v>18090</v>
      </c>
      <c r="H246" s="377">
        <f>+G246-'SRC-4 (S.D. Customers)'!G10-'SRC-4 (S.D. Customers)'!G20</f>
        <v>0</v>
      </c>
    </row>
    <row r="247" spans="1:8" x14ac:dyDescent="0.2">
      <c r="A247" s="234">
        <f t="shared" si="40"/>
        <v>193</v>
      </c>
      <c r="B247" s="13" t="s">
        <v>671</v>
      </c>
      <c r="C247" s="49"/>
      <c r="D247" s="49"/>
      <c r="E247" s="49"/>
      <c r="F247" s="49"/>
      <c r="G247" s="377">
        <f t="shared" si="39"/>
        <v>0</v>
      </c>
    </row>
    <row r="248" spans="1:8" x14ac:dyDescent="0.2">
      <c r="A248" s="234">
        <f t="shared" si="40"/>
        <v>194</v>
      </c>
      <c r="B248" s="13" t="s">
        <v>437</v>
      </c>
      <c r="C248" s="81">
        <v>0</v>
      </c>
      <c r="D248" s="81">
        <v>0</v>
      </c>
      <c r="E248" s="81">
        <v>0</v>
      </c>
      <c r="F248" s="81">
        <v>0</v>
      </c>
      <c r="G248" s="377">
        <f t="shared" si="39"/>
        <v>0</v>
      </c>
    </row>
    <row r="249" spans="1:8" x14ac:dyDescent="0.2">
      <c r="A249" s="234">
        <f t="shared" si="40"/>
        <v>195</v>
      </c>
      <c r="B249" s="13" t="s">
        <v>665</v>
      </c>
      <c r="C249" s="81">
        <f>IF($G232=0,0,ROUND((C232/$G232)*'SRC-4 (S.D. Customers)'!$G15,2))-C247</f>
        <v>0</v>
      </c>
      <c r="D249" s="81">
        <f>IF($G232=0,0,ROUND((D232/$G232)*'SRC-4 (S.D. Customers)'!$G15,2))-D247</f>
        <v>0</v>
      </c>
      <c r="E249" s="81">
        <f>IF($G232=0,0,ROUND((E232/$G232)*'SRC-4 (S.D. Customers)'!$G15,2))-E247</f>
        <v>135.44999999999999</v>
      </c>
      <c r="F249" s="81">
        <f>IF($G232=0,0,ROUND((F232/$G232)*'SRC-4 (S.D. Customers)'!$G15,2))-F247</f>
        <v>107.55</v>
      </c>
      <c r="G249" s="377">
        <f t="shared" si="39"/>
        <v>243</v>
      </c>
      <c r="H249" s="377">
        <f>+G249+G247-'SRC-4 (S.D. Customers)'!G15</f>
        <v>0</v>
      </c>
    </row>
    <row r="250" spans="1:8" x14ac:dyDescent="0.2">
      <c r="A250" s="234">
        <f t="shared" si="40"/>
        <v>196</v>
      </c>
      <c r="B250" s="13" t="s">
        <v>434</v>
      </c>
      <c r="C250" s="81">
        <f>IF($G233=0,0,ROUND((C233/$G233)*'SRC-4 (S.D. Customers)'!$G9,2))</f>
        <v>0</v>
      </c>
      <c r="D250" s="81">
        <f>IF($G233=0,0,ROUND((D233/$G233)*'SRC-4 (S.D. Customers)'!$G9,2))</f>
        <v>0</v>
      </c>
      <c r="E250" s="81">
        <f>IF($G233=0,0,ROUND((E233/$G233)*'SRC-4 (S.D. Customers)'!$G9,2))</f>
        <v>0</v>
      </c>
      <c r="F250" s="81">
        <f>IF($G233=0,0,ROUND((F233/$G233)*'SRC-4 (S.D. Customers)'!$G9,2))</f>
        <v>12</v>
      </c>
      <c r="G250" s="377">
        <f t="shared" si="39"/>
        <v>12</v>
      </c>
      <c r="H250" s="377">
        <f>+G250-'SRC-4 (S.D. Customers)'!G9</f>
        <v>0</v>
      </c>
    </row>
    <row r="251" spans="1:8" ht="13.5" thickBot="1" x14ac:dyDescent="0.25">
      <c r="A251" s="234">
        <f t="shared" si="40"/>
        <v>197</v>
      </c>
      <c r="B251" s="13" t="s">
        <v>177</v>
      </c>
      <c r="C251" s="432">
        <f>SUM(C238:C250)</f>
        <v>1342532.6</v>
      </c>
      <c r="D251" s="432">
        <f t="shared" ref="D251" si="42">SUM(D238:D250)</f>
        <v>20703.98</v>
      </c>
      <c r="E251" s="432">
        <f t="shared" ref="E251" si="43">SUM(E238:E250)</f>
        <v>5281.45</v>
      </c>
      <c r="F251" s="432">
        <f t="shared" ref="F251" si="44">SUM(F238:F250)</f>
        <v>413.923</v>
      </c>
      <c r="G251" s="432">
        <f t="shared" ref="G251" si="45">SUM(G238:G250)</f>
        <v>1368931.953</v>
      </c>
    </row>
    <row r="252" spans="1:8" ht="13.5" thickTop="1" x14ac:dyDescent="0.2"/>
    <row r="253" spans="1:8" x14ac:dyDescent="0.2">
      <c r="C253" s="503" t="s">
        <v>1043</v>
      </c>
      <c r="D253" s="503"/>
      <c r="E253" s="503"/>
      <c r="F253" s="503"/>
      <c r="G253" s="503"/>
    </row>
    <row r="254" spans="1:8" x14ac:dyDescent="0.2">
      <c r="C254" s="232">
        <v>1</v>
      </c>
      <c r="D254" s="232">
        <v>2</v>
      </c>
      <c r="E254" s="232">
        <v>3</v>
      </c>
      <c r="F254" s="232">
        <v>4</v>
      </c>
      <c r="G254" s="406" t="s">
        <v>177</v>
      </c>
    </row>
    <row r="255" spans="1:8" x14ac:dyDescent="0.2">
      <c r="A255" s="234">
        <f>+A251+1</f>
        <v>198</v>
      </c>
      <c r="B255" s="13" t="s">
        <v>1037</v>
      </c>
      <c r="C255" s="377">
        <f>SUM(C239:C243)</f>
        <v>1334201</v>
      </c>
      <c r="D255" s="377">
        <f t="shared" ref="D255:F255" si="46">SUM(D239:D243)</f>
        <v>8506.23</v>
      </c>
      <c r="E255" s="377">
        <f t="shared" si="46"/>
        <v>694.95</v>
      </c>
      <c r="F255" s="377">
        <f t="shared" si="46"/>
        <v>48.773000000000003</v>
      </c>
      <c r="G255" s="377">
        <f>SUM(C255:F255)</f>
        <v>1343450.953</v>
      </c>
    </row>
    <row r="256" spans="1:8" x14ac:dyDescent="0.2">
      <c r="A256" s="234">
        <f>+A255+1</f>
        <v>199</v>
      </c>
      <c r="B256" s="13" t="s">
        <v>1038</v>
      </c>
      <c r="C256" s="377">
        <f>SUM(C244:C246)</f>
        <v>7068.5599999999995</v>
      </c>
      <c r="D256" s="377">
        <f t="shared" ref="D256:F256" si="47">SUM(D244:D246)</f>
        <v>11725.83</v>
      </c>
      <c r="E256" s="377">
        <f t="shared" si="47"/>
        <v>4430.0199999999995</v>
      </c>
      <c r="F256" s="377">
        <f t="shared" si="47"/>
        <v>245.59999999999997</v>
      </c>
      <c r="G256" s="377">
        <f t="shared" ref="G256:G257" si="48">SUM(C256:F256)</f>
        <v>23470.01</v>
      </c>
    </row>
    <row r="257" spans="1:7" x14ac:dyDescent="0.2">
      <c r="A257" s="234">
        <f>+A256+1</f>
        <v>200</v>
      </c>
      <c r="B257" s="13" t="s">
        <v>1039</v>
      </c>
      <c r="C257" s="377">
        <f>SUM(C247:C250)</f>
        <v>0</v>
      </c>
      <c r="D257" s="377">
        <f t="shared" ref="D257:F257" si="49">SUM(D247:D250)</f>
        <v>0</v>
      </c>
      <c r="E257" s="377">
        <f t="shared" si="49"/>
        <v>135.44999999999999</v>
      </c>
      <c r="F257" s="377">
        <f t="shared" si="49"/>
        <v>119.55</v>
      </c>
      <c r="G257" s="377">
        <f t="shared" si="48"/>
        <v>255</v>
      </c>
    </row>
    <row r="258" spans="1:7" ht="13.5" thickBot="1" x14ac:dyDescent="0.25">
      <c r="A258" s="234">
        <f>+A257+1</f>
        <v>201</v>
      </c>
      <c r="B258" s="13" t="s">
        <v>177</v>
      </c>
      <c r="C258" s="432">
        <f>SUM(C255:C257)</f>
        <v>1341269.56</v>
      </c>
      <c r="D258" s="432">
        <f t="shared" ref="D258:G258" si="50">SUM(D255:D257)</f>
        <v>20232.059999999998</v>
      </c>
      <c r="E258" s="432">
        <f t="shared" si="50"/>
        <v>5260.4199999999992</v>
      </c>
      <c r="F258" s="432">
        <f t="shared" si="50"/>
        <v>413.923</v>
      </c>
      <c r="G258" s="432">
        <f t="shared" si="50"/>
        <v>1367175.963</v>
      </c>
    </row>
    <row r="259" spans="1:7" ht="13.5" thickTop="1" x14ac:dyDescent="0.2"/>
  </sheetData>
  <sortState xmlns:xlrd2="http://schemas.microsoft.com/office/spreadsheetml/2017/richdata2" ref="B4:I146">
    <sortCondition ref="B4:B146"/>
    <sortCondition ref="F4:F146"/>
  </sortState>
  <mergeCells count="5">
    <mergeCell ref="C253:G253"/>
    <mergeCell ref="D192:G192"/>
    <mergeCell ref="I194:M197"/>
    <mergeCell ref="C236:G236"/>
    <mergeCell ref="C219:G219"/>
  </mergeCells>
  <pageMargins left="0.75" right="0.75" top="1.2653409090909091" bottom="1" header="0.5" footer="0.5"/>
  <pageSetup scale="51" fitToHeight="0" orientation="landscape" r:id="rId1"/>
  <headerFooter>
    <oddHeader>&amp;CRULE 20:10:13:98
STATEMENT O WORKPAPER - Tab &amp;A
Meter Class Rate Design
Test Year Ending December 31, 2025
Utility: MidAmerican Energy Company
Docket No. NG26-___
Individual Responsible: Stephen Stratton&amp;RPage &amp;P of &amp;N</oddHeader>
  </headerFooter>
  <rowBreaks count="1" manualBreakCount="1">
    <brk id="17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H285"/>
  <sheetViews>
    <sheetView view="pageLayout" zoomScaleNormal="90" workbookViewId="0"/>
  </sheetViews>
  <sheetFormatPr defaultColWidth="9.140625" defaultRowHeight="12.75" x14ac:dyDescent="0.2"/>
  <cols>
    <col min="1" max="1" width="7.85546875" style="20" customWidth="1"/>
    <col min="2" max="2" width="8.85546875" style="20" customWidth="1"/>
    <col min="3" max="3" width="5" style="20" customWidth="1"/>
    <col min="4" max="5" width="5.140625" style="20" customWidth="1"/>
    <col min="6" max="6" width="33.7109375" style="20" customWidth="1"/>
    <col min="7" max="7" width="24" style="20" customWidth="1"/>
    <col min="8" max="8" width="16.5703125" style="20" customWidth="1"/>
    <col min="9" max="9" width="19" style="20" bestFit="1" customWidth="1"/>
    <col min="10" max="10" width="5.28515625" style="20" customWidth="1"/>
    <col min="11" max="11" width="15" style="20" customWidth="1"/>
    <col min="12" max="12" width="18.7109375" style="20" customWidth="1"/>
    <col min="13" max="13" width="15" style="20" customWidth="1"/>
    <col min="14" max="14" width="19.140625" style="20" customWidth="1"/>
    <col min="15" max="16" width="15" style="20" customWidth="1"/>
    <col min="17" max="17" width="15.5703125" style="20" customWidth="1"/>
    <col min="18" max="24" width="14.5703125" style="20" customWidth="1"/>
    <col min="25" max="25" width="15.85546875" style="20" customWidth="1"/>
    <col min="26" max="26" width="14.5703125" style="20" customWidth="1"/>
    <col min="27" max="27" width="16.85546875" style="20" bestFit="1" customWidth="1"/>
    <col min="28" max="29" width="14.5703125" style="20" customWidth="1"/>
    <col min="30" max="30" width="19.28515625" style="20" customWidth="1"/>
    <col min="31" max="31" width="19.5703125" style="20" customWidth="1"/>
    <col min="32" max="32" width="15.42578125" style="20" customWidth="1"/>
    <col min="33" max="33" width="9.140625" style="20"/>
    <col min="34" max="34" width="12.28515625" style="20" bestFit="1" customWidth="1"/>
    <col min="35" max="16384" width="9.140625" style="20"/>
  </cols>
  <sheetData>
    <row r="1" spans="1:34" ht="18" x14ac:dyDescent="0.25">
      <c r="A1" s="230" t="s">
        <v>155</v>
      </c>
      <c r="C1" s="32"/>
      <c r="K1" s="239"/>
      <c r="L1" s="239"/>
      <c r="M1" s="239"/>
      <c r="N1" s="239"/>
      <c r="O1" s="239"/>
      <c r="P1" s="239"/>
      <c r="Q1" s="239"/>
      <c r="S1" s="239"/>
      <c r="T1" s="239"/>
      <c r="W1" s="239"/>
      <c r="Y1" s="239"/>
    </row>
    <row r="2" spans="1:34" s="256" customFormat="1" ht="12" customHeight="1" x14ac:dyDescent="0.2">
      <c r="B2" s="257"/>
      <c r="C2" s="258"/>
      <c r="G2" s="488" t="s">
        <v>891</v>
      </c>
      <c r="K2" s="485" t="s">
        <v>1031</v>
      </c>
      <c r="L2" s="485" t="s">
        <v>1032</v>
      </c>
      <c r="M2" s="485" t="s">
        <v>1033</v>
      </c>
      <c r="N2" s="485" t="s">
        <v>1034</v>
      </c>
      <c r="O2" s="485" t="s">
        <v>1035</v>
      </c>
      <c r="P2" s="485" t="s">
        <v>1180</v>
      </c>
      <c r="Q2" s="485" t="s">
        <v>1181</v>
      </c>
      <c r="R2" s="485" t="s">
        <v>1182</v>
      </c>
      <c r="S2" s="485" t="s">
        <v>1183</v>
      </c>
      <c r="T2" s="485" t="s">
        <v>1203</v>
      </c>
      <c r="U2" s="485" t="s">
        <v>1184</v>
      </c>
      <c r="V2" s="485" t="s">
        <v>1203</v>
      </c>
      <c r="W2" s="485" t="s">
        <v>1185</v>
      </c>
      <c r="X2" s="485" t="s">
        <v>1186</v>
      </c>
      <c r="Y2" s="485" t="s">
        <v>1187</v>
      </c>
      <c r="Z2" s="485" t="s">
        <v>1188</v>
      </c>
      <c r="AA2" s="485" t="s">
        <v>1189</v>
      </c>
      <c r="AB2" s="485" t="s">
        <v>1190</v>
      </c>
      <c r="AC2" s="485" t="s">
        <v>1191</v>
      </c>
      <c r="AD2" s="239"/>
      <c r="AE2" s="239"/>
      <c r="AF2" s="239"/>
    </row>
    <row r="3" spans="1:34" x14ac:dyDescent="0.2">
      <c r="B3" s="36"/>
      <c r="C3" s="36"/>
      <c r="D3" s="36"/>
      <c r="E3" s="36"/>
      <c r="F3" s="36"/>
      <c r="G3" s="488"/>
      <c r="I3" s="26"/>
      <c r="K3" s="485"/>
      <c r="L3" s="485"/>
      <c r="M3" s="485"/>
      <c r="N3" s="485"/>
      <c r="O3" s="485"/>
      <c r="P3" s="485"/>
      <c r="Q3" s="485"/>
      <c r="R3" s="485"/>
      <c r="S3" s="485"/>
      <c r="T3" s="485"/>
      <c r="U3" s="485"/>
      <c r="V3" s="485"/>
      <c r="W3" s="485"/>
      <c r="X3" s="485"/>
      <c r="Y3" s="485"/>
      <c r="Z3" s="485"/>
      <c r="AA3" s="485"/>
      <c r="AB3" s="485"/>
      <c r="AC3" s="485"/>
      <c r="AD3" s="20" t="s">
        <v>1196</v>
      </c>
      <c r="AE3" s="20" t="s">
        <v>1196</v>
      </c>
      <c r="AF3" s="36" t="s">
        <v>1192</v>
      </c>
    </row>
    <row r="4" spans="1:34" x14ac:dyDescent="0.2">
      <c r="B4" s="36"/>
      <c r="C4" s="36"/>
      <c r="D4" s="36"/>
      <c r="E4" s="36"/>
      <c r="F4" s="36"/>
      <c r="G4" s="36"/>
      <c r="S4" s="239"/>
      <c r="Y4" s="239"/>
    </row>
    <row r="5" spans="1:34" ht="15.75" x14ac:dyDescent="0.25">
      <c r="B5" s="36"/>
      <c r="C5" s="36"/>
      <c r="D5" s="36"/>
      <c r="E5" s="36"/>
      <c r="F5" s="36"/>
      <c r="K5" s="36"/>
      <c r="L5" s="36"/>
      <c r="M5" s="36"/>
      <c r="N5" s="36"/>
      <c r="O5" s="36"/>
      <c r="P5" s="36"/>
      <c r="Q5" s="36"/>
      <c r="R5" s="36"/>
      <c r="S5" s="36" t="s">
        <v>406</v>
      </c>
      <c r="T5" s="485" t="s">
        <v>1068</v>
      </c>
      <c r="U5" s="36" t="s">
        <v>142</v>
      </c>
      <c r="V5" s="485" t="s">
        <v>1175</v>
      </c>
      <c r="W5" s="36"/>
      <c r="X5" s="36" t="s">
        <v>409</v>
      </c>
      <c r="Y5" s="36"/>
      <c r="Z5" s="36"/>
      <c r="AA5" s="36" t="s">
        <v>412</v>
      </c>
      <c r="AB5" s="36"/>
      <c r="AC5" s="240"/>
      <c r="AD5" s="36" t="s">
        <v>146</v>
      </c>
      <c r="AE5" s="36" t="s">
        <v>146</v>
      </c>
      <c r="AF5" s="36" t="s">
        <v>672</v>
      </c>
    </row>
    <row r="6" spans="1:34" ht="12.75" customHeight="1" x14ac:dyDescent="0.2">
      <c r="B6" s="33"/>
      <c r="C6" s="33"/>
      <c r="D6" s="33"/>
      <c r="E6" s="33"/>
      <c r="F6" s="33"/>
      <c r="G6" s="36"/>
      <c r="H6" s="36" t="s">
        <v>150</v>
      </c>
      <c r="I6" s="36"/>
      <c r="J6" s="36"/>
      <c r="K6" s="36" t="s">
        <v>474</v>
      </c>
      <c r="L6" s="36" t="s">
        <v>682</v>
      </c>
      <c r="M6" s="36" t="s">
        <v>684</v>
      </c>
      <c r="N6" s="36" t="s">
        <v>1023</v>
      </c>
      <c r="O6" s="36" t="s">
        <v>1025</v>
      </c>
      <c r="P6" s="36" t="s">
        <v>145</v>
      </c>
      <c r="Q6" s="36" t="s">
        <v>405</v>
      </c>
      <c r="R6" s="36" t="s">
        <v>370</v>
      </c>
      <c r="S6" s="36" t="s">
        <v>407</v>
      </c>
      <c r="T6" s="485"/>
      <c r="U6" s="36" t="s">
        <v>287</v>
      </c>
      <c r="V6" s="485"/>
      <c r="W6" s="36" t="s">
        <v>153</v>
      </c>
      <c r="X6" s="36" t="s">
        <v>410</v>
      </c>
      <c r="Y6" s="36" t="s">
        <v>411</v>
      </c>
      <c r="Z6" s="36" t="s">
        <v>1029</v>
      </c>
      <c r="AA6" s="36" t="s">
        <v>413</v>
      </c>
      <c r="AB6" s="36" t="s">
        <v>415</v>
      </c>
      <c r="AC6" s="117" t="s">
        <v>1027</v>
      </c>
      <c r="AD6" s="36" t="s">
        <v>143</v>
      </c>
      <c r="AE6" s="36" t="s">
        <v>307</v>
      </c>
      <c r="AF6" s="36" t="s">
        <v>143</v>
      </c>
      <c r="AG6" s="36"/>
      <c r="AH6" s="36"/>
    </row>
    <row r="7" spans="1:34" x14ac:dyDescent="0.2">
      <c r="A7" s="23" t="s">
        <v>24</v>
      </c>
      <c r="B7" s="35" t="s">
        <v>152</v>
      </c>
      <c r="C7" s="23" t="s">
        <v>21</v>
      </c>
      <c r="D7" s="23"/>
      <c r="E7" s="23"/>
      <c r="F7" s="241"/>
      <c r="G7" s="38" t="s">
        <v>151</v>
      </c>
      <c r="H7" s="38" t="s">
        <v>147</v>
      </c>
      <c r="I7" s="38" t="s">
        <v>150</v>
      </c>
      <c r="J7" s="38"/>
      <c r="K7" s="38" t="s">
        <v>20</v>
      </c>
      <c r="L7" s="38" t="s">
        <v>683</v>
      </c>
      <c r="M7" s="38" t="s">
        <v>685</v>
      </c>
      <c r="N7" s="38" t="s">
        <v>1024</v>
      </c>
      <c r="O7" s="38" t="s">
        <v>1026</v>
      </c>
      <c r="P7" s="38" t="s">
        <v>149</v>
      </c>
      <c r="Q7" s="38" t="s">
        <v>148</v>
      </c>
      <c r="R7" s="38" t="s">
        <v>371</v>
      </c>
      <c r="S7" s="38" t="s">
        <v>408</v>
      </c>
      <c r="T7" s="486"/>
      <c r="U7" s="38" t="s">
        <v>473</v>
      </c>
      <c r="V7" s="486"/>
      <c r="W7" s="38" t="s">
        <v>144</v>
      </c>
      <c r="X7" s="38" t="s">
        <v>300</v>
      </c>
      <c r="Y7" s="38" t="s">
        <v>408</v>
      </c>
      <c r="Z7" s="38" t="s">
        <v>147</v>
      </c>
      <c r="AA7" s="38" t="s">
        <v>414</v>
      </c>
      <c r="AB7" s="38" t="s">
        <v>416</v>
      </c>
      <c r="AC7" s="127" t="s">
        <v>1028</v>
      </c>
      <c r="AD7" s="38" t="s">
        <v>372</v>
      </c>
      <c r="AE7" s="38" t="s">
        <v>372</v>
      </c>
      <c r="AF7" s="38" t="s">
        <v>372</v>
      </c>
      <c r="AG7"/>
      <c r="AH7"/>
    </row>
    <row r="8" spans="1:34" x14ac:dyDescent="0.2">
      <c r="B8" s="36" t="s">
        <v>26</v>
      </c>
      <c r="C8" s="36" t="s">
        <v>27</v>
      </c>
      <c r="D8" s="36" t="s">
        <v>28</v>
      </c>
      <c r="E8" s="36" t="s">
        <v>29</v>
      </c>
      <c r="F8" s="36"/>
      <c r="G8" s="36" t="s">
        <v>36</v>
      </c>
      <c r="H8" s="36" t="s">
        <v>30</v>
      </c>
      <c r="I8" s="36" t="s">
        <v>31</v>
      </c>
      <c r="J8" s="36"/>
      <c r="K8" s="36" t="s">
        <v>32</v>
      </c>
      <c r="L8" s="36" t="s">
        <v>33</v>
      </c>
      <c r="M8" s="36" t="s">
        <v>34</v>
      </c>
      <c r="N8" s="36" t="s">
        <v>35</v>
      </c>
      <c r="O8" s="36" t="s">
        <v>157</v>
      </c>
      <c r="P8" s="36" t="s">
        <v>158</v>
      </c>
      <c r="Q8" s="36" t="s">
        <v>159</v>
      </c>
      <c r="R8" s="259" t="s">
        <v>160</v>
      </c>
      <c r="S8" s="36" t="s">
        <v>161</v>
      </c>
      <c r="T8" s="36" t="s">
        <v>162</v>
      </c>
      <c r="U8" s="36" t="s">
        <v>248</v>
      </c>
      <c r="V8" s="36" t="s">
        <v>163</v>
      </c>
      <c r="W8" s="36" t="s">
        <v>164</v>
      </c>
      <c r="X8" s="36" t="s">
        <v>165</v>
      </c>
      <c r="Y8" s="36" t="s">
        <v>166</v>
      </c>
      <c r="Z8" s="36" t="s">
        <v>167</v>
      </c>
      <c r="AA8" s="36" t="s">
        <v>168</v>
      </c>
      <c r="AB8" s="36" t="s">
        <v>169</v>
      </c>
      <c r="AC8" s="36" t="s">
        <v>170</v>
      </c>
      <c r="AD8" s="36" t="s">
        <v>171</v>
      </c>
      <c r="AE8" s="36" t="s">
        <v>747</v>
      </c>
      <c r="AF8" s="36" t="s">
        <v>892</v>
      </c>
      <c r="AG8"/>
      <c r="AH8"/>
    </row>
    <row r="9" spans="1:34" x14ac:dyDescent="0.2">
      <c r="B9" s="33"/>
      <c r="G9" s="239"/>
      <c r="H9" s="239"/>
      <c r="I9" s="239"/>
      <c r="K9" s="239"/>
      <c r="L9" s="239"/>
      <c r="M9" s="239"/>
      <c r="N9" s="239"/>
      <c r="O9" s="239"/>
      <c r="P9" s="239"/>
      <c r="Q9" s="239"/>
      <c r="R9" s="239"/>
      <c r="S9" s="239"/>
      <c r="T9" s="239"/>
      <c r="U9" s="239"/>
      <c r="V9" s="239"/>
      <c r="W9" s="239"/>
      <c r="X9" s="239"/>
      <c r="Y9" s="239"/>
      <c r="Z9" s="239"/>
      <c r="AA9" s="239"/>
      <c r="AB9" s="239"/>
      <c r="AC9" s="239"/>
      <c r="AD9" s="239"/>
      <c r="AE9" s="239"/>
      <c r="AF9" s="239"/>
    </row>
    <row r="10" spans="1:34" ht="18" x14ac:dyDescent="0.25">
      <c r="A10" s="242" t="s">
        <v>141</v>
      </c>
      <c r="C10" s="32"/>
      <c r="H10" s="26"/>
      <c r="N10" s="239"/>
    </row>
    <row r="11" spans="1:34" x14ac:dyDescent="0.2">
      <c r="B11" s="36"/>
      <c r="C11" s="33"/>
    </row>
    <row r="12" spans="1:34" x14ac:dyDescent="0.2">
      <c r="B12" s="36"/>
      <c r="C12" s="33" t="s">
        <v>464</v>
      </c>
    </row>
    <row r="13" spans="1:34" x14ac:dyDescent="0.2">
      <c r="A13" s="33">
        <v>1</v>
      </c>
      <c r="B13" s="243">
        <v>304</v>
      </c>
      <c r="C13" s="33"/>
      <c r="D13" s="20" t="s">
        <v>136</v>
      </c>
      <c r="G13" s="27">
        <v>0</v>
      </c>
      <c r="H13" s="26">
        <f t="shared" ref="H13:H18" si="0">SUM(K13:AF13)</f>
        <v>0</v>
      </c>
      <c r="I13" s="34">
        <f>G13+H13</f>
        <v>0</v>
      </c>
      <c r="J13" s="244"/>
      <c r="K13" s="34"/>
      <c r="L13" s="34"/>
      <c r="M13" s="34"/>
      <c r="N13" s="34"/>
      <c r="O13" s="34"/>
      <c r="P13" s="34"/>
      <c r="Q13" s="34"/>
      <c r="R13" s="34"/>
      <c r="S13" s="34"/>
      <c r="T13" s="34"/>
      <c r="U13" s="34"/>
      <c r="V13" s="34"/>
      <c r="W13" s="34"/>
      <c r="X13" s="34"/>
      <c r="Y13" s="34"/>
      <c r="Z13" s="34"/>
      <c r="AA13" s="34"/>
      <c r="AB13" s="34"/>
      <c r="AC13" s="34"/>
      <c r="AD13" s="34"/>
      <c r="AE13" s="34"/>
      <c r="AF13" s="34"/>
    </row>
    <row r="14" spans="1:34" x14ac:dyDescent="0.2">
      <c r="A14" s="33">
        <f>+A13+1</f>
        <v>2</v>
      </c>
      <c r="B14" s="243">
        <v>305</v>
      </c>
      <c r="C14" s="33"/>
      <c r="D14" s="20" t="s">
        <v>309</v>
      </c>
      <c r="G14" s="27">
        <v>0</v>
      </c>
      <c r="H14" s="26">
        <f t="shared" si="0"/>
        <v>0</v>
      </c>
      <c r="I14" s="34">
        <f>G14+H14</f>
        <v>0</v>
      </c>
      <c r="J14" s="244"/>
      <c r="K14" s="34"/>
      <c r="L14" s="34"/>
      <c r="M14" s="34"/>
      <c r="N14" s="34"/>
      <c r="O14" s="34"/>
      <c r="P14" s="34"/>
      <c r="Q14" s="34"/>
      <c r="R14" s="34"/>
      <c r="S14" s="34"/>
      <c r="T14" s="34"/>
      <c r="U14" s="34"/>
      <c r="V14" s="34"/>
      <c r="W14" s="34"/>
      <c r="X14" s="34"/>
      <c r="Y14" s="34"/>
      <c r="Z14" s="34"/>
      <c r="AA14" s="34"/>
      <c r="AB14" s="34"/>
      <c r="AC14" s="34"/>
      <c r="AD14" s="34"/>
      <c r="AE14" s="34"/>
      <c r="AF14" s="34"/>
    </row>
    <row r="15" spans="1:34" x14ac:dyDescent="0.2">
      <c r="A15" s="33">
        <f t="shared" ref="A15:A19" si="1">+A14+1</f>
        <v>3</v>
      </c>
      <c r="B15" s="243">
        <v>306</v>
      </c>
      <c r="C15" s="33"/>
      <c r="D15" s="20" t="s">
        <v>310</v>
      </c>
      <c r="G15" s="27">
        <v>0</v>
      </c>
      <c r="H15" s="26">
        <f t="shared" si="0"/>
        <v>0</v>
      </c>
      <c r="I15" s="34">
        <f t="shared" ref="I15:I16" si="2">G15+H15</f>
        <v>0</v>
      </c>
      <c r="J15" s="244"/>
      <c r="K15" s="34"/>
      <c r="L15" s="34"/>
      <c r="M15" s="34"/>
      <c r="N15" s="34"/>
      <c r="O15" s="34"/>
      <c r="P15" s="34"/>
      <c r="Q15" s="34"/>
      <c r="R15" s="34"/>
      <c r="S15" s="34"/>
      <c r="T15" s="34"/>
      <c r="U15" s="34"/>
      <c r="V15" s="34"/>
      <c r="W15" s="34"/>
      <c r="X15" s="34"/>
      <c r="Y15" s="34"/>
      <c r="Z15" s="34"/>
      <c r="AA15" s="34"/>
      <c r="AB15" s="34"/>
      <c r="AC15" s="34"/>
      <c r="AD15" s="34"/>
      <c r="AE15" s="34"/>
      <c r="AF15" s="34"/>
    </row>
    <row r="16" spans="1:34" x14ac:dyDescent="0.2">
      <c r="A16" s="33">
        <f t="shared" si="1"/>
        <v>4</v>
      </c>
      <c r="B16" s="243">
        <v>307</v>
      </c>
      <c r="C16" s="33"/>
      <c r="D16" s="20" t="s">
        <v>311</v>
      </c>
      <c r="G16" s="27">
        <v>0</v>
      </c>
      <c r="H16" s="26">
        <f t="shared" si="0"/>
        <v>0</v>
      </c>
      <c r="I16" s="34">
        <f t="shared" si="2"/>
        <v>0</v>
      </c>
      <c r="J16" s="244"/>
      <c r="K16" s="34"/>
      <c r="L16" s="34"/>
      <c r="M16" s="34"/>
      <c r="N16" s="34"/>
      <c r="O16" s="34"/>
      <c r="P16" s="34"/>
      <c r="Q16" s="34"/>
      <c r="R16" s="34"/>
      <c r="S16" s="34"/>
      <c r="T16" s="34"/>
      <c r="U16" s="34"/>
      <c r="V16" s="34"/>
      <c r="W16" s="34"/>
      <c r="X16" s="34"/>
      <c r="Y16" s="34"/>
      <c r="Z16" s="34"/>
      <c r="AA16" s="34"/>
      <c r="AB16" s="34"/>
      <c r="AC16" s="34"/>
      <c r="AD16" s="34"/>
      <c r="AE16" s="34"/>
      <c r="AF16" s="34"/>
    </row>
    <row r="17" spans="1:32" x14ac:dyDescent="0.2">
      <c r="A17" s="33">
        <f t="shared" si="1"/>
        <v>5</v>
      </c>
      <c r="B17" s="243">
        <v>311</v>
      </c>
      <c r="C17" s="33"/>
      <c r="D17" s="20" t="s">
        <v>140</v>
      </c>
      <c r="G17" s="27">
        <v>0</v>
      </c>
      <c r="H17" s="26">
        <f t="shared" si="0"/>
        <v>0</v>
      </c>
      <c r="I17" s="34">
        <f>G17+H17</f>
        <v>0</v>
      </c>
      <c r="J17" s="244"/>
      <c r="K17" s="34"/>
      <c r="L17" s="34"/>
      <c r="M17" s="34"/>
      <c r="N17" s="34"/>
      <c r="O17" s="34"/>
      <c r="P17" s="34"/>
      <c r="Q17" s="34"/>
      <c r="R17" s="34"/>
      <c r="S17" s="34"/>
      <c r="T17" s="34"/>
      <c r="U17" s="34"/>
      <c r="V17" s="34"/>
      <c r="W17" s="34"/>
      <c r="X17" s="34"/>
      <c r="Y17" s="34"/>
      <c r="Z17" s="34"/>
      <c r="AA17" s="34"/>
      <c r="AB17" s="34"/>
      <c r="AC17" s="34"/>
      <c r="AD17" s="34"/>
      <c r="AE17" s="34"/>
      <c r="AF17" s="34"/>
    </row>
    <row r="18" spans="1:32" ht="15" x14ac:dyDescent="0.35">
      <c r="A18" s="35">
        <f t="shared" si="1"/>
        <v>6</v>
      </c>
      <c r="B18" s="245">
        <v>320</v>
      </c>
      <c r="C18" s="35"/>
      <c r="D18" s="23" t="s">
        <v>139</v>
      </c>
      <c r="E18" s="23"/>
      <c r="F18" s="23"/>
      <c r="G18" s="9">
        <v>0</v>
      </c>
      <c r="H18" s="246">
        <f t="shared" si="0"/>
        <v>0</v>
      </c>
      <c r="I18" s="9">
        <f>G18+H18</f>
        <v>0</v>
      </c>
      <c r="J18" s="244"/>
      <c r="K18" s="9"/>
      <c r="L18" s="9"/>
      <c r="M18" s="9"/>
      <c r="N18" s="9"/>
      <c r="O18" s="9"/>
      <c r="P18" s="9"/>
      <c r="Q18" s="253"/>
      <c r="R18" s="253"/>
      <c r="S18" s="253"/>
      <c r="T18" s="253"/>
      <c r="U18" s="253"/>
      <c r="V18" s="253"/>
      <c r="W18" s="253"/>
      <c r="X18" s="253"/>
      <c r="Y18" s="9"/>
      <c r="Z18" s="253"/>
      <c r="AA18" s="253"/>
      <c r="AB18" s="253"/>
      <c r="AC18" s="253"/>
      <c r="AD18" s="253"/>
      <c r="AE18" s="253"/>
      <c r="AF18" s="253"/>
    </row>
    <row r="19" spans="1:32" x14ac:dyDescent="0.2">
      <c r="A19" s="33">
        <f t="shared" si="1"/>
        <v>7</v>
      </c>
      <c r="B19" s="33"/>
      <c r="C19" s="33" t="s">
        <v>138</v>
      </c>
      <c r="G19" s="34">
        <f>SUM(G13:G18)</f>
        <v>0</v>
      </c>
      <c r="H19" s="34">
        <f>SUM(H13:H18)</f>
        <v>0</v>
      </c>
      <c r="I19" s="34">
        <f>SUM(I13:I18)</f>
        <v>0</v>
      </c>
      <c r="K19" s="34">
        <f>SUM(K13:K18)</f>
        <v>0</v>
      </c>
      <c r="L19" s="34">
        <f t="shared" ref="L19:O19" si="3">SUM(L13:L18)</f>
        <v>0</v>
      </c>
      <c r="M19" s="34">
        <f t="shared" si="3"/>
        <v>0</v>
      </c>
      <c r="N19" s="34">
        <f>SUM(N13:N18)</f>
        <v>0</v>
      </c>
      <c r="O19" s="34">
        <f t="shared" si="3"/>
        <v>0</v>
      </c>
      <c r="P19" s="34">
        <f t="shared" ref="P19" si="4">SUM(P13:P18)</f>
        <v>0</v>
      </c>
      <c r="Q19" s="34">
        <f t="shared" ref="Q19:AE19" si="5">SUM(Q13:Q18)</f>
        <v>0</v>
      </c>
      <c r="R19" s="34">
        <f t="shared" si="5"/>
        <v>0</v>
      </c>
      <c r="S19" s="34">
        <f t="shared" si="5"/>
        <v>0</v>
      </c>
      <c r="T19" s="34">
        <f t="shared" si="5"/>
        <v>0</v>
      </c>
      <c r="U19" s="34">
        <f t="shared" si="5"/>
        <v>0</v>
      </c>
      <c r="V19" s="34">
        <f t="shared" si="5"/>
        <v>0</v>
      </c>
      <c r="W19" s="34">
        <f>SUM(W13:W18)</f>
        <v>0</v>
      </c>
      <c r="X19" s="34">
        <f t="shared" si="5"/>
        <v>0</v>
      </c>
      <c r="Y19" s="34">
        <f t="shared" si="5"/>
        <v>0</v>
      </c>
      <c r="Z19" s="34">
        <f t="shared" si="5"/>
        <v>0</v>
      </c>
      <c r="AA19" s="34">
        <f t="shared" si="5"/>
        <v>0</v>
      </c>
      <c r="AB19" s="34">
        <f t="shared" si="5"/>
        <v>0</v>
      </c>
      <c r="AC19" s="34">
        <f t="shared" si="5"/>
        <v>0</v>
      </c>
      <c r="AD19" s="34">
        <f t="shared" si="5"/>
        <v>0</v>
      </c>
      <c r="AE19" s="34">
        <f t="shared" si="5"/>
        <v>0</v>
      </c>
      <c r="AF19" s="34">
        <f t="shared" ref="AF19" si="6">SUM(AF13:AF18)</f>
        <v>0</v>
      </c>
    </row>
    <row r="20" spans="1:32" x14ac:dyDescent="0.2">
      <c r="A20" s="33"/>
      <c r="B20" s="33"/>
      <c r="G20" s="34"/>
      <c r="I20" s="34"/>
      <c r="K20" s="34"/>
      <c r="L20" s="34"/>
      <c r="M20" s="34"/>
      <c r="N20" s="34"/>
      <c r="O20" s="34"/>
      <c r="P20" s="34"/>
      <c r="Q20" s="34"/>
      <c r="R20" s="34"/>
      <c r="S20" s="34"/>
      <c r="T20" s="34"/>
      <c r="U20" s="34"/>
      <c r="V20" s="34"/>
      <c r="W20" s="34"/>
      <c r="X20" s="34"/>
      <c r="Y20" s="34"/>
      <c r="Z20" s="34"/>
      <c r="AA20" s="34"/>
      <c r="AB20" s="34"/>
      <c r="AC20" s="34"/>
      <c r="AD20" s="34"/>
      <c r="AE20" s="34"/>
      <c r="AF20" s="34"/>
    </row>
    <row r="21" spans="1:32" x14ac:dyDescent="0.2">
      <c r="A21" s="33"/>
      <c r="B21" s="33"/>
      <c r="C21" s="20" t="s">
        <v>468</v>
      </c>
      <c r="G21" s="34"/>
      <c r="I21" s="34"/>
      <c r="K21" s="34"/>
      <c r="L21" s="34"/>
      <c r="M21" s="34"/>
      <c r="N21" s="34"/>
      <c r="O21" s="34"/>
      <c r="P21" s="34"/>
      <c r="Q21" s="34"/>
      <c r="R21" s="34"/>
      <c r="S21" s="34"/>
      <c r="T21" s="34"/>
      <c r="U21" s="34"/>
      <c r="V21" s="34"/>
      <c r="W21" s="34"/>
      <c r="X21" s="34"/>
      <c r="Y21" s="34"/>
      <c r="Z21" s="34"/>
      <c r="AA21" s="34"/>
      <c r="AB21" s="34"/>
      <c r="AC21" s="34"/>
      <c r="AD21" s="34"/>
      <c r="AE21" s="34"/>
      <c r="AF21" s="34"/>
    </row>
    <row r="22" spans="1:32" x14ac:dyDescent="0.2">
      <c r="A22" s="33">
        <f>+A19+1</f>
        <v>8</v>
      </c>
      <c r="B22" s="33">
        <v>360</v>
      </c>
      <c r="D22" s="20" t="s">
        <v>136</v>
      </c>
      <c r="G22" s="27">
        <v>31573.760000000002</v>
      </c>
      <c r="H22" s="26">
        <f t="shared" ref="H22:H30" si="7">SUM(K22:AF22)</f>
        <v>0</v>
      </c>
      <c r="I22" s="34">
        <f t="shared" ref="I22:I29" si="8">G22+H22</f>
        <v>31573.760000000002</v>
      </c>
      <c r="J22" s="244"/>
      <c r="K22" s="34"/>
      <c r="L22" s="34"/>
      <c r="M22" s="34"/>
      <c r="N22" s="34"/>
      <c r="O22" s="34"/>
      <c r="P22" s="34"/>
      <c r="Q22" s="34"/>
      <c r="R22" s="34"/>
      <c r="S22" s="34"/>
      <c r="T22" s="34"/>
      <c r="U22" s="34"/>
      <c r="V22" s="34"/>
      <c r="W22" s="34"/>
      <c r="X22" s="34"/>
      <c r="Y22" s="34"/>
      <c r="Z22" s="34"/>
      <c r="AA22" s="34"/>
      <c r="AB22" s="34"/>
      <c r="AC22" s="34"/>
      <c r="AD22" s="34"/>
      <c r="AE22" s="34"/>
      <c r="AF22" s="34"/>
    </row>
    <row r="23" spans="1:32" x14ac:dyDescent="0.2">
      <c r="A23" s="33">
        <f>+A22+1</f>
        <v>9</v>
      </c>
      <c r="B23" s="33">
        <v>361</v>
      </c>
      <c r="D23" s="20" t="s">
        <v>309</v>
      </c>
      <c r="G23" s="27">
        <v>1168793.48</v>
      </c>
      <c r="H23" s="26">
        <f t="shared" si="7"/>
        <v>0</v>
      </c>
      <c r="I23" s="34">
        <f t="shared" si="8"/>
        <v>1168793.48</v>
      </c>
      <c r="J23" s="244"/>
      <c r="K23" s="34"/>
      <c r="L23" s="34"/>
      <c r="M23" s="34"/>
      <c r="N23" s="27"/>
      <c r="O23" s="27"/>
      <c r="P23" s="34"/>
      <c r="Q23" s="34"/>
      <c r="R23" s="34"/>
      <c r="S23" s="34"/>
      <c r="T23" s="34"/>
      <c r="U23" s="34"/>
      <c r="V23" s="34"/>
      <c r="W23" s="34"/>
      <c r="X23" s="34"/>
      <c r="Y23" s="34"/>
      <c r="Z23" s="34"/>
      <c r="AA23" s="34"/>
      <c r="AB23" s="34"/>
      <c r="AC23" s="34"/>
      <c r="AD23" s="34"/>
      <c r="AE23" s="34"/>
      <c r="AF23" s="34"/>
    </row>
    <row r="24" spans="1:32" x14ac:dyDescent="0.2">
      <c r="A24" s="33">
        <f t="shared" ref="A24:A31" si="9">+A23+1</f>
        <v>10</v>
      </c>
      <c r="B24" s="33">
        <v>362</v>
      </c>
      <c r="D24" s="20" t="s">
        <v>313</v>
      </c>
      <c r="G24" s="27">
        <v>1403733.84</v>
      </c>
      <c r="H24" s="26">
        <f t="shared" si="7"/>
        <v>0</v>
      </c>
      <c r="I24" s="34">
        <f t="shared" si="8"/>
        <v>1403733.84</v>
      </c>
      <c r="J24" s="244"/>
      <c r="K24" s="34"/>
      <c r="L24" s="34"/>
      <c r="M24" s="34"/>
      <c r="N24" s="27"/>
      <c r="O24" s="27"/>
      <c r="P24" s="34"/>
      <c r="Q24" s="34"/>
      <c r="R24" s="34"/>
      <c r="S24" s="34"/>
      <c r="T24" s="34"/>
      <c r="U24" s="34"/>
      <c r="V24" s="34"/>
      <c r="W24" s="34"/>
      <c r="X24" s="34"/>
      <c r="Y24" s="34"/>
      <c r="Z24" s="34"/>
      <c r="AA24" s="34"/>
      <c r="AB24" s="34"/>
      <c r="AC24" s="34"/>
      <c r="AD24" s="34"/>
      <c r="AE24" s="34"/>
      <c r="AF24" s="34"/>
    </row>
    <row r="25" spans="1:32" x14ac:dyDescent="0.2">
      <c r="A25" s="33">
        <f t="shared" si="9"/>
        <v>11</v>
      </c>
      <c r="B25" s="33">
        <v>363</v>
      </c>
      <c r="D25" s="20" t="s">
        <v>314</v>
      </c>
      <c r="G25" s="27">
        <v>458568.54</v>
      </c>
      <c r="H25" s="26">
        <f t="shared" si="7"/>
        <v>0</v>
      </c>
      <c r="I25" s="34">
        <f t="shared" si="8"/>
        <v>458568.54</v>
      </c>
      <c r="J25" s="244"/>
      <c r="K25" s="34"/>
      <c r="L25" s="34"/>
      <c r="M25" s="34"/>
      <c r="N25" s="27"/>
      <c r="O25" s="27"/>
      <c r="P25" s="34"/>
      <c r="Q25" s="34"/>
      <c r="R25" s="34"/>
      <c r="S25" s="34"/>
      <c r="T25" s="34"/>
      <c r="U25" s="34"/>
      <c r="V25" s="34"/>
      <c r="W25" s="34"/>
      <c r="X25" s="34"/>
      <c r="Y25" s="34"/>
      <c r="Z25" s="34"/>
      <c r="AA25" s="34"/>
      <c r="AB25" s="34"/>
      <c r="AC25" s="34"/>
      <c r="AD25" s="34"/>
      <c r="AE25" s="34"/>
      <c r="AF25" s="34"/>
    </row>
    <row r="26" spans="1:32" x14ac:dyDescent="0.2">
      <c r="A26" s="33">
        <f t="shared" si="9"/>
        <v>12</v>
      </c>
      <c r="B26" s="33">
        <v>363.1</v>
      </c>
      <c r="D26" s="20" t="s">
        <v>470</v>
      </c>
      <c r="G26" s="27">
        <v>909431.96</v>
      </c>
      <c r="H26" s="26">
        <f t="shared" si="7"/>
        <v>0</v>
      </c>
      <c r="I26" s="34">
        <f t="shared" si="8"/>
        <v>909431.96</v>
      </c>
      <c r="J26" s="244"/>
      <c r="K26" s="34"/>
      <c r="L26" s="34"/>
      <c r="M26" s="34"/>
      <c r="N26" s="27"/>
      <c r="O26" s="27"/>
      <c r="P26" s="34"/>
      <c r="Q26" s="34"/>
      <c r="R26" s="34"/>
      <c r="S26" s="34"/>
      <c r="T26" s="34"/>
      <c r="U26" s="34"/>
      <c r="V26" s="34"/>
      <c r="W26" s="34"/>
      <c r="X26" s="34"/>
      <c r="Y26" s="34"/>
      <c r="Z26" s="34"/>
      <c r="AA26" s="34"/>
      <c r="AB26" s="34"/>
      <c r="AC26" s="34"/>
      <c r="AD26" s="34"/>
      <c r="AE26" s="34"/>
      <c r="AF26" s="34"/>
    </row>
    <row r="27" spans="1:32" x14ac:dyDescent="0.2">
      <c r="A27" s="33">
        <f t="shared" si="9"/>
        <v>13</v>
      </c>
      <c r="B27" s="33">
        <v>363.2</v>
      </c>
      <c r="D27" s="20" t="s">
        <v>315</v>
      </c>
      <c r="G27" s="27">
        <v>276163.69</v>
      </c>
      <c r="H27" s="26">
        <f t="shared" si="7"/>
        <v>0</v>
      </c>
      <c r="I27" s="34">
        <f t="shared" si="8"/>
        <v>276163.69</v>
      </c>
      <c r="J27" s="244"/>
      <c r="K27" s="34"/>
      <c r="L27" s="34"/>
      <c r="M27" s="34"/>
      <c r="N27" s="27"/>
      <c r="O27" s="27"/>
      <c r="P27" s="34"/>
      <c r="Q27" s="34"/>
      <c r="R27" s="34"/>
      <c r="S27" s="34"/>
      <c r="T27" s="34"/>
      <c r="U27" s="34"/>
      <c r="V27" s="34"/>
      <c r="W27" s="34"/>
      <c r="X27" s="34"/>
      <c r="Y27" s="34"/>
      <c r="Z27" s="34"/>
      <c r="AA27" s="34"/>
      <c r="AB27" s="34"/>
      <c r="AC27" s="34"/>
      <c r="AD27" s="34"/>
      <c r="AE27" s="34"/>
      <c r="AF27" s="34"/>
    </row>
    <row r="28" spans="1:32" x14ac:dyDescent="0.2">
      <c r="A28" s="33">
        <f t="shared" si="9"/>
        <v>14</v>
      </c>
      <c r="B28" s="33">
        <v>363.3</v>
      </c>
      <c r="D28" s="20" t="s">
        <v>469</v>
      </c>
      <c r="G28" s="27">
        <v>352814.62</v>
      </c>
      <c r="H28" s="26">
        <f t="shared" si="7"/>
        <v>0</v>
      </c>
      <c r="I28" s="34">
        <f t="shared" si="8"/>
        <v>352814.62</v>
      </c>
      <c r="J28" s="244"/>
      <c r="K28" s="34"/>
      <c r="L28" s="34"/>
      <c r="M28" s="34"/>
      <c r="N28" s="27"/>
      <c r="O28" s="27"/>
      <c r="P28" s="34"/>
      <c r="Q28" s="34"/>
      <c r="R28" s="34"/>
      <c r="S28" s="34"/>
      <c r="T28" s="34"/>
      <c r="U28" s="34"/>
      <c r="V28" s="34"/>
      <c r="W28" s="34"/>
      <c r="X28" s="34"/>
      <c r="Y28" s="34"/>
      <c r="Z28" s="34"/>
      <c r="AA28" s="34"/>
      <c r="AB28" s="34"/>
      <c r="AC28" s="34"/>
      <c r="AD28" s="34"/>
      <c r="AE28" s="34"/>
      <c r="AF28" s="34"/>
    </row>
    <row r="29" spans="1:32" x14ac:dyDescent="0.2">
      <c r="A29" s="33">
        <f t="shared" si="9"/>
        <v>15</v>
      </c>
      <c r="B29" s="33">
        <v>363.4</v>
      </c>
      <c r="D29" s="20" t="s">
        <v>318</v>
      </c>
      <c r="G29" s="27"/>
      <c r="H29" s="26">
        <f t="shared" si="7"/>
        <v>0</v>
      </c>
      <c r="I29" s="34">
        <f t="shared" si="8"/>
        <v>0</v>
      </c>
      <c r="J29" s="244"/>
      <c r="K29" s="34"/>
      <c r="L29" s="34"/>
      <c r="M29" s="34"/>
      <c r="N29" s="34"/>
      <c r="O29" s="34"/>
      <c r="P29" s="34"/>
      <c r="Q29" s="34"/>
      <c r="R29" s="34"/>
      <c r="S29" s="34"/>
      <c r="T29" s="34"/>
      <c r="U29" s="34"/>
      <c r="V29" s="34"/>
      <c r="W29" s="34"/>
      <c r="X29" s="34"/>
      <c r="Y29" s="34"/>
      <c r="Z29" s="34"/>
      <c r="AA29" s="34"/>
      <c r="AB29" s="34"/>
      <c r="AC29" s="34"/>
      <c r="AD29" s="34"/>
      <c r="AE29" s="34"/>
      <c r="AF29" s="34"/>
    </row>
    <row r="30" spans="1:32" ht="15" x14ac:dyDescent="0.35">
      <c r="A30" s="35">
        <f t="shared" si="9"/>
        <v>16</v>
      </c>
      <c r="B30" s="35">
        <v>363.5</v>
      </c>
      <c r="C30" s="23"/>
      <c r="D30" s="23" t="s">
        <v>319</v>
      </c>
      <c r="E30" s="23"/>
      <c r="F30" s="23"/>
      <c r="G30" s="9">
        <v>2090856.46</v>
      </c>
      <c r="H30" s="246">
        <f t="shared" si="7"/>
        <v>0</v>
      </c>
      <c r="I30" s="9">
        <f t="shared" ref="I30" si="10">G30+H30</f>
        <v>2090856.46</v>
      </c>
      <c r="J30" s="244"/>
      <c r="K30" s="253"/>
      <c r="L30" s="253"/>
      <c r="M30" s="253"/>
      <c r="N30" s="253"/>
      <c r="O30" s="253"/>
      <c r="P30" s="253"/>
      <c r="Q30" s="253"/>
      <c r="R30" s="253"/>
      <c r="S30" s="253"/>
      <c r="T30" s="253"/>
      <c r="U30" s="253"/>
      <c r="V30" s="253"/>
      <c r="W30" s="253"/>
      <c r="X30" s="253"/>
      <c r="Y30" s="253"/>
      <c r="Z30" s="253"/>
      <c r="AA30" s="253"/>
      <c r="AB30" s="253"/>
      <c r="AC30" s="253"/>
      <c r="AD30" s="253"/>
      <c r="AE30" s="253"/>
      <c r="AF30" s="253"/>
    </row>
    <row r="31" spans="1:32" x14ac:dyDescent="0.2">
      <c r="A31" s="33">
        <f t="shared" si="9"/>
        <v>17</v>
      </c>
      <c r="B31" s="33"/>
      <c r="C31" s="33" t="s">
        <v>467</v>
      </c>
      <c r="G31" s="34">
        <f>SUM(G22:G30)</f>
        <v>6691936.3500000006</v>
      </c>
      <c r="H31" s="34">
        <f t="shared" ref="H31:I31" si="11">SUM(H22:H30)</f>
        <v>0</v>
      </c>
      <c r="I31" s="34">
        <f t="shared" si="11"/>
        <v>6691936.3500000006</v>
      </c>
      <c r="K31" s="34">
        <f>SUM(K22:K30)</f>
        <v>0</v>
      </c>
      <c r="L31" s="34">
        <f t="shared" ref="L31:O31" si="12">SUM(L22:L30)</f>
        <v>0</v>
      </c>
      <c r="M31" s="34">
        <f t="shared" si="12"/>
        <v>0</v>
      </c>
      <c r="N31" s="34">
        <f>SUM(N22:N30)</f>
        <v>0</v>
      </c>
      <c r="O31" s="34">
        <f t="shared" si="12"/>
        <v>0</v>
      </c>
      <c r="P31" s="34">
        <f t="shared" ref="P31" si="13">SUM(P22:P30)</f>
        <v>0</v>
      </c>
      <c r="Q31" s="34">
        <f t="shared" ref="Q31:AE31" si="14">SUM(Q22:Q30)</f>
        <v>0</v>
      </c>
      <c r="R31" s="34">
        <f t="shared" si="14"/>
        <v>0</v>
      </c>
      <c r="S31" s="34">
        <f t="shared" si="14"/>
        <v>0</v>
      </c>
      <c r="T31" s="34">
        <f t="shared" si="14"/>
        <v>0</v>
      </c>
      <c r="U31" s="34">
        <f t="shared" si="14"/>
        <v>0</v>
      </c>
      <c r="V31" s="34">
        <f t="shared" si="14"/>
        <v>0</v>
      </c>
      <c r="W31" s="34">
        <f>SUM(W22:W30)</f>
        <v>0</v>
      </c>
      <c r="X31" s="34">
        <f t="shared" si="14"/>
        <v>0</v>
      </c>
      <c r="Y31" s="34">
        <f t="shared" si="14"/>
        <v>0</v>
      </c>
      <c r="Z31" s="34">
        <f t="shared" si="14"/>
        <v>0</v>
      </c>
      <c r="AA31" s="34">
        <f t="shared" si="14"/>
        <v>0</v>
      </c>
      <c r="AB31" s="34">
        <f t="shared" si="14"/>
        <v>0</v>
      </c>
      <c r="AC31" s="34">
        <f t="shared" si="14"/>
        <v>0</v>
      </c>
      <c r="AD31" s="34">
        <f t="shared" ref="AD31" si="15">SUM(AD22:AD30)</f>
        <v>0</v>
      </c>
      <c r="AE31" s="34">
        <f t="shared" si="14"/>
        <v>0</v>
      </c>
      <c r="AF31" s="34">
        <f t="shared" ref="AF31" si="16">SUM(AF22:AF30)</f>
        <v>0</v>
      </c>
    </row>
    <row r="32" spans="1:32" x14ac:dyDescent="0.2">
      <c r="A32" s="33"/>
      <c r="B32" s="33"/>
      <c r="G32" s="34"/>
      <c r="I32" s="34"/>
      <c r="K32" s="34"/>
      <c r="L32" s="34"/>
      <c r="M32" s="34"/>
      <c r="N32" s="34"/>
      <c r="O32" s="34"/>
      <c r="P32" s="34"/>
      <c r="Q32" s="34"/>
      <c r="R32" s="34"/>
      <c r="S32" s="34"/>
      <c r="T32" s="34"/>
      <c r="U32" s="34"/>
      <c r="V32" s="34"/>
      <c r="W32" s="34"/>
      <c r="X32" s="34"/>
      <c r="Y32" s="34"/>
      <c r="Z32" s="34"/>
      <c r="AA32" s="34"/>
      <c r="AB32" s="34"/>
      <c r="AC32" s="34"/>
      <c r="AD32" s="34"/>
      <c r="AE32" s="34"/>
      <c r="AF32" s="34"/>
    </row>
    <row r="33" spans="1:32" x14ac:dyDescent="0.2">
      <c r="A33" s="33"/>
      <c r="B33" s="33"/>
      <c r="C33" s="20" t="s">
        <v>137</v>
      </c>
      <c r="G33" s="34"/>
      <c r="I33" s="34"/>
      <c r="K33" s="34"/>
      <c r="L33" s="34"/>
      <c r="M33" s="34"/>
      <c r="N33" s="34"/>
      <c r="O33" s="34"/>
      <c r="P33" s="34"/>
      <c r="Q33" s="34"/>
      <c r="R33" s="34"/>
      <c r="S33" s="34"/>
      <c r="T33" s="34"/>
      <c r="U33" s="34"/>
      <c r="V33" s="34"/>
      <c r="W33" s="34"/>
      <c r="X33" s="34"/>
      <c r="Y33" s="34"/>
      <c r="Z33" s="34"/>
      <c r="AA33" s="34"/>
      <c r="AB33" s="34"/>
      <c r="AC33" s="34"/>
      <c r="AD33" s="34"/>
      <c r="AE33" s="34"/>
      <c r="AF33" s="34"/>
    </row>
    <row r="34" spans="1:32" x14ac:dyDescent="0.2">
      <c r="A34" s="33">
        <f>+A31+1</f>
        <v>18</v>
      </c>
      <c r="B34" s="33">
        <v>374</v>
      </c>
      <c r="D34" s="20" t="s">
        <v>136</v>
      </c>
      <c r="G34" s="27">
        <v>373581.45</v>
      </c>
      <c r="H34" s="26">
        <f t="shared" ref="H34:H45" si="17">SUM(K34:AF34)</f>
        <v>0</v>
      </c>
      <c r="I34" s="34">
        <f>G34+H34</f>
        <v>373581.45</v>
      </c>
      <c r="J34" s="244"/>
      <c r="K34" s="34"/>
      <c r="L34" s="34"/>
      <c r="M34" s="34"/>
      <c r="N34" s="34"/>
      <c r="O34" s="34"/>
      <c r="P34" s="34"/>
      <c r="Q34" s="34"/>
      <c r="R34" s="34"/>
      <c r="S34" s="34"/>
      <c r="T34" s="34"/>
      <c r="U34" s="34"/>
      <c r="V34" s="34"/>
      <c r="W34" s="34"/>
      <c r="X34" s="34"/>
      <c r="Y34" s="34"/>
      <c r="Z34" s="34"/>
      <c r="AA34" s="34"/>
      <c r="AB34" s="34"/>
      <c r="AC34" s="34"/>
      <c r="AD34" s="34"/>
      <c r="AE34" s="34"/>
      <c r="AF34" s="34"/>
    </row>
    <row r="35" spans="1:32" x14ac:dyDescent="0.2">
      <c r="A35" s="33">
        <f>+A34+1</f>
        <v>19</v>
      </c>
      <c r="B35" s="33">
        <v>375</v>
      </c>
      <c r="D35" s="20" t="s">
        <v>135</v>
      </c>
      <c r="G35" s="27">
        <v>60038.57</v>
      </c>
      <c r="H35" s="26">
        <f t="shared" si="17"/>
        <v>0</v>
      </c>
      <c r="I35" s="34">
        <f>G35+H35</f>
        <v>60038.57</v>
      </c>
      <c r="J35" s="244"/>
      <c r="K35" s="34"/>
      <c r="L35" s="34"/>
      <c r="M35" s="34"/>
      <c r="N35" s="34"/>
      <c r="O35" s="34"/>
      <c r="P35" s="34"/>
      <c r="Q35" s="34"/>
      <c r="R35" s="34"/>
      <c r="S35" s="34"/>
      <c r="T35" s="34"/>
      <c r="U35" s="34"/>
      <c r="V35" s="34"/>
      <c r="W35" s="34"/>
      <c r="X35" s="34"/>
      <c r="Y35" s="34"/>
      <c r="Z35" s="34"/>
      <c r="AA35" s="34"/>
      <c r="AB35" s="34"/>
      <c r="AC35" s="34"/>
      <c r="AD35" s="34"/>
      <c r="AE35" s="34"/>
      <c r="AF35" s="34"/>
    </row>
    <row r="36" spans="1:32" x14ac:dyDescent="0.2">
      <c r="A36" s="33">
        <f t="shared" ref="A36:A46" si="18">+A35+1</f>
        <v>20</v>
      </c>
      <c r="B36" s="33">
        <v>376</v>
      </c>
      <c r="D36" s="20" t="s">
        <v>303</v>
      </c>
      <c r="G36" s="27">
        <v>131939000.36999999</v>
      </c>
      <c r="H36" s="26">
        <f t="shared" si="17"/>
        <v>7797127.0700000003</v>
      </c>
      <c r="I36" s="34">
        <f>G36+H36</f>
        <v>139736127.44</v>
      </c>
      <c r="J36" s="244"/>
      <c r="K36" s="49">
        <v>1039146.2</v>
      </c>
      <c r="L36" s="106">
        <v>3614017.38</v>
      </c>
      <c r="M36" s="106">
        <v>2445270.5</v>
      </c>
      <c r="N36" s="106">
        <v>698692.99</v>
      </c>
      <c r="O36" s="106"/>
      <c r="P36" s="49"/>
      <c r="Q36" s="49"/>
      <c r="R36" s="49"/>
      <c r="S36" s="49"/>
      <c r="T36" s="49"/>
      <c r="U36" s="49"/>
      <c r="V36" s="49"/>
      <c r="W36" s="49"/>
      <c r="X36" s="49"/>
      <c r="Y36" s="49"/>
      <c r="Z36" s="49"/>
      <c r="AA36" s="49"/>
      <c r="AB36" s="49"/>
      <c r="AC36" s="49"/>
      <c r="AD36" s="49"/>
      <c r="AE36" s="49"/>
      <c r="AF36" s="49"/>
    </row>
    <row r="37" spans="1:32" x14ac:dyDescent="0.2">
      <c r="A37" s="33">
        <f t="shared" si="18"/>
        <v>21</v>
      </c>
      <c r="B37" s="33">
        <v>377</v>
      </c>
      <c r="D37" s="20" t="s">
        <v>321</v>
      </c>
      <c r="E37" s="248"/>
      <c r="G37" s="27">
        <v>0</v>
      </c>
      <c r="H37" s="26">
        <f t="shared" si="17"/>
        <v>0</v>
      </c>
      <c r="I37" s="34">
        <f t="shared" ref="I37:I45" si="19">G37+H37</f>
        <v>0</v>
      </c>
      <c r="J37" s="244"/>
      <c r="K37" s="34"/>
      <c r="L37" s="34"/>
      <c r="M37" s="34"/>
      <c r="N37" s="34"/>
      <c r="O37" s="34"/>
      <c r="P37" s="34"/>
      <c r="Q37" s="34"/>
      <c r="R37" s="34"/>
      <c r="S37" s="34"/>
      <c r="T37" s="34"/>
      <c r="U37" s="34"/>
      <c r="V37" s="34"/>
      <c r="W37" s="34"/>
      <c r="X37" s="34"/>
      <c r="Y37" s="34"/>
      <c r="Z37" s="34"/>
      <c r="AA37" s="34"/>
      <c r="AB37" s="34"/>
      <c r="AC37" s="34"/>
      <c r="AD37" s="34"/>
      <c r="AE37" s="34"/>
      <c r="AF37" s="34"/>
    </row>
    <row r="38" spans="1:32" x14ac:dyDescent="0.2">
      <c r="A38" s="33">
        <f t="shared" si="18"/>
        <v>22</v>
      </c>
      <c r="B38" s="33">
        <v>378</v>
      </c>
      <c r="D38" s="20" t="s">
        <v>465</v>
      </c>
      <c r="E38" s="248"/>
      <c r="G38" s="27">
        <v>5650099.9299999997</v>
      </c>
      <c r="H38" s="26">
        <f t="shared" si="17"/>
        <v>360798.85</v>
      </c>
      <c r="I38" s="34">
        <f t="shared" si="19"/>
        <v>6010898.7799999993</v>
      </c>
      <c r="J38" s="244"/>
      <c r="K38" s="34">
        <v>217344.55</v>
      </c>
      <c r="L38" s="106">
        <v>143454.30000000002</v>
      </c>
      <c r="M38" s="106"/>
      <c r="N38" s="34"/>
      <c r="O38" s="34"/>
      <c r="P38" s="34"/>
      <c r="Q38" s="34"/>
      <c r="R38" s="34"/>
      <c r="S38" s="34"/>
      <c r="T38" s="34"/>
      <c r="U38" s="34"/>
      <c r="V38" s="34"/>
      <c r="W38" s="34"/>
      <c r="X38" s="34"/>
      <c r="Y38" s="34"/>
      <c r="Z38" s="34"/>
      <c r="AA38" s="34"/>
      <c r="AB38" s="34"/>
      <c r="AC38" s="34"/>
      <c r="AD38" s="34"/>
      <c r="AE38" s="34"/>
      <c r="AF38" s="34"/>
    </row>
    <row r="39" spans="1:32" x14ac:dyDescent="0.2">
      <c r="A39" s="33">
        <f t="shared" si="18"/>
        <v>23</v>
      </c>
      <c r="B39" s="33">
        <v>379</v>
      </c>
      <c r="D39" s="20" t="s">
        <v>466</v>
      </c>
      <c r="E39" s="248"/>
      <c r="G39" s="27">
        <v>2991677.27</v>
      </c>
      <c r="H39" s="26">
        <f t="shared" si="17"/>
        <v>0</v>
      </c>
      <c r="I39" s="34">
        <f t="shared" si="19"/>
        <v>2991677.27</v>
      </c>
      <c r="J39" s="244"/>
      <c r="K39" s="34"/>
      <c r="L39" s="106"/>
      <c r="M39" s="34"/>
      <c r="N39" s="106"/>
      <c r="O39" s="106"/>
      <c r="P39" s="34"/>
      <c r="Q39" s="34"/>
      <c r="R39" s="34"/>
      <c r="S39" s="34"/>
      <c r="T39" s="34"/>
      <c r="U39" s="34"/>
      <c r="V39" s="34"/>
      <c r="W39" s="34"/>
      <c r="X39" s="34"/>
      <c r="Y39" s="34"/>
      <c r="Z39" s="34"/>
      <c r="AA39" s="34"/>
      <c r="AB39" s="34"/>
      <c r="AC39" s="34"/>
      <c r="AD39" s="34"/>
      <c r="AE39" s="34"/>
      <c r="AF39" s="34"/>
    </row>
    <row r="40" spans="1:32" x14ac:dyDescent="0.2">
      <c r="A40" s="33">
        <f t="shared" si="18"/>
        <v>24</v>
      </c>
      <c r="B40" s="33">
        <v>380</v>
      </c>
      <c r="D40" s="20" t="s">
        <v>19</v>
      </c>
      <c r="E40" s="248"/>
      <c r="G40" s="27">
        <v>97713148.540000007</v>
      </c>
      <c r="H40" s="26">
        <f t="shared" si="17"/>
        <v>349226.25999999995</v>
      </c>
      <c r="I40" s="34">
        <f t="shared" si="19"/>
        <v>98062374.800000012</v>
      </c>
      <c r="J40" s="244"/>
      <c r="K40" s="34">
        <v>10288.969999999999</v>
      </c>
      <c r="L40" s="34"/>
      <c r="M40" s="106">
        <v>292289.5</v>
      </c>
      <c r="N40" s="34">
        <v>46647.79</v>
      </c>
      <c r="O40" s="34"/>
      <c r="P40" s="34"/>
      <c r="Q40" s="34"/>
      <c r="R40" s="34"/>
      <c r="S40" s="34"/>
      <c r="T40" s="34"/>
      <c r="U40" s="34"/>
      <c r="V40" s="34"/>
      <c r="W40" s="34"/>
      <c r="X40" s="34"/>
      <c r="Y40" s="34"/>
      <c r="Z40" s="34"/>
      <c r="AA40" s="34"/>
      <c r="AB40" s="34"/>
      <c r="AC40" s="34"/>
      <c r="AD40" s="34"/>
      <c r="AE40" s="34"/>
      <c r="AF40" s="34"/>
    </row>
    <row r="41" spans="1:32" x14ac:dyDescent="0.2">
      <c r="A41" s="33">
        <f t="shared" si="18"/>
        <v>25</v>
      </c>
      <c r="B41" s="33">
        <v>381</v>
      </c>
      <c r="D41" s="20" t="s">
        <v>18</v>
      </c>
      <c r="E41" s="248"/>
      <c r="G41" s="27">
        <v>48804616.030000001</v>
      </c>
      <c r="H41" s="26">
        <f t="shared" si="17"/>
        <v>3214740.36</v>
      </c>
      <c r="I41" s="34">
        <f t="shared" si="19"/>
        <v>52019356.390000001</v>
      </c>
      <c r="J41" s="244"/>
      <c r="K41" s="34">
        <v>1985970.63</v>
      </c>
      <c r="L41" s="34">
        <v>1228769.73</v>
      </c>
      <c r="M41" s="34"/>
      <c r="N41" s="34"/>
      <c r="O41" s="34"/>
      <c r="P41" s="34"/>
      <c r="Q41" s="34"/>
      <c r="R41" s="34"/>
      <c r="S41" s="34"/>
      <c r="T41" s="34"/>
      <c r="U41" s="34"/>
      <c r="V41" s="34"/>
      <c r="W41" s="34"/>
      <c r="X41" s="34"/>
      <c r="Y41" s="34"/>
      <c r="Z41" s="34"/>
      <c r="AA41" s="34"/>
      <c r="AB41" s="34"/>
      <c r="AC41" s="34"/>
      <c r="AD41" s="34"/>
      <c r="AE41" s="34"/>
      <c r="AF41" s="34"/>
    </row>
    <row r="42" spans="1:32" x14ac:dyDescent="0.2">
      <c r="A42" s="33">
        <f t="shared" si="18"/>
        <v>26</v>
      </c>
      <c r="B42" s="33">
        <v>382</v>
      </c>
      <c r="D42" s="20" t="s">
        <v>324</v>
      </c>
      <c r="E42" s="248"/>
      <c r="G42" s="27">
        <v>0</v>
      </c>
      <c r="H42" s="26">
        <f t="shared" si="17"/>
        <v>0</v>
      </c>
      <c r="I42" s="34">
        <f t="shared" si="19"/>
        <v>0</v>
      </c>
      <c r="J42" s="244"/>
      <c r="K42" s="34"/>
      <c r="L42" s="34"/>
      <c r="M42" s="34"/>
      <c r="N42" s="34"/>
      <c r="O42" s="34"/>
      <c r="P42" s="34"/>
      <c r="Q42" s="34"/>
      <c r="R42" s="34"/>
      <c r="S42" s="34"/>
      <c r="T42" s="34"/>
      <c r="U42" s="34"/>
      <c r="V42" s="34"/>
      <c r="W42" s="34"/>
      <c r="X42" s="34"/>
      <c r="Y42" s="34"/>
      <c r="Z42" s="34"/>
      <c r="AA42" s="34"/>
      <c r="AB42" s="34"/>
      <c r="AC42" s="34"/>
      <c r="AD42" s="34"/>
      <c r="AE42" s="34"/>
      <c r="AF42" s="34"/>
    </row>
    <row r="43" spans="1:32" x14ac:dyDescent="0.2">
      <c r="A43" s="33">
        <f t="shared" si="18"/>
        <v>27</v>
      </c>
      <c r="B43" s="33">
        <v>383</v>
      </c>
      <c r="D43" s="20" t="s">
        <v>325</v>
      </c>
      <c r="G43" s="27">
        <v>6774855.9900000002</v>
      </c>
      <c r="H43" s="26">
        <f t="shared" si="17"/>
        <v>0</v>
      </c>
      <c r="I43" s="34">
        <f t="shared" si="19"/>
        <v>6774855.9900000002</v>
      </c>
      <c r="J43" s="244"/>
      <c r="K43" s="34"/>
      <c r="L43" s="34"/>
      <c r="M43" s="34"/>
      <c r="N43" s="34"/>
      <c r="O43" s="34"/>
      <c r="P43" s="34"/>
      <c r="Q43" s="34"/>
      <c r="R43" s="34"/>
      <c r="S43" s="34"/>
      <c r="T43" s="34"/>
      <c r="U43" s="34"/>
      <c r="V43" s="34"/>
      <c r="W43" s="34"/>
      <c r="X43" s="34"/>
      <c r="Y43" s="34"/>
      <c r="Z43" s="34"/>
      <c r="AA43" s="34"/>
      <c r="AB43" s="34"/>
      <c r="AC43" s="34"/>
      <c r="AD43" s="34"/>
      <c r="AE43" s="34"/>
      <c r="AF43" s="34"/>
    </row>
    <row r="44" spans="1:32" x14ac:dyDescent="0.2">
      <c r="A44" s="33">
        <f t="shared" si="18"/>
        <v>28</v>
      </c>
      <c r="B44" s="33">
        <v>384</v>
      </c>
      <c r="D44" s="20" t="s">
        <v>326</v>
      </c>
      <c r="G44" s="27">
        <v>0</v>
      </c>
      <c r="H44" s="26">
        <f t="shared" si="17"/>
        <v>0</v>
      </c>
      <c r="I44" s="34">
        <f t="shared" si="19"/>
        <v>0</v>
      </c>
      <c r="J44" s="244"/>
      <c r="K44" s="34"/>
      <c r="L44" s="34"/>
      <c r="M44" s="34"/>
      <c r="N44" s="34"/>
      <c r="O44" s="34"/>
      <c r="P44" s="34"/>
      <c r="Q44" s="34"/>
      <c r="R44" s="34"/>
      <c r="S44" s="34"/>
      <c r="T44" s="34"/>
      <c r="U44" s="34"/>
      <c r="V44" s="34"/>
      <c r="W44" s="34"/>
      <c r="X44" s="34"/>
      <c r="Y44" s="34"/>
      <c r="Z44" s="34"/>
      <c r="AA44" s="34"/>
      <c r="AB44" s="34"/>
      <c r="AC44" s="34"/>
      <c r="AD44" s="34"/>
      <c r="AE44" s="34"/>
      <c r="AF44" s="34"/>
    </row>
    <row r="45" spans="1:32" ht="15" x14ac:dyDescent="0.35">
      <c r="A45" s="35">
        <f t="shared" si="18"/>
        <v>29</v>
      </c>
      <c r="B45" s="35">
        <v>385</v>
      </c>
      <c r="C45" s="23"/>
      <c r="D45" s="23" t="s">
        <v>327</v>
      </c>
      <c r="E45" s="23"/>
      <c r="F45" s="23"/>
      <c r="G45" s="9">
        <v>271663.01</v>
      </c>
      <c r="H45" s="246">
        <f t="shared" si="17"/>
        <v>0</v>
      </c>
      <c r="I45" s="9">
        <f t="shared" si="19"/>
        <v>271663.01</v>
      </c>
      <c r="J45" s="244"/>
      <c r="K45" s="253"/>
      <c r="L45" s="253"/>
      <c r="M45" s="253"/>
      <c r="N45" s="253"/>
      <c r="O45" s="253"/>
      <c r="P45" s="253"/>
      <c r="Q45" s="253"/>
      <c r="R45" s="253"/>
      <c r="S45" s="9"/>
      <c r="T45" s="253"/>
      <c r="U45" s="253"/>
      <c r="V45" s="253"/>
      <c r="W45" s="253"/>
      <c r="X45" s="253"/>
      <c r="Y45" s="253"/>
      <c r="Z45" s="253"/>
      <c r="AA45" s="253"/>
      <c r="AB45" s="253"/>
      <c r="AC45" s="253"/>
      <c r="AD45" s="253"/>
      <c r="AE45" s="253"/>
      <c r="AF45" s="253"/>
    </row>
    <row r="46" spans="1:32" x14ac:dyDescent="0.2">
      <c r="A46" s="33">
        <f t="shared" si="18"/>
        <v>30</v>
      </c>
      <c r="B46" s="33"/>
      <c r="C46" s="33" t="s">
        <v>134</v>
      </c>
      <c r="G46" s="34">
        <f>SUM(G34:G45)</f>
        <v>294578681.15999997</v>
      </c>
      <c r="H46" s="26">
        <f>SUM(H34:H45)</f>
        <v>11721892.539999999</v>
      </c>
      <c r="I46" s="34">
        <f>SUM(I34:I45)</f>
        <v>306300573.70000005</v>
      </c>
      <c r="K46" s="26">
        <f>SUM(K34:K45)</f>
        <v>3252750.3499999996</v>
      </c>
      <c r="L46" s="26">
        <f t="shared" ref="L46:O46" si="20">SUM(L34:L45)</f>
        <v>4986241.41</v>
      </c>
      <c r="M46" s="26">
        <f t="shared" si="20"/>
        <v>2737560</v>
      </c>
      <c r="N46" s="26">
        <f>SUM(N34:N45)</f>
        <v>745340.78</v>
      </c>
      <c r="O46" s="26">
        <f t="shared" si="20"/>
        <v>0</v>
      </c>
      <c r="P46" s="26">
        <f t="shared" ref="P46" si="21">SUM(P34:P45)</f>
        <v>0</v>
      </c>
      <c r="Q46" s="26">
        <f t="shared" ref="Q46:AE46" si="22">SUM(Q34:Q45)</f>
        <v>0</v>
      </c>
      <c r="R46" s="26">
        <f t="shared" si="22"/>
        <v>0</v>
      </c>
      <c r="S46" s="26">
        <f t="shared" si="22"/>
        <v>0</v>
      </c>
      <c r="T46" s="26">
        <f t="shared" si="22"/>
        <v>0</v>
      </c>
      <c r="U46" s="26">
        <f t="shared" si="22"/>
        <v>0</v>
      </c>
      <c r="V46" s="26">
        <f t="shared" si="22"/>
        <v>0</v>
      </c>
      <c r="W46" s="26">
        <f>SUM(W34:W45)</f>
        <v>0</v>
      </c>
      <c r="X46" s="26">
        <f t="shared" si="22"/>
        <v>0</v>
      </c>
      <c r="Y46" s="26">
        <f t="shared" si="22"/>
        <v>0</v>
      </c>
      <c r="Z46" s="26">
        <f t="shared" si="22"/>
        <v>0</v>
      </c>
      <c r="AA46" s="26">
        <f t="shared" si="22"/>
        <v>0</v>
      </c>
      <c r="AB46" s="26">
        <f t="shared" si="22"/>
        <v>0</v>
      </c>
      <c r="AC46" s="26">
        <f t="shared" si="22"/>
        <v>0</v>
      </c>
      <c r="AD46" s="26">
        <f t="shared" ref="AD46" si="23">SUM(AD34:AD45)</f>
        <v>0</v>
      </c>
      <c r="AE46" s="26">
        <f t="shared" si="22"/>
        <v>0</v>
      </c>
      <c r="AF46" s="26">
        <f t="shared" ref="AF46" si="24">SUM(AF34:AF45)</f>
        <v>0</v>
      </c>
    </row>
    <row r="47" spans="1:32" x14ac:dyDescent="0.2">
      <c r="A47" s="33"/>
      <c r="B47" s="36"/>
      <c r="C47" s="33"/>
      <c r="G47" s="26"/>
      <c r="K47" s="34"/>
      <c r="L47" s="34"/>
      <c r="M47" s="34"/>
      <c r="N47" s="34"/>
      <c r="O47" s="34"/>
      <c r="P47" s="34"/>
      <c r="Q47" s="34"/>
      <c r="R47" s="34"/>
      <c r="S47" s="34"/>
      <c r="T47" s="34"/>
      <c r="U47" s="34"/>
      <c r="V47" s="34"/>
      <c r="W47" s="34"/>
      <c r="X47" s="34"/>
      <c r="Y47" s="34"/>
      <c r="Z47" s="34"/>
      <c r="AA47" s="34"/>
      <c r="AB47" s="34"/>
      <c r="AC47" s="34"/>
      <c r="AD47" s="34"/>
      <c r="AE47" s="34"/>
      <c r="AF47" s="34"/>
    </row>
    <row r="48" spans="1:32" x14ac:dyDescent="0.2">
      <c r="A48" s="33"/>
      <c r="B48" s="33"/>
      <c r="C48" s="20" t="s">
        <v>133</v>
      </c>
      <c r="G48" s="34"/>
      <c r="I48" s="34"/>
      <c r="K48" s="34"/>
      <c r="L48" s="34"/>
      <c r="M48" s="34"/>
      <c r="N48" s="34"/>
      <c r="O48" s="34"/>
      <c r="P48" s="34"/>
      <c r="Q48" s="34"/>
      <c r="R48" s="34"/>
      <c r="S48" s="34"/>
      <c r="T48" s="34"/>
      <c r="U48" s="34"/>
      <c r="V48" s="34"/>
      <c r="W48" s="34"/>
      <c r="X48" s="34"/>
      <c r="Y48" s="34"/>
      <c r="Z48" s="34"/>
      <c r="AA48" s="34"/>
      <c r="AB48" s="34"/>
      <c r="AC48" s="34"/>
      <c r="AD48" s="34"/>
      <c r="AE48" s="34"/>
      <c r="AF48" s="34"/>
    </row>
    <row r="49" spans="1:32" x14ac:dyDescent="0.2">
      <c r="A49" s="35">
        <f>+A46+1</f>
        <v>31</v>
      </c>
      <c r="B49" s="35" t="s">
        <v>118</v>
      </c>
      <c r="C49" s="23"/>
      <c r="D49" s="23" t="s">
        <v>133</v>
      </c>
      <c r="E49" s="23"/>
      <c r="F49" s="23"/>
      <c r="G49" s="9">
        <v>20694136.850000001</v>
      </c>
      <c r="H49" s="246">
        <f>SUM(K49:AF49)</f>
        <v>0</v>
      </c>
      <c r="I49" s="9">
        <f>G49+H49</f>
        <v>20694136.850000001</v>
      </c>
      <c r="J49" s="244"/>
      <c r="K49" s="9"/>
      <c r="L49" s="9"/>
      <c r="M49" s="9"/>
      <c r="N49" s="9"/>
      <c r="O49" s="9"/>
      <c r="P49" s="9"/>
      <c r="Q49" s="9"/>
      <c r="R49" s="9"/>
      <c r="S49" s="9"/>
      <c r="T49" s="9"/>
      <c r="U49" s="9"/>
      <c r="V49" s="9"/>
      <c r="W49" s="9"/>
      <c r="X49" s="9"/>
      <c r="Y49" s="9"/>
      <c r="Z49" s="9"/>
      <c r="AA49" s="9"/>
      <c r="AB49" s="9"/>
      <c r="AC49" s="9"/>
      <c r="AD49" s="9"/>
      <c r="AE49" s="9"/>
      <c r="AF49" s="9"/>
    </row>
    <row r="50" spans="1:32" x14ac:dyDescent="0.2">
      <c r="A50" s="33">
        <f>+A49+1</f>
        <v>32</v>
      </c>
      <c r="B50" s="33"/>
      <c r="C50" s="33" t="s">
        <v>132</v>
      </c>
      <c r="G50" s="34">
        <f>SUM(G49:G49)</f>
        <v>20694136.850000001</v>
      </c>
      <c r="H50" s="34">
        <f>SUM(H49:H49)</f>
        <v>0</v>
      </c>
      <c r="I50" s="34">
        <f>SUM(I49:I49)</f>
        <v>20694136.850000001</v>
      </c>
      <c r="K50" s="34">
        <f>SUM(K49:K49)</f>
        <v>0</v>
      </c>
      <c r="L50" s="34">
        <f t="shared" ref="L50:O50" si="25">SUM(L49:L49)</f>
        <v>0</v>
      </c>
      <c r="M50" s="34">
        <f t="shared" si="25"/>
        <v>0</v>
      </c>
      <c r="N50" s="34">
        <f>SUM(N49:N49)</f>
        <v>0</v>
      </c>
      <c r="O50" s="34">
        <f t="shared" si="25"/>
        <v>0</v>
      </c>
      <c r="P50" s="34">
        <f t="shared" ref="P50" si="26">SUM(P49:P49)</f>
        <v>0</v>
      </c>
      <c r="Q50" s="34">
        <f t="shared" ref="Q50:AE50" si="27">SUM(Q49:Q49)</f>
        <v>0</v>
      </c>
      <c r="R50" s="34">
        <f t="shared" si="27"/>
        <v>0</v>
      </c>
      <c r="S50" s="34">
        <f t="shared" si="27"/>
        <v>0</v>
      </c>
      <c r="T50" s="34">
        <f t="shared" si="27"/>
        <v>0</v>
      </c>
      <c r="U50" s="34">
        <f t="shared" si="27"/>
        <v>0</v>
      </c>
      <c r="V50" s="34">
        <f t="shared" si="27"/>
        <v>0</v>
      </c>
      <c r="W50" s="34">
        <f>SUM(W49:W49)</f>
        <v>0</v>
      </c>
      <c r="X50" s="34">
        <f t="shared" si="27"/>
        <v>0</v>
      </c>
      <c r="Y50" s="34">
        <f t="shared" si="27"/>
        <v>0</v>
      </c>
      <c r="Z50" s="34">
        <f t="shared" si="27"/>
        <v>0</v>
      </c>
      <c r="AA50" s="34">
        <f t="shared" si="27"/>
        <v>0</v>
      </c>
      <c r="AB50" s="34">
        <f t="shared" si="27"/>
        <v>0</v>
      </c>
      <c r="AC50" s="34">
        <f t="shared" si="27"/>
        <v>0</v>
      </c>
      <c r="AD50" s="34">
        <f t="shared" ref="AD50" si="28">SUM(AD49:AD49)</f>
        <v>0</v>
      </c>
      <c r="AE50" s="34">
        <f t="shared" si="27"/>
        <v>0</v>
      </c>
      <c r="AF50" s="34">
        <f t="shared" ref="AF50" si="29">SUM(AF49:AF49)</f>
        <v>0</v>
      </c>
    </row>
    <row r="51" spans="1:32" x14ac:dyDescent="0.2">
      <c r="A51" s="33"/>
      <c r="B51" s="33"/>
      <c r="G51" s="34"/>
      <c r="I51" s="34"/>
      <c r="K51" s="34"/>
      <c r="L51" s="34"/>
      <c r="M51" s="34"/>
      <c r="N51" s="34"/>
      <c r="O51" s="34"/>
      <c r="P51" s="34"/>
      <c r="Q51" s="34"/>
      <c r="R51" s="34"/>
      <c r="S51" s="34"/>
      <c r="T51" s="34"/>
      <c r="U51" s="34"/>
      <c r="V51" s="34"/>
      <c r="W51" s="34"/>
      <c r="X51" s="34"/>
      <c r="Y51" s="34"/>
      <c r="Z51" s="34"/>
      <c r="AA51" s="34"/>
      <c r="AB51" s="34"/>
      <c r="AC51" s="34"/>
      <c r="AD51" s="34"/>
      <c r="AE51" s="34"/>
      <c r="AF51" s="34"/>
    </row>
    <row r="52" spans="1:32" x14ac:dyDescent="0.2">
      <c r="A52" s="33"/>
      <c r="B52" s="33"/>
      <c r="C52" s="20" t="s">
        <v>131</v>
      </c>
      <c r="G52" s="34"/>
      <c r="I52" s="34"/>
      <c r="K52" s="34"/>
      <c r="L52" s="34"/>
      <c r="M52" s="34"/>
      <c r="N52" s="34"/>
      <c r="O52" s="34"/>
      <c r="P52" s="34"/>
      <c r="Q52" s="34"/>
      <c r="R52" s="34"/>
      <c r="S52" s="34"/>
      <c r="T52" s="34"/>
      <c r="U52" s="34"/>
      <c r="V52" s="34"/>
      <c r="W52" s="34"/>
      <c r="X52" s="34"/>
      <c r="Y52" s="34"/>
      <c r="Z52" s="34"/>
      <c r="AA52" s="34"/>
      <c r="AB52" s="34"/>
      <c r="AC52" s="34"/>
      <c r="AD52" s="34"/>
      <c r="AE52" s="34"/>
      <c r="AF52" s="34"/>
    </row>
    <row r="53" spans="1:32" x14ac:dyDescent="0.2">
      <c r="A53" s="35">
        <f>+A50+1</f>
        <v>33</v>
      </c>
      <c r="B53" s="35" t="s">
        <v>119</v>
      </c>
      <c r="C53" s="23"/>
      <c r="D53" s="23" t="s">
        <v>131</v>
      </c>
      <c r="E53" s="23"/>
      <c r="F53" s="23"/>
      <c r="G53" s="9">
        <v>5563515.2400000002</v>
      </c>
      <c r="H53" s="246">
        <f>SUM(K53:AF53)</f>
        <v>9716442.9199999999</v>
      </c>
      <c r="I53" s="9">
        <f>G53+H53</f>
        <v>15279958.16</v>
      </c>
      <c r="J53" s="244"/>
      <c r="K53" s="9">
        <v>57872.56</v>
      </c>
      <c r="L53" s="9"/>
      <c r="M53" s="9"/>
      <c r="N53" s="9"/>
      <c r="O53" s="9">
        <v>9658570.3599999994</v>
      </c>
      <c r="P53" s="9"/>
      <c r="Q53" s="9"/>
      <c r="R53" s="9"/>
      <c r="S53" s="9"/>
      <c r="T53" s="9"/>
      <c r="U53" s="9"/>
      <c r="V53" s="10"/>
      <c r="W53" s="9"/>
      <c r="X53" s="9"/>
      <c r="Y53" s="9"/>
      <c r="Z53" s="9"/>
      <c r="AA53" s="9"/>
      <c r="AB53" s="9"/>
      <c r="AC53" s="9"/>
      <c r="AD53" s="9"/>
      <c r="AE53" s="9"/>
      <c r="AF53" s="9"/>
    </row>
    <row r="54" spans="1:32" x14ac:dyDescent="0.2">
      <c r="A54" s="33">
        <f>+A53+1</f>
        <v>34</v>
      </c>
      <c r="B54" s="33"/>
      <c r="C54" s="33" t="s">
        <v>130</v>
      </c>
      <c r="G54" s="34">
        <f>SUM(G53:G53)</f>
        <v>5563515.2400000002</v>
      </c>
      <c r="H54" s="34">
        <f>SUM(H53:H53)</f>
        <v>9716442.9199999999</v>
      </c>
      <c r="I54" s="34">
        <f>SUM(I53:I53)</f>
        <v>15279958.16</v>
      </c>
      <c r="K54" s="34">
        <f>SUM(K53:K53)</f>
        <v>57872.56</v>
      </c>
      <c r="L54" s="34">
        <f t="shared" ref="L54:O54" si="30">SUM(L53:L53)</f>
        <v>0</v>
      </c>
      <c r="M54" s="34">
        <f t="shared" si="30"/>
        <v>0</v>
      </c>
      <c r="N54" s="34">
        <f>SUM(N53:N53)</f>
        <v>0</v>
      </c>
      <c r="O54" s="34">
        <f t="shared" si="30"/>
        <v>9658570.3599999994</v>
      </c>
      <c r="P54" s="34">
        <f t="shared" ref="P54" si="31">SUM(P53:P53)</f>
        <v>0</v>
      </c>
      <c r="Q54" s="34">
        <f t="shared" ref="Q54:AE54" si="32">SUM(Q53:Q53)</f>
        <v>0</v>
      </c>
      <c r="R54" s="34">
        <f t="shared" si="32"/>
        <v>0</v>
      </c>
      <c r="S54" s="34">
        <f t="shared" si="32"/>
        <v>0</v>
      </c>
      <c r="T54" s="34">
        <f t="shared" si="32"/>
        <v>0</v>
      </c>
      <c r="U54" s="34">
        <f t="shared" si="32"/>
        <v>0</v>
      </c>
      <c r="V54" s="34">
        <f t="shared" si="32"/>
        <v>0</v>
      </c>
      <c r="W54" s="34">
        <f>SUM(W53:W53)</f>
        <v>0</v>
      </c>
      <c r="X54" s="34">
        <f t="shared" si="32"/>
        <v>0</v>
      </c>
      <c r="Y54" s="34">
        <f t="shared" si="32"/>
        <v>0</v>
      </c>
      <c r="Z54" s="34">
        <f t="shared" si="32"/>
        <v>0</v>
      </c>
      <c r="AA54" s="34">
        <f t="shared" si="32"/>
        <v>0</v>
      </c>
      <c r="AB54" s="34">
        <f t="shared" si="32"/>
        <v>0</v>
      </c>
      <c r="AC54" s="34">
        <f t="shared" ref="AC54" si="33">SUM(AC53:AC53)</f>
        <v>0</v>
      </c>
      <c r="AD54" s="34">
        <f t="shared" ref="AD54" si="34">SUM(AD53:AD53)</f>
        <v>0</v>
      </c>
      <c r="AE54" s="34">
        <f t="shared" si="32"/>
        <v>0</v>
      </c>
      <c r="AF54" s="34">
        <f t="shared" ref="AF54" si="35">SUM(AF53:AF53)</f>
        <v>0</v>
      </c>
    </row>
    <row r="55" spans="1:32" x14ac:dyDescent="0.2">
      <c r="A55" s="33"/>
      <c r="B55" s="33"/>
      <c r="F55" s="33"/>
      <c r="G55" s="34"/>
      <c r="I55" s="34"/>
      <c r="K55" s="34"/>
      <c r="L55" s="34"/>
      <c r="M55" s="34"/>
      <c r="N55" s="34"/>
      <c r="O55" s="34"/>
      <c r="P55" s="34"/>
      <c r="Q55" s="34"/>
      <c r="R55" s="34"/>
      <c r="S55" s="34"/>
      <c r="T55" s="34"/>
      <c r="U55" s="34"/>
      <c r="V55" s="34"/>
      <c r="W55" s="34"/>
      <c r="X55" s="34"/>
      <c r="Y55" s="34"/>
      <c r="Z55" s="34"/>
      <c r="AA55" s="34"/>
      <c r="AB55" s="34"/>
      <c r="AC55" s="34"/>
      <c r="AD55" s="34"/>
      <c r="AE55" s="34"/>
      <c r="AF55" s="34"/>
    </row>
    <row r="56" spans="1:32" x14ac:dyDescent="0.2">
      <c r="A56" s="33">
        <f>+A54+1</f>
        <v>35</v>
      </c>
      <c r="C56" s="20" t="s">
        <v>471</v>
      </c>
      <c r="G56" s="26">
        <f>G19+G31+G46+G50+G54</f>
        <v>327528269.60000002</v>
      </c>
      <c r="H56" s="26">
        <f>H19+H31+H46+H50+H54</f>
        <v>21438335.460000001</v>
      </c>
      <c r="I56" s="26">
        <f>I19+I31+I46+I50+I54</f>
        <v>348966605.06000012</v>
      </c>
      <c r="K56" s="26">
        <f>K19+K31+K46+K50+K54</f>
        <v>3310622.9099999997</v>
      </c>
      <c r="L56" s="26">
        <f t="shared" ref="L56:O56" si="36">L19+L31+L46+L50+L54</f>
        <v>4986241.41</v>
      </c>
      <c r="M56" s="26">
        <f t="shared" si="36"/>
        <v>2737560</v>
      </c>
      <c r="N56" s="26">
        <f>N19+N31+N46+N50+N54</f>
        <v>745340.78</v>
      </c>
      <c r="O56" s="26">
        <f t="shared" si="36"/>
        <v>9658570.3599999994</v>
      </c>
      <c r="P56" s="26">
        <f t="shared" ref="P56" si="37">P19+P31+P46+P50+P54</f>
        <v>0</v>
      </c>
      <c r="Q56" s="26">
        <f t="shared" ref="Q56:AE56" si="38">Q19+Q31+Q46+Q50+Q54</f>
        <v>0</v>
      </c>
      <c r="R56" s="26">
        <f t="shared" si="38"/>
        <v>0</v>
      </c>
      <c r="S56" s="26">
        <f t="shared" si="38"/>
        <v>0</v>
      </c>
      <c r="T56" s="26">
        <f t="shared" si="38"/>
        <v>0</v>
      </c>
      <c r="U56" s="26">
        <f t="shared" si="38"/>
        <v>0</v>
      </c>
      <c r="V56" s="26">
        <f t="shared" si="38"/>
        <v>0</v>
      </c>
      <c r="W56" s="26">
        <f>W19+W31+W46+W50+W54</f>
        <v>0</v>
      </c>
      <c r="X56" s="26">
        <f t="shared" si="38"/>
        <v>0</v>
      </c>
      <c r="Y56" s="26">
        <f t="shared" si="38"/>
        <v>0</v>
      </c>
      <c r="Z56" s="26">
        <f t="shared" si="38"/>
        <v>0</v>
      </c>
      <c r="AA56" s="26">
        <f t="shared" si="38"/>
        <v>0</v>
      </c>
      <c r="AB56" s="26">
        <f t="shared" si="38"/>
        <v>0</v>
      </c>
      <c r="AC56" s="26">
        <f t="shared" ref="AC56" si="39">AC19+AC31+AC46+AC50+AC54</f>
        <v>0</v>
      </c>
      <c r="AD56" s="26">
        <f t="shared" ref="AD56" si="40">AD19+AD31+AD46+AD50+AD54</f>
        <v>0</v>
      </c>
      <c r="AE56" s="26">
        <f t="shared" si="38"/>
        <v>0</v>
      </c>
      <c r="AF56" s="26">
        <f t="shared" ref="AF56" si="41">AF19+AF31+AF46+AF50+AF54</f>
        <v>0</v>
      </c>
    </row>
    <row r="57" spans="1:32" x14ac:dyDescent="0.2">
      <c r="A57" s="33"/>
      <c r="G57" s="26"/>
      <c r="H57" s="26"/>
      <c r="K57" s="34"/>
      <c r="L57" s="34"/>
      <c r="M57" s="34"/>
      <c r="N57" s="34"/>
      <c r="O57" s="34"/>
      <c r="P57" s="34"/>
      <c r="Q57" s="34"/>
      <c r="R57" s="34"/>
      <c r="S57" s="34"/>
      <c r="T57" s="34"/>
      <c r="U57" s="34"/>
      <c r="V57" s="34"/>
      <c r="W57" s="34"/>
      <c r="X57" s="34"/>
      <c r="Y57" s="34"/>
      <c r="Z57" s="34"/>
      <c r="AA57" s="34"/>
      <c r="AB57" s="34"/>
      <c r="AC57" s="34"/>
      <c r="AD57" s="34"/>
      <c r="AE57" s="34"/>
      <c r="AF57" s="34"/>
    </row>
    <row r="58" spans="1:32" ht="18" x14ac:dyDescent="0.25">
      <c r="A58" s="247" t="s">
        <v>129</v>
      </c>
      <c r="C58" s="32"/>
      <c r="G58" s="26"/>
      <c r="H58" s="26"/>
      <c r="K58" s="34"/>
      <c r="L58" s="34"/>
      <c r="M58" s="34"/>
      <c r="N58" s="34"/>
      <c r="O58" s="34"/>
      <c r="P58" s="34"/>
      <c r="Q58" s="34"/>
      <c r="R58" s="34"/>
      <c r="S58" s="34"/>
      <c r="T58" s="34"/>
      <c r="U58" s="34"/>
      <c r="V58" s="34"/>
      <c r="W58" s="34"/>
      <c r="X58" s="34"/>
      <c r="Y58" s="34"/>
      <c r="Z58" s="34"/>
      <c r="AA58" s="34"/>
      <c r="AB58" s="34"/>
      <c r="AC58" s="34"/>
      <c r="AD58" s="34"/>
      <c r="AE58" s="34"/>
      <c r="AF58" s="34"/>
    </row>
    <row r="59" spans="1:32" x14ac:dyDescent="0.2">
      <c r="A59" s="33"/>
      <c r="B59" s="36"/>
      <c r="C59" s="33"/>
      <c r="G59" s="106"/>
      <c r="K59" s="34"/>
      <c r="L59" s="34"/>
      <c r="M59" s="34"/>
      <c r="N59" s="34"/>
      <c r="O59" s="34"/>
      <c r="P59" s="34"/>
      <c r="Q59" s="34"/>
      <c r="R59" s="34"/>
      <c r="S59" s="34"/>
      <c r="T59" s="34"/>
      <c r="U59" s="34"/>
      <c r="V59" s="34"/>
      <c r="W59" s="34"/>
      <c r="X59" s="34"/>
      <c r="Y59" s="34"/>
      <c r="Z59" s="34"/>
      <c r="AA59" s="34"/>
      <c r="AB59" s="34"/>
      <c r="AC59" s="34"/>
      <c r="AD59" s="34"/>
      <c r="AE59" s="34"/>
      <c r="AF59" s="34"/>
    </row>
    <row r="60" spans="1:32" x14ac:dyDescent="0.2">
      <c r="A60" s="33"/>
      <c r="D60" s="20" t="s">
        <v>128</v>
      </c>
      <c r="G60" s="34"/>
      <c r="I60" s="34"/>
      <c r="K60" s="34"/>
      <c r="L60" s="34"/>
      <c r="M60" s="34"/>
      <c r="N60" s="34"/>
      <c r="O60" s="34"/>
      <c r="P60" s="34"/>
      <c r="Q60" s="34"/>
      <c r="R60" s="34"/>
      <c r="S60" s="34"/>
      <c r="T60" s="34"/>
      <c r="U60" s="34"/>
      <c r="V60" s="34"/>
      <c r="W60" s="34"/>
      <c r="X60" s="34"/>
      <c r="Y60" s="34"/>
      <c r="Z60" s="34"/>
      <c r="AA60" s="34"/>
      <c r="AB60" s="34"/>
      <c r="AC60" s="34"/>
      <c r="AD60" s="34"/>
      <c r="AE60" s="34"/>
      <c r="AF60" s="34"/>
    </row>
    <row r="61" spans="1:32" x14ac:dyDescent="0.2">
      <c r="A61" s="33">
        <f>+A56+1</f>
        <v>36</v>
      </c>
      <c r="E61" s="20" t="s">
        <v>127</v>
      </c>
      <c r="G61" s="27">
        <v>1001000</v>
      </c>
      <c r="H61" s="26">
        <f>SUM(K61:AF61)</f>
        <v>0</v>
      </c>
      <c r="I61" s="34">
        <f>G61+H61</f>
        <v>1001000</v>
      </c>
      <c r="J61" s="244"/>
      <c r="K61" s="34"/>
      <c r="L61" s="34"/>
      <c r="M61" s="34"/>
      <c r="N61" s="34"/>
      <c r="O61" s="34"/>
      <c r="P61" s="34"/>
      <c r="Q61" s="34"/>
      <c r="R61" s="34"/>
      <c r="S61" s="34"/>
      <c r="T61" s="34"/>
      <c r="U61" s="34"/>
      <c r="V61" s="34"/>
      <c r="W61" s="34"/>
      <c r="X61" s="34"/>
      <c r="Y61" s="34"/>
      <c r="Z61" s="34"/>
      <c r="AA61" s="34"/>
      <c r="AB61" s="34"/>
      <c r="AC61" s="34"/>
      <c r="AD61" s="34"/>
      <c r="AE61" s="34"/>
      <c r="AF61" s="34"/>
    </row>
    <row r="62" spans="1:32" x14ac:dyDescent="0.2">
      <c r="A62" s="33">
        <f>+A61+1</f>
        <v>37</v>
      </c>
      <c r="B62" s="33"/>
      <c r="E62" s="20" t="s">
        <v>126</v>
      </c>
      <c r="G62" s="27">
        <v>2642000</v>
      </c>
      <c r="H62" s="26">
        <f>SUM(K62:AF62)</f>
        <v>0</v>
      </c>
      <c r="I62" s="34">
        <f>G62+H62</f>
        <v>2642000</v>
      </c>
      <c r="J62" s="244"/>
      <c r="K62" s="34"/>
      <c r="L62" s="34"/>
      <c r="M62" s="34"/>
      <c r="N62" s="34"/>
      <c r="O62" s="34"/>
      <c r="P62" s="34"/>
      <c r="Q62" s="34"/>
      <c r="R62" s="34"/>
      <c r="S62" s="34"/>
      <c r="T62" s="34"/>
      <c r="U62" s="34"/>
      <c r="V62" s="34"/>
      <c r="W62" s="34"/>
      <c r="X62" s="34"/>
      <c r="Y62" s="34"/>
      <c r="Z62" s="34"/>
      <c r="AA62" s="34"/>
      <c r="AB62" s="34"/>
      <c r="AC62" s="34"/>
      <c r="AD62" s="34"/>
      <c r="AE62" s="34"/>
      <c r="AF62" s="34"/>
    </row>
    <row r="63" spans="1:32" x14ac:dyDescent="0.2">
      <c r="A63" s="33">
        <f t="shared" ref="A63:A66" si="42">+A62+1</f>
        <v>38</v>
      </c>
      <c r="B63" s="248"/>
      <c r="E63" s="20" t="s">
        <v>124</v>
      </c>
      <c r="G63" s="27">
        <v>26000</v>
      </c>
      <c r="H63" s="26">
        <f>SUM(K63:AF63)</f>
        <v>0</v>
      </c>
      <c r="I63" s="34">
        <f>G63+H63</f>
        <v>26000</v>
      </c>
      <c r="J63" s="244"/>
      <c r="K63" s="34"/>
      <c r="L63" s="34"/>
      <c r="M63" s="34"/>
      <c r="N63" s="34"/>
      <c r="O63" s="34"/>
      <c r="P63" s="34"/>
      <c r="Q63" s="34"/>
      <c r="R63" s="34"/>
      <c r="S63" s="34"/>
      <c r="T63" s="34"/>
      <c r="U63" s="34"/>
      <c r="V63" s="34"/>
      <c r="W63" s="34"/>
      <c r="X63" s="34"/>
      <c r="Y63" s="34"/>
      <c r="Z63" s="34"/>
      <c r="AA63" s="34"/>
      <c r="AB63" s="34"/>
      <c r="AC63" s="34"/>
      <c r="AD63" s="34"/>
      <c r="AE63" s="34"/>
      <c r="AF63" s="34"/>
    </row>
    <row r="64" spans="1:32" x14ac:dyDescent="0.2">
      <c r="A64" s="33">
        <f t="shared" si="42"/>
        <v>39</v>
      </c>
      <c r="E64" s="20" t="s">
        <v>125</v>
      </c>
      <c r="G64" s="34">
        <v>-2358000</v>
      </c>
      <c r="H64" s="26">
        <f>SUM(K64:AF64)</f>
        <v>0</v>
      </c>
      <c r="I64" s="34">
        <f>G64+H64</f>
        <v>-2358000</v>
      </c>
      <c r="J64" s="244"/>
      <c r="K64" s="34"/>
      <c r="L64" s="34"/>
      <c r="M64" s="34"/>
      <c r="N64" s="34"/>
      <c r="O64" s="34"/>
      <c r="P64" s="34"/>
      <c r="Q64" s="34"/>
      <c r="R64" s="34"/>
      <c r="S64" s="34"/>
      <c r="T64" s="34"/>
      <c r="U64" s="34"/>
      <c r="V64" s="34"/>
      <c r="W64" s="260"/>
      <c r="X64" s="34"/>
      <c r="Y64" s="34"/>
      <c r="Z64" s="34"/>
      <c r="AA64" s="34"/>
      <c r="AB64" s="34"/>
      <c r="AC64" s="34"/>
      <c r="AD64" s="34"/>
      <c r="AE64" s="34"/>
      <c r="AF64" s="34"/>
    </row>
    <row r="65" spans="1:32" x14ac:dyDescent="0.2">
      <c r="A65" s="35">
        <f t="shared" si="42"/>
        <v>40</v>
      </c>
      <c r="B65" s="35"/>
      <c r="C65" s="23"/>
      <c r="D65" s="23"/>
      <c r="E65" s="23" t="s">
        <v>664</v>
      </c>
      <c r="F65" s="23"/>
      <c r="G65" s="9">
        <v>-240000</v>
      </c>
      <c r="H65" s="246">
        <f>SUM(K65:AF65)</f>
        <v>0</v>
      </c>
      <c r="I65" s="9">
        <f>G65+H65</f>
        <v>-240000</v>
      </c>
      <c r="J65" s="244"/>
      <c r="K65" s="9"/>
      <c r="L65" s="9"/>
      <c r="M65" s="9"/>
      <c r="N65" s="9"/>
      <c r="O65" s="9"/>
      <c r="P65" s="9"/>
      <c r="Q65" s="9"/>
      <c r="R65" s="9"/>
      <c r="S65" s="9"/>
      <c r="T65" s="9"/>
      <c r="U65" s="9"/>
      <c r="V65" s="9"/>
      <c r="W65" s="9"/>
      <c r="X65" s="9"/>
      <c r="Y65" s="9"/>
      <c r="Z65" s="9"/>
      <c r="AA65" s="9"/>
      <c r="AB65" s="9"/>
      <c r="AC65" s="9"/>
      <c r="AD65" s="9"/>
      <c r="AE65" s="9"/>
      <c r="AF65" s="9"/>
    </row>
    <row r="66" spans="1:32" x14ac:dyDescent="0.2">
      <c r="A66" s="33">
        <f t="shared" si="42"/>
        <v>41</v>
      </c>
      <c r="B66" s="33"/>
      <c r="D66" s="20" t="s">
        <v>123</v>
      </c>
      <c r="G66" s="34">
        <f>SUM(G61:G65)</f>
        <v>1071000</v>
      </c>
      <c r="H66" s="34">
        <f>SUM(H61:H65)</f>
        <v>0</v>
      </c>
      <c r="I66" s="34">
        <f>SUM(I61:I65)</f>
        <v>1071000</v>
      </c>
      <c r="K66" s="34">
        <f>SUM(K61:K65)</f>
        <v>0</v>
      </c>
      <c r="L66" s="34">
        <f t="shared" ref="L66:M66" si="43">SUM(L61:L65)</f>
        <v>0</v>
      </c>
      <c r="M66" s="34">
        <f t="shared" si="43"/>
        <v>0</v>
      </c>
      <c r="N66" s="34">
        <f>SUM(N61:N65)</f>
        <v>0</v>
      </c>
      <c r="O66" s="34">
        <f t="shared" ref="O66" si="44">SUM(O61:O65)</f>
        <v>0</v>
      </c>
      <c r="P66" s="34">
        <f t="shared" ref="P66" si="45">SUM(P61:P65)</f>
        <v>0</v>
      </c>
      <c r="Q66" s="34">
        <f t="shared" ref="Q66:AE66" si="46">SUM(Q61:Q65)</f>
        <v>0</v>
      </c>
      <c r="R66" s="34">
        <f t="shared" si="46"/>
        <v>0</v>
      </c>
      <c r="S66" s="34">
        <f t="shared" si="46"/>
        <v>0</v>
      </c>
      <c r="T66" s="34">
        <f t="shared" si="46"/>
        <v>0</v>
      </c>
      <c r="U66" s="34">
        <f t="shared" si="46"/>
        <v>0</v>
      </c>
      <c r="V66" s="34">
        <f t="shared" si="46"/>
        <v>0</v>
      </c>
      <c r="W66" s="34">
        <f>SUM(W61:W65)</f>
        <v>0</v>
      </c>
      <c r="X66" s="34">
        <f t="shared" si="46"/>
        <v>0</v>
      </c>
      <c r="Y66" s="34">
        <f t="shared" si="46"/>
        <v>0</v>
      </c>
      <c r="Z66" s="34">
        <f t="shared" si="46"/>
        <v>0</v>
      </c>
      <c r="AA66" s="34">
        <f t="shared" si="46"/>
        <v>0</v>
      </c>
      <c r="AB66" s="34">
        <f t="shared" si="46"/>
        <v>0</v>
      </c>
      <c r="AC66" s="34">
        <f t="shared" ref="AC66" si="47">SUM(AC61:AC65)</f>
        <v>0</v>
      </c>
      <c r="AD66" s="34">
        <f t="shared" ref="AD66" si="48">SUM(AD61:AD65)</f>
        <v>0</v>
      </c>
      <c r="AE66" s="34">
        <f t="shared" si="46"/>
        <v>0</v>
      </c>
      <c r="AF66" s="34">
        <f t="shared" ref="AF66" si="49">SUM(AF61:AF65)</f>
        <v>0</v>
      </c>
    </row>
    <row r="67" spans="1:32" x14ac:dyDescent="0.2">
      <c r="A67" s="33"/>
      <c r="B67" s="33"/>
      <c r="G67" s="34"/>
      <c r="I67" s="34"/>
      <c r="K67" s="34"/>
      <c r="L67" s="34"/>
      <c r="M67" s="34"/>
      <c r="N67" s="34"/>
      <c r="O67" s="34"/>
      <c r="P67" s="34"/>
      <c r="Q67" s="34"/>
      <c r="R67" s="34"/>
      <c r="S67" s="34"/>
      <c r="T67" s="34"/>
      <c r="U67" s="34"/>
      <c r="V67" s="34"/>
      <c r="W67" s="34"/>
      <c r="X67" s="34"/>
      <c r="Y67" s="34"/>
      <c r="Z67" s="34"/>
      <c r="AA67" s="34"/>
      <c r="AB67" s="34"/>
      <c r="AC67" s="34"/>
      <c r="AD67" s="34"/>
      <c r="AE67" s="34"/>
      <c r="AF67" s="34"/>
    </row>
    <row r="68" spans="1:32" x14ac:dyDescent="0.2">
      <c r="A68" s="33">
        <f>+A66+1</f>
        <v>42</v>
      </c>
      <c r="B68" s="33"/>
      <c r="D68" s="20" t="s">
        <v>122</v>
      </c>
      <c r="G68" s="34">
        <f>G66</f>
        <v>1071000</v>
      </c>
      <c r="H68" s="34">
        <f t="shared" ref="H68:I68" si="50">H66</f>
        <v>0</v>
      </c>
      <c r="I68" s="34">
        <f t="shared" si="50"/>
        <v>1071000</v>
      </c>
      <c r="K68" s="34">
        <f>K66</f>
        <v>0</v>
      </c>
      <c r="L68" s="34">
        <f t="shared" ref="L68:M68" si="51">L66</f>
        <v>0</v>
      </c>
      <c r="M68" s="34">
        <f t="shared" si="51"/>
        <v>0</v>
      </c>
      <c r="N68" s="34">
        <f>N66</f>
        <v>0</v>
      </c>
      <c r="O68" s="34">
        <f t="shared" ref="O68" si="52">O66</f>
        <v>0</v>
      </c>
      <c r="P68" s="34">
        <f t="shared" ref="P68" si="53">P66</f>
        <v>0</v>
      </c>
      <c r="Q68" s="34">
        <f t="shared" ref="Q68:AE68" si="54">Q66</f>
        <v>0</v>
      </c>
      <c r="R68" s="34">
        <f t="shared" si="54"/>
        <v>0</v>
      </c>
      <c r="S68" s="34">
        <f t="shared" si="54"/>
        <v>0</v>
      </c>
      <c r="T68" s="34">
        <f t="shared" si="54"/>
        <v>0</v>
      </c>
      <c r="U68" s="34">
        <f t="shared" si="54"/>
        <v>0</v>
      </c>
      <c r="V68" s="34">
        <f t="shared" si="54"/>
        <v>0</v>
      </c>
      <c r="W68" s="34">
        <f>W66</f>
        <v>0</v>
      </c>
      <c r="X68" s="34">
        <f t="shared" si="54"/>
        <v>0</v>
      </c>
      <c r="Y68" s="34">
        <f t="shared" si="54"/>
        <v>0</v>
      </c>
      <c r="Z68" s="34">
        <f t="shared" si="54"/>
        <v>0</v>
      </c>
      <c r="AA68" s="34">
        <f t="shared" si="54"/>
        <v>0</v>
      </c>
      <c r="AB68" s="34">
        <f t="shared" si="54"/>
        <v>0</v>
      </c>
      <c r="AC68" s="34">
        <f t="shared" ref="AC68" si="55">AC66</f>
        <v>0</v>
      </c>
      <c r="AD68" s="34">
        <f t="shared" ref="AD68" si="56">AD66</f>
        <v>0</v>
      </c>
      <c r="AE68" s="34">
        <f t="shared" si="54"/>
        <v>0</v>
      </c>
      <c r="AF68" s="34">
        <f t="shared" ref="AF68" si="57">AF66</f>
        <v>0</v>
      </c>
    </row>
    <row r="69" spans="1:32" x14ac:dyDescent="0.2">
      <c r="A69" s="33"/>
      <c r="B69" s="33"/>
      <c r="G69" s="34"/>
      <c r="H69" s="34"/>
      <c r="I69" s="34"/>
      <c r="K69" s="34"/>
      <c r="L69" s="34"/>
      <c r="M69" s="34"/>
      <c r="N69" s="34"/>
      <c r="O69" s="34"/>
      <c r="P69" s="34"/>
      <c r="Q69" s="34"/>
      <c r="R69" s="34"/>
      <c r="S69" s="34"/>
      <c r="T69" s="34"/>
      <c r="U69" s="34"/>
      <c r="V69" s="34"/>
      <c r="W69" s="34"/>
      <c r="X69" s="34"/>
      <c r="Y69" s="34"/>
      <c r="Z69" s="34"/>
      <c r="AA69" s="34"/>
      <c r="AB69" s="34"/>
      <c r="AC69" s="34"/>
      <c r="AD69" s="34"/>
      <c r="AE69" s="34"/>
      <c r="AF69" s="34"/>
    </row>
    <row r="70" spans="1:32" ht="15" x14ac:dyDescent="0.2">
      <c r="A70" s="247" t="s">
        <v>121</v>
      </c>
      <c r="G70" s="34"/>
      <c r="H70" s="34"/>
      <c r="I70" s="34"/>
      <c r="K70"/>
      <c r="L70" s="34"/>
      <c r="M70" s="34"/>
      <c r="N70" s="34"/>
      <c r="O70" s="34"/>
      <c r="P70" s="34"/>
      <c r="Q70" s="34"/>
      <c r="R70" s="34"/>
      <c r="S70" s="34"/>
      <c r="T70" s="34"/>
      <c r="U70" s="34"/>
      <c r="V70" s="34"/>
      <c r="W70" s="34"/>
      <c r="X70" s="34"/>
      <c r="Y70" s="34"/>
      <c r="Z70" s="34"/>
      <c r="AA70" s="34"/>
      <c r="AB70" s="34"/>
      <c r="AC70" s="34"/>
      <c r="AD70" s="34"/>
      <c r="AE70" s="34"/>
      <c r="AF70" s="34"/>
    </row>
    <row r="71" spans="1:32" x14ac:dyDescent="0.2">
      <c r="A71" s="33"/>
      <c r="B71" s="33"/>
      <c r="G71" s="26"/>
      <c r="I71" s="34"/>
      <c r="K71"/>
      <c r="L71" s="34"/>
      <c r="M71" s="34"/>
      <c r="N71" s="34"/>
      <c r="O71" s="34"/>
      <c r="P71" s="34"/>
      <c r="Q71" s="34"/>
      <c r="R71" s="34"/>
      <c r="S71" s="34"/>
      <c r="T71" s="34"/>
      <c r="U71" s="34"/>
      <c r="V71" s="34"/>
      <c r="W71" s="34"/>
      <c r="X71" s="34"/>
      <c r="Y71" s="34"/>
      <c r="Z71" s="34"/>
      <c r="AA71" s="34"/>
      <c r="AB71" s="34"/>
      <c r="AC71" s="34"/>
      <c r="AD71" s="34"/>
      <c r="AE71" s="34"/>
      <c r="AF71" s="34"/>
    </row>
    <row r="72" spans="1:32" x14ac:dyDescent="0.2">
      <c r="A72" s="33"/>
      <c r="B72" s="33"/>
      <c r="D72" s="20" t="s">
        <v>120</v>
      </c>
      <c r="G72" s="34"/>
      <c r="I72" s="34"/>
      <c r="K72"/>
      <c r="L72" s="34"/>
      <c r="M72" s="34"/>
      <c r="N72" s="34"/>
      <c r="O72" s="34"/>
      <c r="P72" s="34"/>
      <c r="Q72" s="34"/>
      <c r="R72" s="34"/>
      <c r="S72" s="34"/>
      <c r="T72" s="34"/>
      <c r="U72" s="34"/>
      <c r="V72" s="34"/>
      <c r="W72" s="34"/>
      <c r="X72" s="34"/>
      <c r="Y72" s="34"/>
      <c r="Z72" s="34"/>
      <c r="AA72" s="34"/>
      <c r="AB72" s="34"/>
      <c r="AC72" s="34"/>
      <c r="AD72" s="34"/>
      <c r="AE72" s="34"/>
      <c r="AF72" s="34"/>
    </row>
    <row r="73" spans="1:32" x14ac:dyDescent="0.2">
      <c r="A73" s="33">
        <f>+A68+1</f>
        <v>43</v>
      </c>
      <c r="B73" s="20" t="s">
        <v>187</v>
      </c>
      <c r="E73" s="20" t="s">
        <v>329</v>
      </c>
      <c r="G73" s="34">
        <v>0</v>
      </c>
      <c r="H73" s="26">
        <f>SUM(K73:AF73)</f>
        <v>0</v>
      </c>
      <c r="I73" s="34">
        <f t="shared" ref="I73:I77" si="58">G73+H73</f>
        <v>0</v>
      </c>
      <c r="J73" s="244"/>
      <c r="K73" s="34"/>
      <c r="L73" s="34"/>
      <c r="M73" s="34"/>
      <c r="N73" s="34"/>
      <c r="O73" s="34"/>
      <c r="P73" s="34"/>
      <c r="Q73" s="34"/>
      <c r="R73" s="34"/>
      <c r="S73" s="34"/>
      <c r="T73" s="34"/>
      <c r="U73" s="34"/>
      <c r="V73" s="34"/>
      <c r="W73" s="34"/>
      <c r="X73" s="34"/>
      <c r="Y73" s="34"/>
      <c r="Z73" s="34"/>
      <c r="AA73" s="34"/>
      <c r="AB73" s="34"/>
      <c r="AC73" s="34"/>
      <c r="AD73" s="34"/>
      <c r="AE73" s="34"/>
      <c r="AF73" s="34"/>
    </row>
    <row r="74" spans="1:32" x14ac:dyDescent="0.2">
      <c r="A74" s="33">
        <f>+A73+1</f>
        <v>44</v>
      </c>
      <c r="B74" s="20" t="s">
        <v>187</v>
      </c>
      <c r="E74" s="20" t="s">
        <v>312</v>
      </c>
      <c r="G74" s="34">
        <v>-3430777.0684615392</v>
      </c>
      <c r="H74" s="26">
        <f>SUM(K74:AF74)</f>
        <v>0</v>
      </c>
      <c r="I74" s="34">
        <f t="shared" si="58"/>
        <v>-3430777.0684615392</v>
      </c>
      <c r="J74" s="244"/>
      <c r="K74" s="34"/>
      <c r="L74" s="34"/>
      <c r="M74" s="34"/>
      <c r="N74" s="34"/>
      <c r="O74" s="34"/>
      <c r="P74" s="34"/>
      <c r="Q74" s="34"/>
      <c r="R74" s="34"/>
      <c r="S74" s="34"/>
      <c r="T74" s="34"/>
      <c r="U74" s="34"/>
      <c r="V74" s="34"/>
      <c r="W74" s="34"/>
      <c r="X74" s="34"/>
      <c r="Y74" s="34"/>
      <c r="Z74" s="34"/>
      <c r="AA74" s="34"/>
      <c r="AB74" s="34"/>
      <c r="AC74" s="34"/>
      <c r="AD74" s="34"/>
      <c r="AE74" s="34"/>
      <c r="AF74" s="34"/>
    </row>
    <row r="75" spans="1:32" x14ac:dyDescent="0.2">
      <c r="A75" s="33">
        <f t="shared" ref="A75:A78" si="59">+A74+1</f>
        <v>45</v>
      </c>
      <c r="B75" s="20" t="s">
        <v>187</v>
      </c>
      <c r="E75" s="20" t="s">
        <v>154</v>
      </c>
      <c r="G75" s="34">
        <v>-98570153.507692307</v>
      </c>
      <c r="H75" s="26">
        <f>SUM(K75:AF75)</f>
        <v>-160138.22</v>
      </c>
      <c r="I75" s="34">
        <f t="shared" si="58"/>
        <v>-98730291.727692306</v>
      </c>
      <c r="J75" s="244"/>
      <c r="K75" s="34">
        <v>-57272.01</v>
      </c>
      <c r="L75" s="34">
        <v>-64104.729999999996</v>
      </c>
      <c r="M75" s="34">
        <v>-29692.53</v>
      </c>
      <c r="N75" s="34">
        <v>-9068.9500000000007</v>
      </c>
      <c r="O75" s="34"/>
      <c r="P75" s="34"/>
      <c r="Q75" s="34"/>
      <c r="R75" s="34"/>
      <c r="S75" s="34"/>
      <c r="T75" s="34"/>
      <c r="U75" s="34"/>
      <c r="V75" s="34"/>
      <c r="W75" s="34"/>
      <c r="X75" s="34"/>
      <c r="Y75" s="34"/>
      <c r="Z75" s="34"/>
      <c r="AA75" s="34"/>
      <c r="AB75" s="34"/>
      <c r="AC75" s="34"/>
      <c r="AD75" s="34"/>
      <c r="AE75" s="34"/>
      <c r="AF75" s="34"/>
    </row>
    <row r="76" spans="1:32" x14ac:dyDescent="0.2">
      <c r="A76" s="33">
        <f t="shared" si="59"/>
        <v>46</v>
      </c>
      <c r="B76" s="20" t="s">
        <v>187</v>
      </c>
      <c r="E76" s="20" t="s">
        <v>184</v>
      </c>
      <c r="G76" s="34">
        <v>-4955749.8353846157</v>
      </c>
      <c r="H76" s="26">
        <f>SUM(K76:AF76)</f>
        <v>-520828.14</v>
      </c>
      <c r="I76" s="34">
        <f t="shared" si="58"/>
        <v>-5476577.9753846154</v>
      </c>
      <c r="J76" s="244"/>
      <c r="K76" s="34">
        <v>-751.24</v>
      </c>
      <c r="L76" s="34"/>
      <c r="M76" s="34"/>
      <c r="N76" s="34"/>
      <c r="O76" s="34">
        <v>-520076.9</v>
      </c>
      <c r="P76" s="34"/>
      <c r="Q76" s="34"/>
      <c r="R76" s="34"/>
      <c r="S76" s="34"/>
      <c r="T76" s="34"/>
      <c r="U76" s="34"/>
      <c r="V76"/>
      <c r="W76" s="34"/>
      <c r="X76" s="34"/>
      <c r="Y76" s="34"/>
      <c r="Z76" s="34"/>
      <c r="AA76" s="34"/>
      <c r="AB76" s="34"/>
      <c r="AC76" s="34"/>
      <c r="AD76" s="34"/>
      <c r="AE76" s="34"/>
      <c r="AF76" s="34"/>
    </row>
    <row r="77" spans="1:32" ht="15" x14ac:dyDescent="0.35">
      <c r="A77" s="35">
        <f t="shared" si="59"/>
        <v>47</v>
      </c>
      <c r="B77" s="23" t="s">
        <v>187</v>
      </c>
      <c r="C77" s="23"/>
      <c r="D77" s="23"/>
      <c r="E77" s="23" t="s">
        <v>183</v>
      </c>
      <c r="F77" s="23"/>
      <c r="G77" s="9">
        <v>-7271825.3030769238</v>
      </c>
      <c r="H77" s="246">
        <f>SUM(K77:AF77)</f>
        <v>0</v>
      </c>
      <c r="I77" s="9">
        <f t="shared" si="58"/>
        <v>-7271825.3030769238</v>
      </c>
      <c r="J77" s="244"/>
      <c r="K77" s="9"/>
      <c r="L77" s="253"/>
      <c r="M77" s="253"/>
      <c r="N77" s="9"/>
      <c r="O77" s="9"/>
      <c r="P77" s="253"/>
      <c r="Q77" s="253"/>
      <c r="R77" s="253"/>
      <c r="S77" s="253"/>
      <c r="T77" s="253"/>
      <c r="U77" s="253"/>
      <c r="V77" s="253"/>
      <c r="W77" s="253"/>
      <c r="X77" s="253"/>
      <c r="Y77" s="253"/>
      <c r="Z77" s="253"/>
      <c r="AA77" s="253"/>
      <c r="AB77" s="253"/>
      <c r="AC77" s="253"/>
      <c r="AD77" s="253"/>
      <c r="AE77" s="253"/>
      <c r="AF77" s="253"/>
    </row>
    <row r="78" spans="1:32" x14ac:dyDescent="0.2">
      <c r="A78" s="33">
        <f t="shared" si="59"/>
        <v>48</v>
      </c>
      <c r="D78" s="33" t="s">
        <v>859</v>
      </c>
      <c r="G78" s="34">
        <f>SUM(G73:G77)</f>
        <v>-114228505.71461539</v>
      </c>
      <c r="H78" s="34">
        <f>SUM(H73:H77)</f>
        <v>-680966.36</v>
      </c>
      <c r="I78" s="34">
        <f>SUM(I73:I77)</f>
        <v>-114909472.07461539</v>
      </c>
      <c r="K78" s="34">
        <f>SUM(K73:K77)</f>
        <v>-58023.25</v>
      </c>
      <c r="L78" s="34">
        <f t="shared" ref="L78:M78" si="60">SUM(L73:L77)</f>
        <v>-64104.729999999996</v>
      </c>
      <c r="M78" s="34">
        <f t="shared" si="60"/>
        <v>-29692.53</v>
      </c>
      <c r="N78" s="34">
        <f>SUM(N73:N77)</f>
        <v>-9068.9500000000007</v>
      </c>
      <c r="O78" s="34">
        <f>SUM(O73:O77)</f>
        <v>-520076.9</v>
      </c>
      <c r="P78" s="34">
        <f t="shared" ref="P78" si="61">SUM(P73:P77)</f>
        <v>0</v>
      </c>
      <c r="Q78" s="34">
        <f t="shared" ref="Q78:AE78" si="62">SUM(Q73:Q77)</f>
        <v>0</v>
      </c>
      <c r="R78" s="34">
        <f t="shared" si="62"/>
        <v>0</v>
      </c>
      <c r="S78" s="34">
        <f t="shared" si="62"/>
        <v>0</v>
      </c>
      <c r="T78" s="34">
        <f t="shared" si="62"/>
        <v>0</v>
      </c>
      <c r="U78" s="34">
        <f t="shared" si="62"/>
        <v>0</v>
      </c>
      <c r="V78" s="34">
        <f t="shared" si="62"/>
        <v>0</v>
      </c>
      <c r="W78" s="34">
        <f>SUM(W73:W77)</f>
        <v>0</v>
      </c>
      <c r="X78" s="34">
        <f t="shared" si="62"/>
        <v>0</v>
      </c>
      <c r="Y78" s="34">
        <f t="shared" si="62"/>
        <v>0</v>
      </c>
      <c r="Z78" s="34">
        <f t="shared" si="62"/>
        <v>0</v>
      </c>
      <c r="AA78" s="34">
        <f t="shared" si="62"/>
        <v>0</v>
      </c>
      <c r="AB78" s="34">
        <f t="shared" si="62"/>
        <v>0</v>
      </c>
      <c r="AC78" s="34">
        <f t="shared" si="62"/>
        <v>0</v>
      </c>
      <c r="AD78" s="34">
        <f t="shared" ref="AD78" si="63">SUM(AD73:AD77)</f>
        <v>0</v>
      </c>
      <c r="AE78" s="34">
        <f t="shared" si="62"/>
        <v>0</v>
      </c>
      <c r="AF78" s="34">
        <f t="shared" ref="AF78" si="64">SUM(AF73:AF77)</f>
        <v>0</v>
      </c>
    </row>
    <row r="79" spans="1:32" x14ac:dyDescent="0.2">
      <c r="A79" s="33"/>
      <c r="G79" s="26"/>
      <c r="I79" s="34"/>
      <c r="K79" s="34"/>
      <c r="L79" s="34"/>
      <c r="M79" s="34"/>
      <c r="N79" s="34"/>
      <c r="O79" s="34"/>
      <c r="P79" s="34"/>
      <c r="Q79" s="34"/>
      <c r="R79" s="34"/>
      <c r="S79" s="34"/>
      <c r="T79" s="34"/>
      <c r="U79" s="34"/>
      <c r="V79" s="34"/>
      <c r="W79" s="34"/>
      <c r="X79" s="34"/>
      <c r="Y79" s="34"/>
      <c r="Z79" s="34"/>
      <c r="AA79" s="34"/>
      <c r="AB79" s="34"/>
      <c r="AC79" s="34"/>
      <c r="AD79" s="34"/>
      <c r="AE79" s="34"/>
      <c r="AF79" s="34"/>
    </row>
    <row r="80" spans="1:32" x14ac:dyDescent="0.2">
      <c r="A80" s="33">
        <f>+A78+1</f>
        <v>49</v>
      </c>
      <c r="B80" s="33">
        <v>252</v>
      </c>
      <c r="D80" s="20" t="s">
        <v>117</v>
      </c>
      <c r="G80" s="34">
        <v>-1920000</v>
      </c>
      <c r="H80" s="26">
        <f t="shared" ref="H80:H85" si="65">SUM(K80:AF80)</f>
        <v>0</v>
      </c>
      <c r="I80" s="34">
        <f t="shared" ref="I80:I85" si="66">G80+H80</f>
        <v>-1920000</v>
      </c>
      <c r="J80" s="244"/>
      <c r="K80" s="26"/>
      <c r="L80" s="26"/>
      <c r="M80" s="26"/>
      <c r="N80" s="26"/>
      <c r="O80" s="26"/>
      <c r="P80" s="26"/>
      <c r="Q80" s="26"/>
      <c r="R80" s="26"/>
      <c r="S80" s="26"/>
      <c r="T80" s="26"/>
      <c r="U80" s="26"/>
      <c r="V80" s="26"/>
      <c r="W80" s="26"/>
      <c r="X80" s="26"/>
      <c r="Y80" s="26"/>
      <c r="Z80" s="26"/>
      <c r="AA80" s="26"/>
      <c r="AB80" s="26"/>
      <c r="AC80" s="26"/>
      <c r="AD80" s="26"/>
      <c r="AE80" s="26"/>
      <c r="AF80" s="26"/>
    </row>
    <row r="81" spans="1:32" x14ac:dyDescent="0.2">
      <c r="A81" s="33">
        <f>+A80+1</f>
        <v>50</v>
      </c>
      <c r="B81" s="33">
        <v>282</v>
      </c>
      <c r="D81" s="20" t="s">
        <v>116</v>
      </c>
      <c r="G81" s="34">
        <v>-32584000</v>
      </c>
      <c r="H81" s="26">
        <f t="shared" si="65"/>
        <v>-75015.75</v>
      </c>
      <c r="I81" s="34">
        <f t="shared" si="66"/>
        <v>-32659015.75</v>
      </c>
      <c r="J81" s="244"/>
      <c r="K81" s="34">
        <v>10917.829999999998</v>
      </c>
      <c r="L81" s="34">
        <v>-7009.6500000000005</v>
      </c>
      <c r="M81" s="260">
        <v>-4779.9799999999996</v>
      </c>
      <c r="N81" s="34">
        <v>-1333.1699999999998</v>
      </c>
      <c r="O81" s="34">
        <v>-72810.78</v>
      </c>
      <c r="P81" s="34"/>
      <c r="Q81" s="34"/>
      <c r="R81" s="34"/>
      <c r="S81" s="34"/>
      <c r="T81" s="34"/>
      <c r="U81" s="34"/>
      <c r="V81"/>
      <c r="W81" s="34"/>
      <c r="X81" s="34"/>
      <c r="Y81" s="34"/>
      <c r="Z81" s="34"/>
      <c r="AA81" s="34"/>
      <c r="AB81" s="34"/>
      <c r="AC81" s="34"/>
      <c r="AD81" s="34"/>
      <c r="AE81" s="34"/>
      <c r="AF81" s="34"/>
    </row>
    <row r="82" spans="1:32" x14ac:dyDescent="0.2">
      <c r="A82" s="33">
        <f t="shared" ref="A82:A86" si="67">+A81+1</f>
        <v>51</v>
      </c>
      <c r="B82" s="33">
        <v>235</v>
      </c>
      <c r="D82" s="20" t="s">
        <v>115</v>
      </c>
      <c r="G82" s="34">
        <v>-132000</v>
      </c>
      <c r="H82" s="26">
        <f t="shared" si="65"/>
        <v>0</v>
      </c>
      <c r="I82" s="34">
        <f t="shared" si="66"/>
        <v>-132000</v>
      </c>
      <c r="J82" s="244"/>
      <c r="K82" s="26"/>
      <c r="L82" s="26"/>
      <c r="M82" s="26"/>
      <c r="N82" s="26"/>
      <c r="O82" s="26"/>
      <c r="P82" s="26"/>
      <c r="Q82" s="26"/>
      <c r="R82" s="26"/>
      <c r="S82" s="26"/>
      <c r="T82" s="26"/>
      <c r="U82" s="26"/>
      <c r="V82" s="26"/>
      <c r="W82" s="26"/>
      <c r="X82" s="26"/>
      <c r="Y82" s="26"/>
      <c r="Z82" s="26"/>
      <c r="AA82" s="26"/>
      <c r="AB82" s="26"/>
      <c r="AC82" s="26"/>
      <c r="AD82" s="26"/>
      <c r="AE82" s="26"/>
      <c r="AF82" s="26"/>
    </row>
    <row r="83" spans="1:32" x14ac:dyDescent="0.2">
      <c r="A83" s="33">
        <f t="shared" si="67"/>
        <v>52</v>
      </c>
      <c r="B83" s="33">
        <v>144</v>
      </c>
      <c r="D83" s="20" t="s">
        <v>472</v>
      </c>
      <c r="G83" s="34">
        <v>-166000</v>
      </c>
      <c r="H83" s="26">
        <f t="shared" si="65"/>
        <v>0</v>
      </c>
      <c r="I83" s="34">
        <f t="shared" si="66"/>
        <v>-166000</v>
      </c>
      <c r="J83" s="244"/>
      <c r="K83" s="26"/>
      <c r="L83" s="26"/>
      <c r="M83" s="26"/>
      <c r="N83" s="26"/>
      <c r="O83" s="26"/>
      <c r="P83" s="26"/>
      <c r="Q83" s="26"/>
      <c r="R83" s="26"/>
      <c r="S83" s="26"/>
      <c r="T83" s="26"/>
      <c r="U83" s="26"/>
      <c r="V83" s="26"/>
      <c r="W83" s="26"/>
      <c r="X83" s="26"/>
      <c r="Y83" s="26"/>
      <c r="Z83" s="26"/>
      <c r="AA83" s="26"/>
      <c r="AB83" s="26"/>
      <c r="AC83" s="26"/>
      <c r="AD83" s="26"/>
      <c r="AE83" s="26"/>
      <c r="AF83" s="26"/>
    </row>
    <row r="84" spans="1:32" x14ac:dyDescent="0.2">
      <c r="A84" s="33">
        <f t="shared" si="67"/>
        <v>53</v>
      </c>
      <c r="B84" s="33">
        <v>228</v>
      </c>
      <c r="D84" s="20" t="s">
        <v>1030</v>
      </c>
      <c r="G84" s="34">
        <v>-1606000</v>
      </c>
      <c r="H84" s="26">
        <f t="shared" si="65"/>
        <v>0</v>
      </c>
      <c r="I84" s="34">
        <f t="shared" si="66"/>
        <v>-1606000</v>
      </c>
      <c r="J84" s="244"/>
      <c r="K84" s="26"/>
      <c r="L84" s="26"/>
      <c r="M84" s="26"/>
      <c r="N84" s="26"/>
      <c r="O84" s="26"/>
      <c r="P84" s="26"/>
      <c r="Q84" s="26"/>
      <c r="R84" s="26"/>
      <c r="S84" s="26"/>
      <c r="T84" s="26"/>
      <c r="U84" s="26"/>
      <c r="V84" s="26"/>
      <c r="W84" s="26"/>
      <c r="X84" s="26"/>
      <c r="Y84" s="26"/>
      <c r="Z84" s="26"/>
      <c r="AA84" s="26"/>
      <c r="AB84" s="26"/>
      <c r="AC84" s="26"/>
      <c r="AD84" s="26"/>
      <c r="AE84" s="26"/>
      <c r="AF84" s="26"/>
    </row>
    <row r="85" spans="1:32" x14ac:dyDescent="0.2">
      <c r="A85" s="35">
        <f t="shared" si="67"/>
        <v>54</v>
      </c>
      <c r="B85" s="35">
        <v>228</v>
      </c>
      <c r="C85" s="23"/>
      <c r="D85" s="23" t="s">
        <v>114</v>
      </c>
      <c r="E85" s="23"/>
      <c r="F85" s="23"/>
      <c r="G85" s="9">
        <v>-188000</v>
      </c>
      <c r="H85" s="246">
        <f t="shared" si="65"/>
        <v>0</v>
      </c>
      <c r="I85" s="9">
        <f t="shared" si="66"/>
        <v>-188000</v>
      </c>
      <c r="J85" s="244"/>
      <c r="K85" s="246"/>
      <c r="L85" s="246"/>
      <c r="M85" s="246"/>
      <c r="N85" s="246"/>
      <c r="O85" s="246"/>
      <c r="P85" s="246"/>
      <c r="Q85" s="246"/>
      <c r="R85" s="246"/>
      <c r="S85" s="246"/>
      <c r="T85" s="246"/>
      <c r="U85" s="246"/>
      <c r="V85" s="246"/>
      <c r="W85" s="246"/>
      <c r="X85" s="246"/>
      <c r="Y85" s="246"/>
      <c r="Z85" s="246"/>
      <c r="AA85" s="246"/>
      <c r="AB85" s="246"/>
      <c r="AC85" s="246"/>
      <c r="AD85" s="246"/>
      <c r="AE85" s="246"/>
      <c r="AF85" s="246"/>
    </row>
    <row r="86" spans="1:32" x14ac:dyDescent="0.2">
      <c r="A86" s="33">
        <f t="shared" si="67"/>
        <v>55</v>
      </c>
      <c r="D86" s="33" t="s">
        <v>113</v>
      </c>
      <c r="G86" s="34">
        <f>SUM(G80:G85)</f>
        <v>-36596000</v>
      </c>
      <c r="H86" s="34">
        <f>SUM(H80:H85)</f>
        <v>-75015.75</v>
      </c>
      <c r="I86" s="34">
        <f>SUM(I80:I85)</f>
        <v>-36671015.75</v>
      </c>
      <c r="K86" s="34">
        <f>SUM(K80:K85)</f>
        <v>10917.829999999998</v>
      </c>
      <c r="L86" s="34">
        <f t="shared" ref="L86:M86" si="68">SUM(L80:L85)</f>
        <v>-7009.6500000000005</v>
      </c>
      <c r="M86" s="34">
        <f t="shared" si="68"/>
        <v>-4779.9799999999996</v>
      </c>
      <c r="N86" s="34">
        <f>SUM(N80:N85)</f>
        <v>-1333.1699999999998</v>
      </c>
      <c r="O86" s="34">
        <f t="shared" ref="O86" si="69">SUM(O80:O85)</f>
        <v>-72810.78</v>
      </c>
      <c r="P86" s="34">
        <f t="shared" ref="P86" si="70">SUM(P80:P85)</f>
        <v>0</v>
      </c>
      <c r="Q86" s="34">
        <f t="shared" ref="Q86:AE86" si="71">SUM(Q80:Q85)</f>
        <v>0</v>
      </c>
      <c r="R86" s="34">
        <f t="shared" si="71"/>
        <v>0</v>
      </c>
      <c r="S86" s="34">
        <f t="shared" si="71"/>
        <v>0</v>
      </c>
      <c r="T86" s="34">
        <f t="shared" si="71"/>
        <v>0</v>
      </c>
      <c r="U86" s="34">
        <f t="shared" si="71"/>
        <v>0</v>
      </c>
      <c r="V86" s="34">
        <f t="shared" si="71"/>
        <v>0</v>
      </c>
      <c r="W86" s="34">
        <f>SUM(W80:W85)</f>
        <v>0</v>
      </c>
      <c r="X86" s="34">
        <f t="shared" si="71"/>
        <v>0</v>
      </c>
      <c r="Y86" s="34">
        <f t="shared" si="71"/>
        <v>0</v>
      </c>
      <c r="Z86" s="34">
        <f t="shared" si="71"/>
        <v>0</v>
      </c>
      <c r="AA86" s="34">
        <f t="shared" si="71"/>
        <v>0</v>
      </c>
      <c r="AB86" s="34">
        <f t="shared" si="71"/>
        <v>0</v>
      </c>
      <c r="AC86" s="34">
        <f t="shared" ref="AC86" si="72">SUM(AC80:AC85)</f>
        <v>0</v>
      </c>
      <c r="AD86" s="34">
        <f t="shared" ref="AD86" si="73">SUM(AD80:AD85)</f>
        <v>0</v>
      </c>
      <c r="AE86" s="34">
        <f t="shared" si="71"/>
        <v>0</v>
      </c>
      <c r="AF86" s="34">
        <f t="shared" ref="AF86" si="74">SUM(AF80:AF85)</f>
        <v>0</v>
      </c>
    </row>
    <row r="87" spans="1:32" x14ac:dyDescent="0.2">
      <c r="A87" s="33"/>
      <c r="B87" s="33"/>
      <c r="G87" s="26"/>
      <c r="I87" s="34"/>
      <c r="K87" s="34"/>
      <c r="L87" s="34"/>
      <c r="M87" s="34"/>
      <c r="N87" s="34"/>
      <c r="O87" s="34"/>
      <c r="P87" s="34"/>
      <c r="Q87" s="34"/>
      <c r="R87" s="34"/>
      <c r="S87" s="34"/>
      <c r="T87" s="34"/>
      <c r="U87" s="34"/>
      <c r="V87" s="34"/>
      <c r="W87" s="34"/>
      <c r="X87" s="34"/>
      <c r="Y87" s="34"/>
      <c r="Z87" s="34"/>
      <c r="AA87" s="34"/>
      <c r="AB87" s="34"/>
      <c r="AC87" s="34"/>
      <c r="AD87" s="34"/>
      <c r="AE87" s="34"/>
      <c r="AF87" s="34"/>
    </row>
    <row r="88" spans="1:32" x14ac:dyDescent="0.2">
      <c r="A88" s="33">
        <f>+A86+1</f>
        <v>56</v>
      </c>
      <c r="B88" s="33"/>
      <c r="D88" s="20" t="s">
        <v>112</v>
      </c>
      <c r="G88" s="34">
        <f>G78+G86</f>
        <v>-150824505.7146154</v>
      </c>
      <c r="H88" s="34">
        <f>H78+H86</f>
        <v>-755982.11</v>
      </c>
      <c r="I88" s="34">
        <f>I78+I86</f>
        <v>-151580487.82461539</v>
      </c>
      <c r="K88" s="34">
        <f>K78+K86</f>
        <v>-47105.42</v>
      </c>
      <c r="L88" s="34">
        <f t="shared" ref="L88:M88" si="75">L78+L86</f>
        <v>-71114.37999999999</v>
      </c>
      <c r="M88" s="34">
        <f t="shared" si="75"/>
        <v>-34472.509999999995</v>
      </c>
      <c r="N88" s="34">
        <f>N78+N86</f>
        <v>-10402.120000000001</v>
      </c>
      <c r="O88" s="34">
        <f t="shared" ref="O88" si="76">O78+O86</f>
        <v>-592887.68000000005</v>
      </c>
      <c r="P88" s="34">
        <f t="shared" ref="P88" si="77">P78+P86</f>
        <v>0</v>
      </c>
      <c r="Q88" s="34">
        <f t="shared" ref="Q88:AE88" si="78">Q78+Q86</f>
        <v>0</v>
      </c>
      <c r="R88" s="34">
        <f t="shared" si="78"/>
        <v>0</v>
      </c>
      <c r="S88" s="34">
        <f t="shared" si="78"/>
        <v>0</v>
      </c>
      <c r="T88" s="34">
        <f t="shared" si="78"/>
        <v>0</v>
      </c>
      <c r="U88" s="34">
        <f t="shared" si="78"/>
        <v>0</v>
      </c>
      <c r="V88" s="34">
        <f>V78+V86</f>
        <v>0</v>
      </c>
      <c r="W88" s="34">
        <f>W78+W86</f>
        <v>0</v>
      </c>
      <c r="X88" s="34">
        <f t="shared" si="78"/>
        <v>0</v>
      </c>
      <c r="Y88" s="34">
        <f t="shared" si="78"/>
        <v>0</v>
      </c>
      <c r="Z88" s="34">
        <f t="shared" si="78"/>
        <v>0</v>
      </c>
      <c r="AA88" s="34">
        <f t="shared" si="78"/>
        <v>0</v>
      </c>
      <c r="AB88" s="34">
        <f t="shared" si="78"/>
        <v>0</v>
      </c>
      <c r="AC88" s="34">
        <f t="shared" ref="AC88" si="79">AC78+AC86</f>
        <v>0</v>
      </c>
      <c r="AD88" s="34">
        <f t="shared" ref="AD88" si="80">AD78+AD86</f>
        <v>0</v>
      </c>
      <c r="AE88" s="34">
        <f t="shared" si="78"/>
        <v>0</v>
      </c>
      <c r="AF88" s="34">
        <f t="shared" ref="AF88" si="81">AF78+AF86</f>
        <v>0</v>
      </c>
    </row>
    <row r="89" spans="1:32" x14ac:dyDescent="0.2">
      <c r="A89" s="33"/>
      <c r="B89" s="33"/>
      <c r="G89" s="26"/>
      <c r="H89" s="34"/>
      <c r="I89" s="34"/>
      <c r="K89" s="34"/>
      <c r="L89" s="34"/>
      <c r="M89" s="34"/>
      <c r="N89" s="34"/>
      <c r="O89" s="34"/>
      <c r="P89" s="34"/>
      <c r="Q89" s="34"/>
      <c r="R89" s="34"/>
      <c r="S89" s="34"/>
      <c r="T89" s="34"/>
      <c r="U89" s="34"/>
      <c r="V89" s="34"/>
      <c r="W89" s="34"/>
      <c r="X89" s="34"/>
      <c r="Y89" s="34"/>
      <c r="Z89" s="34"/>
      <c r="AA89" s="34"/>
      <c r="AB89" s="34"/>
      <c r="AC89" s="34"/>
      <c r="AD89" s="34"/>
      <c r="AE89" s="34"/>
      <c r="AF89" s="34"/>
    </row>
    <row r="90" spans="1:32" x14ac:dyDescent="0.2">
      <c r="A90" s="33">
        <f>+A88+1</f>
        <v>57</v>
      </c>
      <c r="B90" s="33"/>
      <c r="D90" s="20" t="s">
        <v>11</v>
      </c>
      <c r="G90" s="34">
        <f>G56+G68+G88</f>
        <v>177774763.88538462</v>
      </c>
      <c r="H90" s="34">
        <f>H56+H68+H88</f>
        <v>20682353.350000001</v>
      </c>
      <c r="I90" s="34">
        <f>I56+I68+I88</f>
        <v>198457117.23538473</v>
      </c>
      <c r="K90" s="34">
        <f>K56+K68+K88</f>
        <v>3263517.4899999998</v>
      </c>
      <c r="L90" s="34">
        <f t="shared" ref="L90:M90" si="82">L56+L68+L88</f>
        <v>4915127.03</v>
      </c>
      <c r="M90" s="34">
        <f t="shared" si="82"/>
        <v>2703087.49</v>
      </c>
      <c r="N90" s="34">
        <f>N56+N68+N88</f>
        <v>734938.66</v>
      </c>
      <c r="O90" s="34">
        <f t="shared" ref="O90" si="83">O56+O68+O88</f>
        <v>9065682.6799999997</v>
      </c>
      <c r="P90" s="34">
        <f t="shared" ref="P90" si="84">P56+P68+P88</f>
        <v>0</v>
      </c>
      <c r="Q90" s="34">
        <f t="shared" ref="Q90:AE90" si="85">Q56+Q68+Q88</f>
        <v>0</v>
      </c>
      <c r="R90" s="34">
        <f t="shared" si="85"/>
        <v>0</v>
      </c>
      <c r="S90" s="34">
        <f t="shared" si="85"/>
        <v>0</v>
      </c>
      <c r="T90" s="34">
        <f t="shared" si="85"/>
        <v>0</v>
      </c>
      <c r="U90" s="34">
        <f t="shared" si="85"/>
        <v>0</v>
      </c>
      <c r="V90" s="34">
        <f>V56+V68+V88</f>
        <v>0</v>
      </c>
      <c r="W90" s="34">
        <f>W56+W68+W88</f>
        <v>0</v>
      </c>
      <c r="X90" s="34">
        <f t="shared" si="85"/>
        <v>0</v>
      </c>
      <c r="Y90" s="34">
        <f t="shared" si="85"/>
        <v>0</v>
      </c>
      <c r="Z90" s="34">
        <f t="shared" si="85"/>
        <v>0</v>
      </c>
      <c r="AA90" s="34">
        <f t="shared" si="85"/>
        <v>0</v>
      </c>
      <c r="AB90" s="34">
        <f t="shared" si="85"/>
        <v>0</v>
      </c>
      <c r="AC90" s="34">
        <f t="shared" ref="AC90" si="86">AC56+AC68+AC88</f>
        <v>0</v>
      </c>
      <c r="AD90" s="34">
        <f t="shared" ref="AD90" si="87">AD56+AD68+AD88</f>
        <v>0</v>
      </c>
      <c r="AE90" s="34">
        <f t="shared" si="85"/>
        <v>0</v>
      </c>
      <c r="AF90" s="34">
        <f t="shared" ref="AF90" si="88">AF56+AF68+AF88</f>
        <v>0</v>
      </c>
    </row>
    <row r="91" spans="1:32" x14ac:dyDescent="0.2">
      <c r="A91" s="33"/>
      <c r="G91" s="26"/>
      <c r="I91" s="49"/>
    </row>
    <row r="92" spans="1:32" ht="15" x14ac:dyDescent="0.2">
      <c r="A92" s="247" t="s">
        <v>14</v>
      </c>
      <c r="G92" s="26"/>
    </row>
    <row r="93" spans="1:32" x14ac:dyDescent="0.2">
      <c r="A93" s="33"/>
      <c r="G93" s="26"/>
    </row>
    <row r="94" spans="1:32" x14ac:dyDescent="0.2">
      <c r="A94" s="33"/>
      <c r="B94" s="33"/>
      <c r="C94" s="20" t="s">
        <v>111</v>
      </c>
      <c r="G94" s="26"/>
    </row>
    <row r="95" spans="1:32" x14ac:dyDescent="0.2">
      <c r="A95" s="33"/>
      <c r="B95" s="33"/>
      <c r="D95" s="20" t="s">
        <v>330</v>
      </c>
      <c r="G95" s="26"/>
    </row>
    <row r="96" spans="1:32" x14ac:dyDescent="0.2">
      <c r="A96" s="33"/>
      <c r="B96" s="33"/>
      <c r="E96" s="20" t="s">
        <v>89</v>
      </c>
      <c r="G96" s="26"/>
    </row>
    <row r="97" spans="1:32" x14ac:dyDescent="0.2">
      <c r="A97" s="33">
        <f>+A90+1</f>
        <v>58</v>
      </c>
      <c r="B97" s="33">
        <v>710</v>
      </c>
      <c r="F97" s="20" t="s">
        <v>105</v>
      </c>
      <c r="G97" s="34">
        <v>0</v>
      </c>
      <c r="H97" s="26">
        <f t="shared" ref="H97:H102" si="89">SUM(K97:AF97)</f>
        <v>0</v>
      </c>
      <c r="I97" s="34">
        <f t="shared" ref="I97:I102" si="90">G97+H97</f>
        <v>0</v>
      </c>
      <c r="K97" s="34"/>
      <c r="L97" s="34"/>
      <c r="M97" s="34"/>
      <c r="N97" s="34"/>
      <c r="O97" s="34"/>
      <c r="P97" s="34"/>
      <c r="Q97" s="34"/>
      <c r="R97" s="34"/>
      <c r="S97" s="34"/>
      <c r="T97" s="34"/>
      <c r="U97" s="34"/>
      <c r="V97" s="34"/>
      <c r="W97" s="34"/>
      <c r="X97" s="34"/>
      <c r="Y97" s="34"/>
      <c r="Z97" s="34"/>
      <c r="AA97" s="34"/>
      <c r="AB97" s="34"/>
      <c r="AC97" s="34"/>
      <c r="AD97" s="34"/>
      <c r="AE97" s="34"/>
      <c r="AF97" s="34"/>
    </row>
    <row r="98" spans="1:32" x14ac:dyDescent="0.2">
      <c r="A98" s="33">
        <f>+A97+1</f>
        <v>59</v>
      </c>
      <c r="B98" s="33">
        <v>712</v>
      </c>
      <c r="F98" s="20" t="s">
        <v>331</v>
      </c>
      <c r="G98" s="34">
        <v>0</v>
      </c>
      <c r="H98" s="26">
        <f t="shared" si="89"/>
        <v>0</v>
      </c>
      <c r="I98" s="34">
        <f t="shared" si="90"/>
        <v>0</v>
      </c>
      <c r="K98" s="34"/>
      <c r="L98" s="34"/>
      <c r="M98" s="34"/>
      <c r="N98" s="34"/>
      <c r="O98" s="34"/>
      <c r="P98" s="34"/>
      <c r="Q98" s="34"/>
      <c r="R98" s="34"/>
      <c r="S98" s="34"/>
      <c r="T98" s="34"/>
      <c r="U98" s="34"/>
      <c r="V98" s="34"/>
      <c r="W98" s="34"/>
      <c r="X98" s="34"/>
      <c r="Y98" s="34"/>
      <c r="Z98" s="34"/>
      <c r="AA98" s="34"/>
      <c r="AB98" s="34"/>
      <c r="AC98" s="34"/>
      <c r="AD98" s="34"/>
      <c r="AE98" s="34"/>
      <c r="AF98" s="34"/>
    </row>
    <row r="99" spans="1:32" x14ac:dyDescent="0.2">
      <c r="A99" s="33">
        <f t="shared" ref="A99:A102" si="91">+A98+1</f>
        <v>60</v>
      </c>
      <c r="B99" s="33">
        <v>714</v>
      </c>
      <c r="F99" s="20" t="s">
        <v>332</v>
      </c>
      <c r="G99" s="34">
        <v>0</v>
      </c>
      <c r="H99" s="26">
        <f t="shared" si="89"/>
        <v>0</v>
      </c>
      <c r="I99" s="34">
        <f t="shared" si="90"/>
        <v>0</v>
      </c>
      <c r="K99" s="34"/>
      <c r="L99" s="34"/>
      <c r="M99" s="34"/>
      <c r="N99" s="34"/>
      <c r="O99" s="34"/>
      <c r="P99" s="34"/>
      <c r="Q99" s="34"/>
      <c r="R99" s="34"/>
      <c r="S99" s="34"/>
      <c r="T99" s="34"/>
      <c r="U99" s="34"/>
      <c r="V99" s="34"/>
      <c r="W99" s="34"/>
      <c r="X99" s="34"/>
      <c r="Y99" s="34"/>
      <c r="Z99" s="34"/>
      <c r="AA99" s="34"/>
      <c r="AB99" s="34"/>
      <c r="AC99" s="34"/>
      <c r="AD99" s="34"/>
      <c r="AE99" s="34"/>
      <c r="AF99" s="34"/>
    </row>
    <row r="100" spans="1:32" x14ac:dyDescent="0.2">
      <c r="A100" s="33">
        <f t="shared" si="91"/>
        <v>61</v>
      </c>
      <c r="B100" s="33">
        <v>717</v>
      </c>
      <c r="F100" s="20" t="s">
        <v>333</v>
      </c>
      <c r="G100" s="34">
        <v>0</v>
      </c>
      <c r="H100" s="26">
        <f t="shared" si="89"/>
        <v>0</v>
      </c>
      <c r="I100" s="34">
        <f t="shared" si="90"/>
        <v>0</v>
      </c>
      <c r="K100" s="34"/>
      <c r="L100" s="34"/>
      <c r="M100" s="34"/>
      <c r="N100" s="34"/>
      <c r="O100" s="34"/>
      <c r="P100" s="34"/>
      <c r="Q100" s="34"/>
      <c r="R100" s="34"/>
      <c r="S100" s="34"/>
      <c r="T100" s="34"/>
      <c r="U100" s="34"/>
      <c r="V100" s="34"/>
      <c r="W100" s="34"/>
      <c r="X100" s="34"/>
      <c r="Y100" s="34"/>
      <c r="Z100" s="34"/>
      <c r="AA100" s="34"/>
      <c r="AB100" s="34"/>
      <c r="AC100" s="34"/>
      <c r="AD100" s="34"/>
      <c r="AE100" s="34"/>
      <c r="AF100" s="34"/>
    </row>
    <row r="101" spans="1:32" x14ac:dyDescent="0.2">
      <c r="A101" s="33">
        <f t="shared" si="91"/>
        <v>62</v>
      </c>
      <c r="B101" s="33">
        <v>728</v>
      </c>
      <c r="F101" s="20" t="s">
        <v>334</v>
      </c>
      <c r="G101" s="34">
        <v>0</v>
      </c>
      <c r="H101" s="26">
        <f t="shared" si="89"/>
        <v>0</v>
      </c>
      <c r="I101" s="34">
        <f t="shared" si="90"/>
        <v>0</v>
      </c>
      <c r="K101" s="34"/>
      <c r="L101" s="34"/>
      <c r="M101" s="34"/>
      <c r="N101" s="34"/>
      <c r="O101" s="34"/>
      <c r="P101" s="34"/>
      <c r="Q101" s="34"/>
      <c r="R101" s="34"/>
      <c r="S101" s="34"/>
      <c r="T101" s="34"/>
      <c r="U101" s="34"/>
      <c r="V101" s="34"/>
      <c r="W101" s="34"/>
      <c r="X101" s="34"/>
      <c r="Y101" s="34"/>
      <c r="Z101" s="34"/>
      <c r="AA101" s="34"/>
      <c r="AB101" s="34"/>
      <c r="AC101" s="34"/>
      <c r="AD101" s="34"/>
      <c r="AE101" s="34"/>
      <c r="AF101" s="34"/>
    </row>
    <row r="102" spans="1:32" x14ac:dyDescent="0.2">
      <c r="A102" s="33">
        <f t="shared" si="91"/>
        <v>63</v>
      </c>
      <c r="B102" s="33">
        <v>735</v>
      </c>
      <c r="F102" s="20" t="s">
        <v>110</v>
      </c>
      <c r="G102" s="34">
        <v>0</v>
      </c>
      <c r="H102" s="26">
        <f t="shared" si="89"/>
        <v>0</v>
      </c>
      <c r="I102" s="34">
        <f t="shared" si="90"/>
        <v>0</v>
      </c>
      <c r="K102" s="34"/>
      <c r="L102" s="34"/>
      <c r="M102" s="34"/>
      <c r="N102" s="34"/>
      <c r="O102" s="34"/>
      <c r="P102" s="34"/>
      <c r="Q102" s="34"/>
      <c r="R102" s="34"/>
      <c r="S102" s="34"/>
      <c r="T102" s="34"/>
      <c r="U102" s="34"/>
      <c r="V102" s="34"/>
      <c r="W102" s="34"/>
      <c r="X102" s="34"/>
      <c r="Y102" s="34"/>
      <c r="Z102" s="34"/>
      <c r="AA102" s="34"/>
      <c r="AB102" s="34"/>
      <c r="AC102" s="34"/>
      <c r="AD102" s="34"/>
      <c r="AE102" s="34"/>
      <c r="AF102" s="34"/>
    </row>
    <row r="103" spans="1:32" x14ac:dyDescent="0.2">
      <c r="A103" s="33"/>
      <c r="B103" s="33"/>
      <c r="E103" s="20" t="s">
        <v>77</v>
      </c>
      <c r="G103" s="26"/>
      <c r="I103" s="34"/>
      <c r="K103" s="261"/>
      <c r="L103" s="261"/>
      <c r="M103" s="261"/>
      <c r="N103" s="261"/>
      <c r="O103" s="261"/>
      <c r="P103" s="261"/>
      <c r="Q103" s="261"/>
      <c r="R103" s="261"/>
      <c r="S103" s="261"/>
      <c r="T103" s="261"/>
      <c r="U103" s="261"/>
      <c r="V103" s="261"/>
      <c r="W103" s="261"/>
      <c r="X103" s="261"/>
      <c r="Y103" s="261"/>
      <c r="Z103" s="261"/>
      <c r="AA103" s="261"/>
      <c r="AB103" s="261"/>
      <c r="AC103" s="261"/>
      <c r="AD103" s="261"/>
      <c r="AE103" s="261"/>
      <c r="AF103" s="261"/>
    </row>
    <row r="104" spans="1:32" x14ac:dyDescent="0.2">
      <c r="A104" s="33">
        <f>+A102+1</f>
        <v>64</v>
      </c>
      <c r="B104" s="33">
        <v>740</v>
      </c>
      <c r="F104" s="20" t="s">
        <v>105</v>
      </c>
      <c r="G104" s="34">
        <v>0</v>
      </c>
      <c r="H104" s="26">
        <f>SUM(K104:AF104)</f>
        <v>0</v>
      </c>
      <c r="I104" s="34">
        <f>G104+H104</f>
        <v>0</v>
      </c>
      <c r="K104" s="34"/>
      <c r="L104" s="34"/>
      <c r="M104" s="34"/>
      <c r="N104" s="34"/>
      <c r="O104" s="34"/>
      <c r="P104" s="34"/>
      <c r="Q104" s="34"/>
      <c r="R104" s="34"/>
      <c r="S104" s="34"/>
      <c r="T104" s="34"/>
      <c r="U104" s="34"/>
      <c r="V104" s="34"/>
      <c r="W104" s="34"/>
      <c r="X104" s="34"/>
      <c r="Y104" s="34"/>
      <c r="Z104" s="34"/>
      <c r="AA104" s="34"/>
      <c r="AB104" s="34"/>
      <c r="AC104" s="34"/>
      <c r="AD104" s="34"/>
      <c r="AE104" s="34"/>
      <c r="AF104" s="34"/>
    </row>
    <row r="105" spans="1:32" x14ac:dyDescent="0.2">
      <c r="A105" s="33">
        <f>+A104+1</f>
        <v>65</v>
      </c>
      <c r="B105" s="33">
        <v>741</v>
      </c>
      <c r="F105" s="20" t="s">
        <v>335</v>
      </c>
      <c r="G105" s="34">
        <v>0</v>
      </c>
      <c r="H105" s="26">
        <f>SUM(K105:AF105)</f>
        <v>0</v>
      </c>
      <c r="I105" s="34">
        <f>G105+H105</f>
        <v>0</v>
      </c>
      <c r="K105" s="34"/>
      <c r="L105" s="34"/>
      <c r="M105" s="34"/>
      <c r="N105" s="34"/>
      <c r="O105" s="34"/>
      <c r="P105" s="34"/>
      <c r="Q105" s="34"/>
      <c r="R105" s="34"/>
      <c r="S105" s="34"/>
      <c r="T105" s="34"/>
      <c r="U105" s="34"/>
      <c r="V105" s="34"/>
      <c r="W105" s="34"/>
      <c r="X105" s="34"/>
      <c r="Y105" s="34"/>
      <c r="Z105" s="34"/>
      <c r="AA105" s="34"/>
      <c r="AB105" s="34"/>
      <c r="AC105" s="34"/>
      <c r="AD105" s="34"/>
      <c r="AE105" s="34"/>
      <c r="AF105" s="34"/>
    </row>
    <row r="106" spans="1:32" x14ac:dyDescent="0.2">
      <c r="A106" s="33">
        <f>+A105+1</f>
        <v>66</v>
      </c>
      <c r="B106" s="33">
        <v>742</v>
      </c>
      <c r="F106" s="20" t="s">
        <v>336</v>
      </c>
      <c r="G106" s="34">
        <v>0</v>
      </c>
      <c r="H106" s="26">
        <f>SUM(K106:AF106)</f>
        <v>0</v>
      </c>
      <c r="I106" s="34">
        <f>G106+H106</f>
        <v>0</v>
      </c>
      <c r="K106" s="34"/>
      <c r="L106" s="34"/>
      <c r="M106" s="34"/>
      <c r="N106" s="34"/>
      <c r="O106" s="34"/>
      <c r="P106" s="34"/>
      <c r="Q106" s="34"/>
      <c r="R106" s="34"/>
      <c r="S106" s="34"/>
      <c r="T106" s="34"/>
      <c r="U106" s="34"/>
      <c r="V106" s="34"/>
      <c r="W106" s="34"/>
      <c r="X106" s="34"/>
      <c r="Y106" s="34"/>
      <c r="Z106" s="34"/>
      <c r="AA106" s="34"/>
      <c r="AB106" s="34"/>
      <c r="AC106" s="34"/>
      <c r="AD106" s="34"/>
      <c r="AE106" s="34"/>
      <c r="AF106" s="34"/>
    </row>
    <row r="107" spans="1:32" x14ac:dyDescent="0.2">
      <c r="A107" s="33"/>
      <c r="B107" s="33"/>
      <c r="D107" s="20" t="s">
        <v>337</v>
      </c>
      <c r="G107" s="26"/>
      <c r="I107" s="34"/>
      <c r="K107" s="26"/>
      <c r="L107" s="26"/>
      <c r="M107" s="26"/>
      <c r="N107" s="26"/>
      <c r="O107" s="26"/>
      <c r="P107" s="26"/>
      <c r="Q107" s="26"/>
      <c r="R107" s="26"/>
      <c r="S107" s="26"/>
      <c r="T107" s="26"/>
      <c r="U107" s="26"/>
      <c r="V107" s="26"/>
      <c r="W107" s="26"/>
      <c r="X107" s="26"/>
      <c r="Y107" s="26"/>
      <c r="Z107" s="26"/>
      <c r="AA107" s="26"/>
      <c r="AB107" s="26"/>
      <c r="AC107" s="26"/>
      <c r="AD107" s="26"/>
      <c r="AE107" s="26"/>
      <c r="AF107" s="26"/>
    </row>
    <row r="108" spans="1:32" x14ac:dyDescent="0.2">
      <c r="A108" s="33">
        <f>+A106+1</f>
        <v>67</v>
      </c>
      <c r="B108" s="33" t="s">
        <v>341</v>
      </c>
      <c r="F108" s="20" t="s">
        <v>338</v>
      </c>
      <c r="G108" s="34">
        <v>67182667.280000001</v>
      </c>
      <c r="H108" s="26">
        <f>SUM(K108:AF108)</f>
        <v>-67160317.529999956</v>
      </c>
      <c r="I108" s="34">
        <f>G108+H108</f>
        <v>22349.750000044703</v>
      </c>
      <c r="K108" s="34"/>
      <c r="L108" s="34"/>
      <c r="M108" s="34"/>
      <c r="N108" s="34"/>
      <c r="O108" s="34"/>
      <c r="P108" s="34"/>
      <c r="Q108" s="34"/>
      <c r="R108" s="34"/>
      <c r="S108" s="34"/>
      <c r="T108" s="34"/>
      <c r="U108" s="34"/>
      <c r="V108" s="34"/>
      <c r="W108" s="34"/>
      <c r="X108" s="34"/>
      <c r="Y108" s="34"/>
      <c r="Z108" s="34"/>
      <c r="AA108" s="34">
        <v>-56953216.749999955</v>
      </c>
      <c r="AB108" s="34"/>
      <c r="AC108" s="34">
        <v>-10207100.779999999</v>
      </c>
      <c r="AD108" s="34"/>
      <c r="AE108" s="34"/>
      <c r="AF108" s="34"/>
    </row>
    <row r="109" spans="1:32" x14ac:dyDescent="0.2">
      <c r="A109" s="33">
        <f>+A108+1</f>
        <v>68</v>
      </c>
      <c r="B109" s="33">
        <v>808</v>
      </c>
      <c r="F109" s="20" t="s">
        <v>339</v>
      </c>
      <c r="G109" s="34">
        <v>-22349.75</v>
      </c>
      <c r="H109" s="26">
        <f>SUM(K109:AF109)</f>
        <v>0</v>
      </c>
      <c r="I109" s="34">
        <f>G109+H109</f>
        <v>-22349.75</v>
      </c>
      <c r="K109" s="34"/>
      <c r="L109" s="34"/>
      <c r="M109" s="34"/>
      <c r="N109" s="34"/>
      <c r="O109" s="34"/>
      <c r="P109" s="34"/>
      <c r="Q109" s="34"/>
      <c r="R109" s="34"/>
      <c r="S109" s="34"/>
      <c r="T109" s="34"/>
      <c r="U109" s="34"/>
      <c r="V109" s="34"/>
      <c r="W109" s="34"/>
      <c r="X109" s="34"/>
      <c r="Y109" s="34"/>
      <c r="Z109" s="34"/>
      <c r="AA109" s="34"/>
      <c r="AB109" s="34"/>
      <c r="AC109" s="34"/>
      <c r="AD109" s="34"/>
      <c r="AE109" s="34"/>
      <c r="AF109" s="34"/>
    </row>
    <row r="110" spans="1:32" x14ac:dyDescent="0.2">
      <c r="A110" s="33">
        <f t="shared" ref="A110:A112" si="92">+A109+1</f>
        <v>69</v>
      </c>
      <c r="B110" s="33">
        <v>812</v>
      </c>
      <c r="F110" s="20" t="s">
        <v>340</v>
      </c>
      <c r="G110" s="34">
        <v>0</v>
      </c>
      <c r="H110" s="26">
        <f>SUM(K110:AF110)</f>
        <v>0</v>
      </c>
      <c r="I110" s="34">
        <f>G110+H110</f>
        <v>0</v>
      </c>
      <c r="K110" s="34"/>
      <c r="L110" s="34"/>
      <c r="M110" s="34"/>
      <c r="N110" s="34"/>
      <c r="O110" s="34"/>
      <c r="P110" s="34"/>
      <c r="Q110" s="34"/>
      <c r="R110" s="34"/>
      <c r="S110" s="34"/>
      <c r="T110" s="34"/>
      <c r="U110" s="34"/>
      <c r="V110" s="34"/>
      <c r="W110" s="34"/>
      <c r="X110" s="34"/>
      <c r="Y110" s="34"/>
      <c r="Z110" s="34"/>
      <c r="AA110" s="34"/>
      <c r="AB110" s="34"/>
      <c r="AC110" s="34"/>
      <c r="AD110" s="34"/>
      <c r="AE110" s="34"/>
      <c r="AF110" s="34"/>
    </row>
    <row r="111" spans="1:32" x14ac:dyDescent="0.2">
      <c r="A111" s="35">
        <f t="shared" si="92"/>
        <v>70</v>
      </c>
      <c r="B111" s="35">
        <v>813</v>
      </c>
      <c r="C111" s="23"/>
      <c r="D111" s="23"/>
      <c r="E111" s="23"/>
      <c r="F111" s="23" t="s">
        <v>65</v>
      </c>
      <c r="G111" s="9">
        <v>271662.61</v>
      </c>
      <c r="H111" s="246">
        <f>SUM(K111:AF111)</f>
        <v>-77742.00452399315</v>
      </c>
      <c r="I111" s="9">
        <f>G111+H111</f>
        <v>193920.60547600684</v>
      </c>
      <c r="K111" s="9"/>
      <c r="L111" s="9"/>
      <c r="M111" s="9"/>
      <c r="N111" s="9"/>
      <c r="O111" s="9"/>
      <c r="P111" s="9"/>
      <c r="Q111" s="9">
        <v>3692.0486150390134</v>
      </c>
      <c r="R111" s="9"/>
      <c r="S111" s="9"/>
      <c r="T111" s="9"/>
      <c r="U111" s="9"/>
      <c r="V111" s="9"/>
      <c r="W111" s="9"/>
      <c r="X111" s="9"/>
      <c r="Y111" s="9"/>
      <c r="Z111" s="9"/>
      <c r="AA111" s="9"/>
      <c r="AB111" s="9"/>
      <c r="AC111" s="9"/>
      <c r="AD111" s="9"/>
      <c r="AE111" s="9">
        <v>-81434.053139032156</v>
      </c>
      <c r="AF111" s="9"/>
    </row>
    <row r="112" spans="1:32" x14ac:dyDescent="0.2">
      <c r="A112" s="33">
        <f t="shared" si="92"/>
        <v>71</v>
      </c>
      <c r="B112" s="33"/>
      <c r="C112" s="20" t="s">
        <v>108</v>
      </c>
      <c r="G112" s="34">
        <f>SUM(G97:G111)</f>
        <v>67431980.140000001</v>
      </c>
      <c r="H112" s="34">
        <f>SUM(H97:H111)</f>
        <v>-67238059.534523949</v>
      </c>
      <c r="I112" s="34">
        <f>SUM(I97:I111)</f>
        <v>193920.60547605154</v>
      </c>
      <c r="K112" s="34">
        <f>SUM(K97:K111)</f>
        <v>0</v>
      </c>
      <c r="L112" s="34">
        <f t="shared" ref="L112:O112" si="93">SUM(L97:L111)</f>
        <v>0</v>
      </c>
      <c r="M112" s="34">
        <f t="shared" si="93"/>
        <v>0</v>
      </c>
      <c r="N112" s="34">
        <f>SUM(N97:N111)</f>
        <v>0</v>
      </c>
      <c r="O112" s="34">
        <f t="shared" si="93"/>
        <v>0</v>
      </c>
      <c r="P112" s="34">
        <f t="shared" ref="P112" si="94">SUM(P97:P111)</f>
        <v>0</v>
      </c>
      <c r="Q112" s="34">
        <f t="shared" ref="Q112:AE112" si="95">SUM(Q97:Q111)</f>
        <v>3692.0486150390134</v>
      </c>
      <c r="R112" s="34">
        <f t="shared" si="95"/>
        <v>0</v>
      </c>
      <c r="S112" s="34">
        <f t="shared" si="95"/>
        <v>0</v>
      </c>
      <c r="T112" s="34">
        <f t="shared" si="95"/>
        <v>0</v>
      </c>
      <c r="U112" s="34">
        <f t="shared" si="95"/>
        <v>0</v>
      </c>
      <c r="V112" s="34">
        <f t="shared" si="95"/>
        <v>0</v>
      </c>
      <c r="W112" s="34">
        <f>SUM(W97:W111)</f>
        <v>0</v>
      </c>
      <c r="X112" s="34">
        <f t="shared" si="95"/>
        <v>0</v>
      </c>
      <c r="Y112" s="34">
        <f t="shared" si="95"/>
        <v>0</v>
      </c>
      <c r="Z112" s="34">
        <f t="shared" si="95"/>
        <v>0</v>
      </c>
      <c r="AA112" s="34">
        <f t="shared" si="95"/>
        <v>-56953216.749999955</v>
      </c>
      <c r="AB112" s="34">
        <f t="shared" si="95"/>
        <v>0</v>
      </c>
      <c r="AC112" s="34">
        <f t="shared" si="95"/>
        <v>-10207100.779999999</v>
      </c>
      <c r="AD112" s="34">
        <f t="shared" ref="AD112" si="96">SUM(AD97:AD111)</f>
        <v>0</v>
      </c>
      <c r="AE112" s="34">
        <f t="shared" si="95"/>
        <v>-81434.053139032156</v>
      </c>
      <c r="AF112" s="34">
        <f t="shared" ref="AF112" si="97">SUM(AF97:AF111)</f>
        <v>0</v>
      </c>
    </row>
    <row r="113" spans="1:32" x14ac:dyDescent="0.2">
      <c r="A113" s="33"/>
      <c r="B113" s="33"/>
      <c r="G113" s="26"/>
      <c r="H113" s="26"/>
      <c r="K113" s="26"/>
      <c r="L113" s="26"/>
      <c r="M113" s="26"/>
      <c r="N113" s="26"/>
      <c r="O113" s="26"/>
      <c r="P113" s="26"/>
      <c r="Q113" s="26"/>
      <c r="R113" s="26"/>
      <c r="S113" s="26"/>
      <c r="T113" s="26"/>
      <c r="U113" s="26"/>
      <c r="V113" s="26"/>
      <c r="W113" s="26"/>
      <c r="X113" s="26"/>
      <c r="Y113" s="26"/>
      <c r="Z113" s="26"/>
      <c r="AA113" s="26"/>
      <c r="AB113" s="26"/>
      <c r="AC113" s="26"/>
      <c r="AD113" s="26"/>
      <c r="AE113" s="26"/>
      <c r="AF113" s="26"/>
    </row>
    <row r="114" spans="1:32" x14ac:dyDescent="0.2">
      <c r="A114" s="33"/>
      <c r="B114" s="33"/>
      <c r="C114" s="20" t="s">
        <v>342</v>
      </c>
      <c r="G114" s="26"/>
      <c r="H114" s="26"/>
    </row>
    <row r="115" spans="1:32" x14ac:dyDescent="0.2">
      <c r="A115" s="33"/>
      <c r="B115" s="33"/>
      <c r="E115" s="20" t="s">
        <v>89</v>
      </c>
      <c r="G115" s="26"/>
    </row>
    <row r="116" spans="1:32" x14ac:dyDescent="0.2">
      <c r="A116" s="33">
        <f>+A112+1</f>
        <v>72</v>
      </c>
      <c r="B116" s="14">
        <v>840</v>
      </c>
      <c r="C116"/>
      <c r="D116"/>
      <c r="E116"/>
      <c r="F116" t="s">
        <v>105</v>
      </c>
      <c r="G116" s="34">
        <v>119738.67</v>
      </c>
      <c r="H116" s="26">
        <f>SUM(K116:AF116)</f>
        <v>2443.6056533917772</v>
      </c>
      <c r="I116" s="34">
        <f t="shared" ref="I116:I118" si="98">G116+H116</f>
        <v>122182.27565339177</v>
      </c>
      <c r="K116" s="34"/>
      <c r="L116" s="34"/>
      <c r="M116" s="34"/>
      <c r="N116" s="34"/>
      <c r="O116" s="34"/>
      <c r="P116" s="34"/>
      <c r="Q116" s="34">
        <v>2443.6056533917772</v>
      </c>
      <c r="R116" s="34"/>
      <c r="S116" s="34"/>
      <c r="T116" s="34"/>
      <c r="U116" s="34"/>
      <c r="V116" s="34"/>
      <c r="W116" s="34"/>
      <c r="X116" s="34"/>
      <c r="Y116" s="34"/>
      <c r="Z116" s="34"/>
      <c r="AA116" s="34"/>
      <c r="AB116" s="34"/>
      <c r="AC116" s="34"/>
      <c r="AD116" s="34"/>
      <c r="AE116" s="34"/>
      <c r="AF116" s="34"/>
    </row>
    <row r="117" spans="1:32" x14ac:dyDescent="0.2">
      <c r="A117" s="33">
        <f>+A116+1</f>
        <v>73</v>
      </c>
      <c r="B117" s="14">
        <v>841</v>
      </c>
      <c r="C117"/>
      <c r="D117"/>
      <c r="E117"/>
      <c r="F117" t="s">
        <v>343</v>
      </c>
      <c r="G117" s="34">
        <v>160485.56</v>
      </c>
      <c r="H117" s="26">
        <f>SUM(K117:AF117)</f>
        <v>2588.8283714828976</v>
      </c>
      <c r="I117" s="34">
        <f t="shared" si="98"/>
        <v>163074.3883714829</v>
      </c>
      <c r="K117" s="34"/>
      <c r="L117" s="34"/>
      <c r="M117" s="34"/>
      <c r="N117" s="34"/>
      <c r="O117" s="34"/>
      <c r="P117" s="34"/>
      <c r="Q117" s="34">
        <v>2588.8283714828976</v>
      </c>
      <c r="R117" s="34"/>
      <c r="S117" s="34"/>
      <c r="T117" s="34"/>
      <c r="U117" s="34"/>
      <c r="V117" s="34"/>
      <c r="W117" s="34"/>
      <c r="X117" s="34"/>
      <c r="Y117" s="34"/>
      <c r="Z117" s="34"/>
      <c r="AA117" s="34"/>
      <c r="AB117" s="34"/>
      <c r="AC117" s="34"/>
      <c r="AD117" s="34"/>
      <c r="AE117" s="34"/>
      <c r="AF117" s="34"/>
    </row>
    <row r="118" spans="1:32" x14ac:dyDescent="0.2">
      <c r="A118" s="33">
        <f>+A117+1</f>
        <v>74</v>
      </c>
      <c r="B118" s="14">
        <v>842</v>
      </c>
      <c r="C118"/>
      <c r="D118"/>
      <c r="E118"/>
      <c r="F118" t="s">
        <v>78</v>
      </c>
      <c r="G118" s="34">
        <v>51561</v>
      </c>
      <c r="H118" s="26">
        <f>SUM(K118:AF118)</f>
        <v>0</v>
      </c>
      <c r="I118" s="34">
        <f t="shared" si="98"/>
        <v>51561</v>
      </c>
      <c r="K118" s="34"/>
      <c r="L118" s="34"/>
      <c r="M118" s="34"/>
      <c r="N118" s="34"/>
      <c r="O118" s="34"/>
      <c r="P118" s="34"/>
      <c r="Q118" s="34"/>
      <c r="R118" s="34"/>
      <c r="S118" s="34"/>
      <c r="T118" s="34"/>
      <c r="U118" s="34"/>
      <c r="V118" s="34"/>
      <c r="W118" s="34"/>
      <c r="X118" s="34"/>
      <c r="Y118" s="34"/>
      <c r="Z118" s="34"/>
      <c r="AA118" s="34"/>
      <c r="AB118" s="34"/>
      <c r="AC118" s="34"/>
      <c r="AD118" s="34"/>
      <c r="AE118" s="34"/>
      <c r="AF118" s="34"/>
    </row>
    <row r="119" spans="1:32" x14ac:dyDescent="0.2">
      <c r="A119" s="33"/>
      <c r="B119" s="33"/>
      <c r="E119" s="20" t="s">
        <v>77</v>
      </c>
      <c r="G119" s="26"/>
      <c r="H119" s="26"/>
      <c r="I119" s="34"/>
    </row>
    <row r="120" spans="1:32" x14ac:dyDescent="0.2">
      <c r="A120" s="33">
        <f>+A118+1</f>
        <v>75</v>
      </c>
      <c r="B120" s="33">
        <v>843.1</v>
      </c>
      <c r="F120" s="20" t="s">
        <v>105</v>
      </c>
      <c r="G120" s="34">
        <v>47875.82</v>
      </c>
      <c r="H120" s="34">
        <f t="shared" ref="H120:H128" si="99">SUM(K120:AF120)</f>
        <v>0.37882249617140595</v>
      </c>
      <c r="I120" s="34">
        <f>G120+H120</f>
        <v>47876.198822496168</v>
      </c>
      <c r="K120" s="34"/>
      <c r="L120" s="34"/>
      <c r="M120" s="34"/>
      <c r="N120" s="34"/>
      <c r="O120" s="34"/>
      <c r="P120" s="34"/>
      <c r="Q120" s="34">
        <v>0.37882249617140595</v>
      </c>
      <c r="R120" s="34"/>
      <c r="S120" s="34"/>
      <c r="T120" s="34"/>
      <c r="U120" s="34"/>
      <c r="V120" s="34"/>
      <c r="W120" s="34"/>
      <c r="X120" s="34"/>
      <c r="Y120" s="34"/>
      <c r="Z120" s="34"/>
      <c r="AA120" s="34"/>
      <c r="AB120" s="34"/>
      <c r="AC120" s="34"/>
      <c r="AD120" s="34"/>
      <c r="AE120" s="34"/>
      <c r="AF120" s="34"/>
    </row>
    <row r="121" spans="1:32" x14ac:dyDescent="0.2">
      <c r="A121" s="33">
        <f>+A120+1</f>
        <v>76</v>
      </c>
      <c r="B121" s="33">
        <v>843.2</v>
      </c>
      <c r="F121" s="20" t="s">
        <v>309</v>
      </c>
      <c r="G121" s="34"/>
      <c r="H121" s="26">
        <f t="shared" si="99"/>
        <v>0</v>
      </c>
      <c r="I121" s="34">
        <f t="shared" ref="I121:I127" si="100">G121+H121</f>
        <v>0</v>
      </c>
      <c r="K121" s="34"/>
      <c r="L121" s="34"/>
      <c r="M121" s="34"/>
      <c r="N121" s="34"/>
      <c r="O121" s="34"/>
      <c r="P121" s="34"/>
      <c r="Q121" s="34"/>
      <c r="R121" s="34"/>
      <c r="S121" s="34"/>
      <c r="T121" s="34"/>
      <c r="U121" s="34"/>
      <c r="V121" s="34"/>
      <c r="W121" s="34"/>
      <c r="X121" s="34"/>
      <c r="Y121" s="34"/>
      <c r="Z121" s="34"/>
      <c r="AA121" s="34"/>
      <c r="AB121" s="34"/>
      <c r="AC121" s="34"/>
      <c r="AD121" s="34"/>
      <c r="AE121" s="34"/>
      <c r="AF121" s="34"/>
    </row>
    <row r="122" spans="1:32" x14ac:dyDescent="0.2">
      <c r="A122" s="33">
        <f>+A121+1</f>
        <v>77</v>
      </c>
      <c r="B122" s="33">
        <v>843.3</v>
      </c>
      <c r="F122" s="20" t="s">
        <v>313</v>
      </c>
      <c r="G122" s="34"/>
      <c r="H122" s="26">
        <f t="shared" si="99"/>
        <v>0</v>
      </c>
      <c r="I122" s="34">
        <f t="shared" si="100"/>
        <v>0</v>
      </c>
      <c r="K122" s="34"/>
      <c r="L122" s="34"/>
      <c r="M122" s="34"/>
      <c r="N122" s="34"/>
      <c r="O122" s="34"/>
      <c r="P122" s="34"/>
      <c r="Q122" s="34"/>
      <c r="R122" s="34"/>
      <c r="S122" s="34"/>
      <c r="T122" s="34"/>
      <c r="U122" s="34"/>
      <c r="V122" s="34"/>
      <c r="W122" s="34"/>
      <c r="X122" s="34"/>
      <c r="Y122" s="34"/>
      <c r="Z122" s="34"/>
      <c r="AA122" s="34"/>
      <c r="AB122" s="34"/>
      <c r="AC122" s="34"/>
      <c r="AD122" s="34"/>
      <c r="AE122" s="34"/>
      <c r="AF122" s="34"/>
    </row>
    <row r="123" spans="1:32" x14ac:dyDescent="0.2">
      <c r="A123" s="33">
        <f>+A122+1</f>
        <v>78</v>
      </c>
      <c r="B123" s="33">
        <v>843.4</v>
      </c>
      <c r="F123" s="20" t="s">
        <v>314</v>
      </c>
      <c r="G123" s="34"/>
      <c r="H123" s="26">
        <f t="shared" si="99"/>
        <v>0</v>
      </c>
      <c r="I123" s="34">
        <f t="shared" si="100"/>
        <v>0</v>
      </c>
      <c r="K123" s="34"/>
      <c r="L123" s="34"/>
      <c r="M123" s="34"/>
      <c r="N123" s="34"/>
      <c r="O123" s="34"/>
      <c r="P123" s="34"/>
      <c r="Q123" s="34"/>
      <c r="R123" s="34"/>
      <c r="S123" s="34"/>
      <c r="T123" s="34"/>
      <c r="U123" s="34"/>
      <c r="V123" s="34"/>
      <c r="W123" s="34"/>
      <c r="X123" s="34"/>
      <c r="Y123" s="34"/>
      <c r="Z123" s="34"/>
      <c r="AA123" s="34"/>
      <c r="AB123" s="34"/>
      <c r="AC123" s="34"/>
      <c r="AD123" s="34"/>
      <c r="AE123" s="34"/>
      <c r="AF123" s="34"/>
    </row>
    <row r="124" spans="1:32" x14ac:dyDescent="0.2">
      <c r="A124" s="33">
        <f t="shared" ref="A124:A129" si="101">A123+1</f>
        <v>79</v>
      </c>
      <c r="B124" s="33">
        <v>843.5</v>
      </c>
      <c r="F124" s="20" t="s">
        <v>317</v>
      </c>
      <c r="G124" s="34"/>
      <c r="H124" s="26">
        <f t="shared" si="99"/>
        <v>0</v>
      </c>
      <c r="I124" s="34">
        <f t="shared" si="100"/>
        <v>0</v>
      </c>
      <c r="K124" s="34"/>
      <c r="L124" s="34"/>
      <c r="M124" s="34"/>
      <c r="N124" s="34"/>
      <c r="O124" s="34"/>
      <c r="P124" s="34"/>
      <c r="Q124" s="34"/>
      <c r="R124" s="34"/>
      <c r="S124" s="34"/>
      <c r="T124" s="34"/>
      <c r="U124" s="34"/>
      <c r="V124" s="34"/>
      <c r="W124" s="34"/>
      <c r="X124" s="34"/>
      <c r="Y124" s="34"/>
      <c r="Z124" s="34"/>
      <c r="AA124" s="34"/>
      <c r="AB124" s="34"/>
      <c r="AC124" s="34"/>
      <c r="AD124" s="34"/>
      <c r="AE124" s="34"/>
      <c r="AF124" s="34"/>
    </row>
    <row r="125" spans="1:32" x14ac:dyDescent="0.2">
      <c r="A125" s="33">
        <f t="shared" si="101"/>
        <v>80</v>
      </c>
      <c r="B125" s="33">
        <v>843.6</v>
      </c>
      <c r="F125" s="20" t="s">
        <v>315</v>
      </c>
      <c r="G125" s="34"/>
      <c r="H125" s="26">
        <f t="shared" si="99"/>
        <v>0</v>
      </c>
      <c r="I125" s="34">
        <f t="shared" si="100"/>
        <v>0</v>
      </c>
      <c r="K125" s="34"/>
      <c r="L125" s="34"/>
      <c r="M125" s="34"/>
      <c r="N125" s="34"/>
      <c r="O125" s="34"/>
      <c r="P125" s="34"/>
      <c r="Q125" s="34"/>
      <c r="R125" s="34"/>
      <c r="S125" s="34"/>
      <c r="T125" s="34"/>
      <c r="U125" s="34"/>
      <c r="V125" s="34"/>
      <c r="W125" s="34"/>
      <c r="X125" s="34"/>
      <c r="Y125" s="34"/>
      <c r="Z125" s="34"/>
      <c r="AA125" s="34"/>
      <c r="AB125" s="34"/>
      <c r="AC125" s="34"/>
      <c r="AD125" s="34"/>
      <c r="AE125" s="34"/>
      <c r="AF125" s="34"/>
    </row>
    <row r="126" spans="1:32" x14ac:dyDescent="0.2">
      <c r="A126" s="33">
        <f t="shared" si="101"/>
        <v>81</v>
      </c>
      <c r="B126" s="33">
        <v>843.7</v>
      </c>
      <c r="F126" s="20" t="s">
        <v>316</v>
      </c>
      <c r="G126" s="34"/>
      <c r="H126" s="26">
        <f t="shared" si="99"/>
        <v>0</v>
      </c>
      <c r="I126" s="34">
        <f t="shared" si="100"/>
        <v>0</v>
      </c>
      <c r="K126" s="34"/>
      <c r="L126" s="34"/>
      <c r="M126" s="34"/>
      <c r="N126" s="34"/>
      <c r="O126" s="34"/>
      <c r="P126" s="34"/>
      <c r="Q126" s="34"/>
      <c r="R126" s="34"/>
      <c r="S126" s="34"/>
      <c r="T126" s="34"/>
      <c r="U126" s="34"/>
      <c r="V126" s="34"/>
      <c r="W126" s="34"/>
      <c r="X126" s="34"/>
      <c r="Y126" s="34"/>
      <c r="Z126" s="34"/>
      <c r="AA126" s="34"/>
      <c r="AB126" s="34"/>
      <c r="AC126" s="34"/>
      <c r="AD126" s="34"/>
      <c r="AE126" s="34"/>
      <c r="AF126" s="34"/>
    </row>
    <row r="127" spans="1:32" ht="15" x14ac:dyDescent="0.35">
      <c r="A127" s="33">
        <f t="shared" si="101"/>
        <v>82</v>
      </c>
      <c r="B127" s="33">
        <v>843.8</v>
      </c>
      <c r="F127" s="20" t="s">
        <v>344</v>
      </c>
      <c r="G127" s="34"/>
      <c r="H127" s="26">
        <f t="shared" si="99"/>
        <v>0</v>
      </c>
      <c r="I127" s="34">
        <f t="shared" si="100"/>
        <v>0</v>
      </c>
      <c r="J127" s="250"/>
      <c r="K127" s="34"/>
      <c r="L127" s="34"/>
      <c r="M127" s="34"/>
      <c r="N127" s="34"/>
      <c r="O127" s="34"/>
      <c r="P127" s="34"/>
      <c r="Q127" s="34"/>
      <c r="R127" s="34"/>
      <c r="S127" s="34"/>
      <c r="T127" s="34"/>
      <c r="U127" s="34"/>
      <c r="V127" s="34"/>
      <c r="W127" s="34"/>
      <c r="X127" s="34"/>
      <c r="Y127" s="34"/>
      <c r="Z127" s="34"/>
      <c r="AA127" s="34"/>
      <c r="AB127" s="34"/>
      <c r="AC127" s="34"/>
      <c r="AD127" s="34"/>
      <c r="AE127" s="34"/>
      <c r="AF127" s="34"/>
    </row>
    <row r="128" spans="1:32" ht="15" x14ac:dyDescent="0.35">
      <c r="A128" s="35">
        <f t="shared" si="101"/>
        <v>83</v>
      </c>
      <c r="B128" s="35">
        <v>843.9</v>
      </c>
      <c r="C128" s="23"/>
      <c r="D128" s="23"/>
      <c r="E128" s="23"/>
      <c r="F128" s="23" t="s">
        <v>319</v>
      </c>
      <c r="G128" s="9"/>
      <c r="H128" s="246">
        <f t="shared" si="99"/>
        <v>0</v>
      </c>
      <c r="I128" s="9">
        <f>G128+H128</f>
        <v>0</v>
      </c>
      <c r="J128" s="250"/>
      <c r="K128" s="9"/>
      <c r="L128" s="9"/>
      <c r="M128" s="9"/>
      <c r="N128" s="9"/>
      <c r="O128" s="9"/>
      <c r="P128" s="9"/>
      <c r="Q128" s="9"/>
      <c r="R128" s="9"/>
      <c r="S128" s="9"/>
      <c r="T128" s="9"/>
      <c r="U128" s="9"/>
      <c r="V128" s="9"/>
      <c r="W128" s="9"/>
      <c r="X128" s="9"/>
      <c r="Y128" s="9"/>
      <c r="Z128" s="9"/>
      <c r="AA128" s="9"/>
      <c r="AB128" s="9"/>
      <c r="AC128" s="9"/>
      <c r="AD128" s="9"/>
      <c r="AE128" s="9"/>
      <c r="AF128" s="9"/>
    </row>
    <row r="129" spans="1:32" x14ac:dyDescent="0.2">
      <c r="A129" s="33">
        <f t="shared" si="101"/>
        <v>84</v>
      </c>
      <c r="B129" s="33"/>
      <c r="C129" s="20" t="s">
        <v>345</v>
      </c>
      <c r="G129" s="34">
        <f>SUM(G116:G128)</f>
        <v>379661.05</v>
      </c>
      <c r="H129" s="34">
        <f>SUM(H116:H128)</f>
        <v>5032.8128473708466</v>
      </c>
      <c r="I129" s="34">
        <f>SUM(I116:I128)</f>
        <v>384693.86284737085</v>
      </c>
      <c r="K129" s="34">
        <f>SUM(K116:K128)</f>
        <v>0</v>
      </c>
      <c r="L129" s="34">
        <f t="shared" ref="L129:O129" si="102">SUM(L116:L128)</f>
        <v>0</v>
      </c>
      <c r="M129" s="34">
        <f t="shared" si="102"/>
        <v>0</v>
      </c>
      <c r="N129" s="34">
        <f>SUM(N116:N128)</f>
        <v>0</v>
      </c>
      <c r="O129" s="34">
        <f t="shared" si="102"/>
        <v>0</v>
      </c>
      <c r="P129" s="34">
        <f t="shared" ref="P129" si="103">SUM(P116:P128)</f>
        <v>0</v>
      </c>
      <c r="Q129" s="34">
        <f t="shared" ref="Q129:AE129" si="104">SUM(Q116:Q128)</f>
        <v>5032.8128473708466</v>
      </c>
      <c r="R129" s="34">
        <f t="shared" si="104"/>
        <v>0</v>
      </c>
      <c r="S129" s="34">
        <f t="shared" si="104"/>
        <v>0</v>
      </c>
      <c r="T129" s="34">
        <f t="shared" si="104"/>
        <v>0</v>
      </c>
      <c r="U129" s="34">
        <f t="shared" si="104"/>
        <v>0</v>
      </c>
      <c r="V129" s="34">
        <f t="shared" si="104"/>
        <v>0</v>
      </c>
      <c r="W129" s="34">
        <f>SUM(W116:W128)</f>
        <v>0</v>
      </c>
      <c r="X129" s="34">
        <f t="shared" si="104"/>
        <v>0</v>
      </c>
      <c r="Y129" s="34">
        <f t="shared" si="104"/>
        <v>0</v>
      </c>
      <c r="Z129" s="34">
        <f t="shared" si="104"/>
        <v>0</v>
      </c>
      <c r="AA129" s="34">
        <f t="shared" si="104"/>
        <v>0</v>
      </c>
      <c r="AB129" s="34">
        <f t="shared" si="104"/>
        <v>0</v>
      </c>
      <c r="AC129" s="34">
        <f t="shared" si="104"/>
        <v>0</v>
      </c>
      <c r="AD129" s="34">
        <f t="shared" ref="AD129" si="105">SUM(AD116:AD128)</f>
        <v>0</v>
      </c>
      <c r="AE129" s="34">
        <f t="shared" si="104"/>
        <v>0</v>
      </c>
      <c r="AF129" s="34">
        <f t="shared" ref="AF129" si="106">SUM(AF116:AF128)</f>
        <v>0</v>
      </c>
    </row>
    <row r="130" spans="1:32" x14ac:dyDescent="0.2">
      <c r="A130" s="33"/>
      <c r="B130" s="33"/>
      <c r="G130" s="26"/>
    </row>
    <row r="131" spans="1:32" x14ac:dyDescent="0.2">
      <c r="A131" s="33"/>
      <c r="B131" s="33"/>
      <c r="C131" s="20" t="s">
        <v>107</v>
      </c>
      <c r="G131" s="26"/>
    </row>
    <row r="132" spans="1:32" x14ac:dyDescent="0.2">
      <c r="A132" s="33"/>
      <c r="B132" s="33"/>
      <c r="E132" s="20" t="s">
        <v>89</v>
      </c>
      <c r="G132" s="26"/>
    </row>
    <row r="133" spans="1:32" x14ac:dyDescent="0.2">
      <c r="A133" s="33">
        <f>+A129+1</f>
        <v>85</v>
      </c>
      <c r="B133" s="33">
        <v>870</v>
      </c>
      <c r="F133" s="20" t="s">
        <v>105</v>
      </c>
      <c r="G133" s="34">
        <v>985268.54</v>
      </c>
      <c r="H133" s="26">
        <f t="shared" ref="H133:H142" si="107">SUM(K133:AF133)</f>
        <v>18606.000601516076</v>
      </c>
      <c r="I133" s="34">
        <f t="shared" ref="I133:I142" si="108">G133+H133</f>
        <v>1003874.5406015161</v>
      </c>
      <c r="K133" s="34"/>
      <c r="L133" s="34"/>
      <c r="M133" s="34"/>
      <c r="N133" s="34"/>
      <c r="O133" s="34"/>
      <c r="P133" s="34"/>
      <c r="Q133" s="34">
        <v>18606.000601516076</v>
      </c>
      <c r="R133" s="34"/>
      <c r="S133" s="34"/>
      <c r="T133" s="34"/>
      <c r="U133" s="34"/>
      <c r="V133" s="34"/>
      <c r="W133" s="34"/>
      <c r="X133" s="34"/>
      <c r="Y133" s="34"/>
      <c r="Z133" s="34"/>
      <c r="AA133" s="34"/>
      <c r="AB133" s="34"/>
      <c r="AC133" s="34"/>
      <c r="AD133" s="34"/>
      <c r="AE133" s="34"/>
      <c r="AF133" s="34"/>
    </row>
    <row r="134" spans="1:32" x14ac:dyDescent="0.2">
      <c r="A134" s="33">
        <f>+A133+1</f>
        <v>86</v>
      </c>
      <c r="B134" s="33">
        <v>871</v>
      </c>
      <c r="F134" s="20" t="s">
        <v>106</v>
      </c>
      <c r="G134" s="34">
        <v>148203.6</v>
      </c>
      <c r="H134" s="26">
        <f t="shared" si="107"/>
        <v>-41998.039913953515</v>
      </c>
      <c r="I134" s="34">
        <f t="shared" si="108"/>
        <v>106205.56008604649</v>
      </c>
      <c r="K134" s="34"/>
      <c r="L134" s="34"/>
      <c r="M134" s="34"/>
      <c r="N134" s="34"/>
      <c r="O134" s="34"/>
      <c r="P134" s="34"/>
      <c r="Q134" s="34">
        <v>2644.0027538664508</v>
      </c>
      <c r="R134" s="34"/>
      <c r="S134" s="34"/>
      <c r="T134" s="34"/>
      <c r="U134" s="34"/>
      <c r="V134" s="34"/>
      <c r="W134" s="34"/>
      <c r="X134" s="34"/>
      <c r="Y134" s="34"/>
      <c r="Z134" s="34"/>
      <c r="AA134" s="34"/>
      <c r="AB134" s="34"/>
      <c r="AC134" s="34"/>
      <c r="AD134" s="34"/>
      <c r="AE134" s="34">
        <v>-44642.042667819966</v>
      </c>
      <c r="AF134" s="34"/>
    </row>
    <row r="135" spans="1:32" x14ac:dyDescent="0.2">
      <c r="A135" s="33">
        <f t="shared" ref="A135:A142" si="109">+A134+1</f>
        <v>87</v>
      </c>
      <c r="B135" s="33">
        <v>874</v>
      </c>
      <c r="F135" s="20" t="s">
        <v>346</v>
      </c>
      <c r="G135" s="34">
        <v>3111308.15</v>
      </c>
      <c r="H135" s="26">
        <f t="shared" si="107"/>
        <v>38386.997167774629</v>
      </c>
      <c r="I135" s="34">
        <f t="shared" si="108"/>
        <v>3149695.1471677744</v>
      </c>
      <c r="K135" s="34"/>
      <c r="L135" s="34"/>
      <c r="M135" s="34"/>
      <c r="N135" s="34"/>
      <c r="O135" s="34"/>
      <c r="P135" s="34"/>
      <c r="Q135" s="34">
        <v>38386.997167774629</v>
      </c>
      <c r="R135" s="34"/>
      <c r="S135" s="34"/>
      <c r="T135" s="34"/>
      <c r="U135" s="34"/>
      <c r="V135" s="34"/>
      <c r="W135" s="34"/>
      <c r="X135" s="34"/>
      <c r="Y135" s="34"/>
      <c r="Z135" s="34"/>
      <c r="AA135" s="34"/>
      <c r="AB135" s="34"/>
      <c r="AC135" s="34"/>
      <c r="AD135" s="34"/>
      <c r="AE135" s="34"/>
      <c r="AF135" s="34"/>
    </row>
    <row r="136" spans="1:32" x14ac:dyDescent="0.2">
      <c r="A136" s="33">
        <f t="shared" si="109"/>
        <v>88</v>
      </c>
      <c r="B136" s="33">
        <v>875</v>
      </c>
      <c r="F136" s="20" t="s">
        <v>347</v>
      </c>
      <c r="G136" s="34">
        <v>281686.92</v>
      </c>
      <c r="H136" s="26">
        <f t="shared" si="107"/>
        <v>2254.8851992696809</v>
      </c>
      <c r="I136" s="34">
        <f t="shared" si="108"/>
        <v>283941.80519926967</v>
      </c>
      <c r="K136" s="34"/>
      <c r="L136" s="34"/>
      <c r="M136" s="34"/>
      <c r="N136" s="34"/>
      <c r="O136" s="34"/>
      <c r="P136" s="34"/>
      <c r="Q136" s="34">
        <v>2254.8851992696809</v>
      </c>
      <c r="R136" s="34"/>
      <c r="S136" s="34"/>
      <c r="T136" s="34"/>
      <c r="U136" s="34"/>
      <c r="V136" s="34"/>
      <c r="W136" s="34"/>
      <c r="X136" s="34"/>
      <c r="Y136" s="34"/>
      <c r="Z136" s="34"/>
      <c r="AA136" s="34"/>
      <c r="AB136" s="34"/>
      <c r="AC136" s="34"/>
      <c r="AD136" s="34"/>
      <c r="AE136" s="34"/>
      <c r="AF136" s="34"/>
    </row>
    <row r="137" spans="1:32" x14ac:dyDescent="0.2">
      <c r="A137" s="33">
        <f t="shared" si="109"/>
        <v>89</v>
      </c>
      <c r="B137" s="33">
        <v>876</v>
      </c>
      <c r="F137" s="20" t="s">
        <v>348</v>
      </c>
      <c r="G137" s="34">
        <v>0</v>
      </c>
      <c r="H137" s="26">
        <f t="shared" si="107"/>
        <v>0</v>
      </c>
      <c r="I137" s="34">
        <f t="shared" si="108"/>
        <v>0</v>
      </c>
      <c r="K137" s="34"/>
      <c r="L137" s="34"/>
      <c r="M137" s="34"/>
      <c r="N137" s="34"/>
      <c r="O137" s="34"/>
      <c r="P137" s="34"/>
      <c r="Q137" s="34"/>
      <c r="R137" s="34"/>
      <c r="S137" s="34"/>
      <c r="T137" s="34"/>
      <c r="U137" s="34"/>
      <c r="V137" s="34"/>
      <c r="W137" s="34"/>
      <c r="X137" s="34"/>
      <c r="Y137" s="34"/>
      <c r="Z137" s="34"/>
      <c r="AA137" s="34"/>
      <c r="AB137" s="34"/>
      <c r="AC137" s="34"/>
      <c r="AD137" s="34"/>
      <c r="AE137" s="34"/>
      <c r="AF137" s="34"/>
    </row>
    <row r="138" spans="1:32" x14ac:dyDescent="0.2">
      <c r="A138" s="33">
        <f t="shared" si="109"/>
        <v>90</v>
      </c>
      <c r="B138" s="33">
        <v>877</v>
      </c>
      <c r="F138" s="20" t="s">
        <v>349</v>
      </c>
      <c r="G138" s="34">
        <v>5190.2299999999996</v>
      </c>
      <c r="H138" s="26">
        <f t="shared" si="107"/>
        <v>0</v>
      </c>
      <c r="I138" s="34">
        <f t="shared" si="108"/>
        <v>5190.2299999999996</v>
      </c>
      <c r="K138" s="34"/>
      <c r="L138" s="34"/>
      <c r="M138" s="34"/>
      <c r="N138" s="34"/>
      <c r="O138" s="34"/>
      <c r="P138" s="34"/>
      <c r="Q138" s="34">
        <v>0</v>
      </c>
      <c r="R138" s="34"/>
      <c r="S138" s="34"/>
      <c r="T138" s="34"/>
      <c r="U138" s="34"/>
      <c r="V138" s="34"/>
      <c r="W138" s="34"/>
      <c r="X138" s="34"/>
      <c r="Y138" s="34"/>
      <c r="Z138" s="34"/>
      <c r="AA138" s="34"/>
      <c r="AB138" s="34"/>
      <c r="AC138" s="34"/>
      <c r="AD138" s="34"/>
      <c r="AE138" s="34"/>
      <c r="AF138" s="34"/>
    </row>
    <row r="139" spans="1:32" x14ac:dyDescent="0.2">
      <c r="A139" s="33">
        <f t="shared" si="109"/>
        <v>91</v>
      </c>
      <c r="B139" s="33">
        <v>878</v>
      </c>
      <c r="F139" s="20" t="s">
        <v>350</v>
      </c>
      <c r="G139" s="34">
        <v>480763.51</v>
      </c>
      <c r="H139" s="26">
        <f t="shared" si="107"/>
        <v>38872.491622132657</v>
      </c>
      <c r="I139" s="34">
        <f t="shared" si="108"/>
        <v>519636.00162213267</v>
      </c>
      <c r="K139" s="34"/>
      <c r="L139" s="34"/>
      <c r="M139" s="34"/>
      <c r="N139" s="34"/>
      <c r="O139" s="34"/>
      <c r="P139" s="34"/>
      <c r="Q139" s="34">
        <v>38872.491622132657</v>
      </c>
      <c r="R139" s="34"/>
      <c r="S139" s="34"/>
      <c r="T139" s="34"/>
      <c r="U139" s="34"/>
      <c r="V139" s="34"/>
      <c r="W139" s="34"/>
      <c r="X139" s="34"/>
      <c r="Y139" s="34"/>
      <c r="Z139" s="34"/>
      <c r="AA139" s="34"/>
      <c r="AB139" s="34"/>
      <c r="AC139" s="34"/>
      <c r="AD139" s="34"/>
      <c r="AE139" s="34"/>
      <c r="AF139" s="34"/>
    </row>
    <row r="140" spans="1:32" x14ac:dyDescent="0.2">
      <c r="A140" s="33">
        <f t="shared" si="109"/>
        <v>92</v>
      </c>
      <c r="B140" s="33">
        <v>879</v>
      </c>
      <c r="F140" s="20" t="s">
        <v>351</v>
      </c>
      <c r="G140" s="34">
        <v>235409.54</v>
      </c>
      <c r="H140" s="26">
        <f t="shared" si="107"/>
        <v>4414.953356115283</v>
      </c>
      <c r="I140" s="34">
        <f t="shared" si="108"/>
        <v>239824.4933561153</v>
      </c>
      <c r="K140" s="34"/>
      <c r="L140" s="34"/>
      <c r="M140" s="34"/>
      <c r="N140" s="34"/>
      <c r="O140" s="34"/>
      <c r="P140" s="34"/>
      <c r="Q140" s="34">
        <v>4414.953356115283</v>
      </c>
      <c r="R140" s="34"/>
      <c r="S140" s="34"/>
      <c r="T140" s="34"/>
      <c r="U140" s="34"/>
      <c r="V140" s="34"/>
      <c r="W140" s="34"/>
      <c r="X140" s="34"/>
      <c r="Y140" s="34"/>
      <c r="Z140" s="34"/>
      <c r="AA140" s="34"/>
      <c r="AB140" s="34"/>
      <c r="AC140" s="34"/>
      <c r="AD140" s="34"/>
      <c r="AE140" s="34"/>
      <c r="AF140" s="34"/>
    </row>
    <row r="141" spans="1:32" x14ac:dyDescent="0.2">
      <c r="A141" s="33">
        <f t="shared" si="109"/>
        <v>93</v>
      </c>
      <c r="B141" s="33">
        <v>880</v>
      </c>
      <c r="F141" s="20" t="s">
        <v>65</v>
      </c>
      <c r="G141" s="34">
        <v>1448024.53</v>
      </c>
      <c r="H141" s="26">
        <f t="shared" si="107"/>
        <v>4630.3028033506043</v>
      </c>
      <c r="I141" s="34">
        <f t="shared" si="108"/>
        <v>1452654.8328033506</v>
      </c>
      <c r="K141" s="34"/>
      <c r="L141" s="34"/>
      <c r="M141" s="34"/>
      <c r="N141" s="34"/>
      <c r="O141" s="34"/>
      <c r="P141" s="34"/>
      <c r="Q141" s="34">
        <v>4630.3028033506043</v>
      </c>
      <c r="R141" s="34"/>
      <c r="S141" s="34"/>
      <c r="T141" s="34"/>
      <c r="U141" s="34"/>
      <c r="V141" s="34"/>
      <c r="W141" s="34"/>
      <c r="X141" s="34"/>
      <c r="Y141" s="34"/>
      <c r="Z141" s="34"/>
      <c r="AA141" s="34"/>
      <c r="AB141" s="34"/>
      <c r="AC141" s="34"/>
      <c r="AD141" s="34"/>
      <c r="AE141" s="34"/>
      <c r="AF141" s="34"/>
    </row>
    <row r="142" spans="1:32" x14ac:dyDescent="0.2">
      <c r="A142" s="33">
        <f t="shared" si="109"/>
        <v>94</v>
      </c>
      <c r="B142" s="33">
        <v>881</v>
      </c>
      <c r="F142" s="20" t="s">
        <v>78</v>
      </c>
      <c r="G142" s="34">
        <v>11910</v>
      </c>
      <c r="H142" s="26">
        <f t="shared" si="107"/>
        <v>0</v>
      </c>
      <c r="I142" s="34">
        <f t="shared" si="108"/>
        <v>11910</v>
      </c>
      <c r="K142" s="34"/>
      <c r="L142" s="34"/>
      <c r="M142" s="34"/>
      <c r="N142" s="34"/>
      <c r="O142" s="34"/>
      <c r="P142" s="34"/>
      <c r="Q142" s="34"/>
      <c r="R142" s="34"/>
      <c r="S142" s="34"/>
      <c r="T142" s="34"/>
      <c r="U142" s="34"/>
      <c r="V142" s="34"/>
      <c r="W142" s="34"/>
      <c r="X142" s="34"/>
      <c r="Y142" s="34"/>
      <c r="Z142" s="34"/>
      <c r="AA142" s="34"/>
      <c r="AB142" s="34"/>
      <c r="AC142" s="34"/>
      <c r="AD142" s="34"/>
      <c r="AE142" s="34"/>
      <c r="AF142" s="34"/>
    </row>
    <row r="143" spans="1:32" x14ac:dyDescent="0.2">
      <c r="A143" s="33"/>
      <c r="B143" s="33"/>
      <c r="E143" s="20" t="s">
        <v>77</v>
      </c>
      <c r="G143" s="26"/>
      <c r="H143" s="26"/>
      <c r="I143" s="34"/>
    </row>
    <row r="144" spans="1:32" x14ac:dyDescent="0.2">
      <c r="A144" s="33">
        <f>+A142+1</f>
        <v>95</v>
      </c>
      <c r="B144" s="33">
        <v>885</v>
      </c>
      <c r="F144" s="20" t="s">
        <v>105</v>
      </c>
      <c r="G144" s="34">
        <v>0</v>
      </c>
      <c r="H144" s="26">
        <f t="shared" ref="H144:H152" si="110">SUM(K144:AF144)</f>
        <v>0</v>
      </c>
      <c r="I144" s="34">
        <f t="shared" ref="I144:I152" si="111">G144+H144</f>
        <v>0</v>
      </c>
      <c r="K144" s="34"/>
      <c r="L144" s="34"/>
      <c r="M144" s="34"/>
      <c r="N144" s="34"/>
      <c r="O144" s="34"/>
      <c r="P144" s="34"/>
      <c r="Q144" s="34"/>
      <c r="R144" s="34"/>
      <c r="S144" s="34"/>
      <c r="T144" s="34"/>
      <c r="U144" s="34"/>
      <c r="V144" s="34"/>
      <c r="W144" s="34"/>
      <c r="X144" s="34"/>
      <c r="Y144" s="34"/>
      <c r="Z144" s="34"/>
      <c r="AA144" s="34"/>
      <c r="AB144" s="34"/>
      <c r="AC144" s="34"/>
      <c r="AD144" s="34"/>
      <c r="AE144" s="34"/>
      <c r="AF144" s="34"/>
    </row>
    <row r="145" spans="1:32" x14ac:dyDescent="0.2">
      <c r="A145" s="33">
        <f>+A144+1</f>
        <v>96</v>
      </c>
      <c r="B145" s="33">
        <v>886</v>
      </c>
      <c r="F145" s="20" t="s">
        <v>335</v>
      </c>
      <c r="G145" s="34">
        <v>2980.64</v>
      </c>
      <c r="H145" s="26">
        <f t="shared" si="110"/>
        <v>54.416737391210205</v>
      </c>
      <c r="I145" s="34">
        <f t="shared" si="111"/>
        <v>3035.0567373912099</v>
      </c>
      <c r="K145" s="34"/>
      <c r="L145" s="34"/>
      <c r="M145" s="34"/>
      <c r="N145" s="34"/>
      <c r="O145" s="34"/>
      <c r="P145" s="34"/>
      <c r="Q145" s="34">
        <v>54.416737391210205</v>
      </c>
      <c r="R145" s="34"/>
      <c r="S145" s="34"/>
      <c r="T145" s="34"/>
      <c r="U145" s="34"/>
      <c r="V145" s="34"/>
      <c r="W145" s="34"/>
      <c r="X145" s="34"/>
      <c r="Y145" s="34"/>
      <c r="Z145" s="34"/>
      <c r="AA145" s="34"/>
      <c r="AB145" s="34"/>
      <c r="AC145" s="34"/>
      <c r="AD145" s="34"/>
      <c r="AE145" s="34"/>
      <c r="AF145" s="34"/>
    </row>
    <row r="146" spans="1:32" x14ac:dyDescent="0.2">
      <c r="A146" s="33">
        <f t="shared" ref="A146:A153" si="112">+A145+1</f>
        <v>97</v>
      </c>
      <c r="B146" s="33">
        <v>887</v>
      </c>
      <c r="F146" s="20" t="s">
        <v>303</v>
      </c>
      <c r="G146" s="34">
        <v>425586.77</v>
      </c>
      <c r="H146" s="26">
        <f t="shared" si="110"/>
        <v>1862.2022564736503</v>
      </c>
      <c r="I146" s="34">
        <f t="shared" si="111"/>
        <v>427448.97225647367</v>
      </c>
      <c r="K146" s="34"/>
      <c r="L146" s="34"/>
      <c r="M146" s="34"/>
      <c r="N146" s="34"/>
      <c r="O146" s="34"/>
      <c r="P146" s="34"/>
      <c r="Q146" s="34">
        <v>1862.2022564736503</v>
      </c>
      <c r="R146" s="34"/>
      <c r="S146" s="34"/>
      <c r="T146" s="34"/>
      <c r="U146" s="34"/>
      <c r="V146" s="34"/>
      <c r="W146" s="34"/>
      <c r="X146" s="34"/>
      <c r="Y146" s="34"/>
      <c r="Z146" s="34"/>
      <c r="AA146" s="34"/>
      <c r="AB146" s="34"/>
      <c r="AC146" s="34"/>
      <c r="AD146" s="34"/>
      <c r="AE146" s="34"/>
      <c r="AF146" s="34"/>
    </row>
    <row r="147" spans="1:32" x14ac:dyDescent="0.2">
      <c r="A147" s="33">
        <f t="shared" si="112"/>
        <v>98</v>
      </c>
      <c r="B147" s="33">
        <v>889</v>
      </c>
      <c r="F147" s="20" t="s">
        <v>347</v>
      </c>
      <c r="G147" s="34">
        <v>125746.51</v>
      </c>
      <c r="H147" s="26">
        <f t="shared" si="110"/>
        <v>114.71636531119988</v>
      </c>
      <c r="I147" s="34">
        <f t="shared" si="111"/>
        <v>125861.22636531119</v>
      </c>
      <c r="K147" s="34"/>
      <c r="L147" s="34"/>
      <c r="M147" s="34"/>
      <c r="N147" s="34"/>
      <c r="O147" s="34"/>
      <c r="P147" s="34"/>
      <c r="Q147" s="34">
        <v>114.71636531119988</v>
      </c>
      <c r="R147" s="34"/>
      <c r="S147" s="34"/>
      <c r="T147" s="34"/>
      <c r="U147" s="34"/>
      <c r="V147" s="34"/>
      <c r="W147" s="34"/>
      <c r="X147" s="34"/>
      <c r="Y147" s="34"/>
      <c r="Z147" s="34"/>
      <c r="AA147" s="34"/>
      <c r="AB147" s="34"/>
      <c r="AC147" s="34"/>
      <c r="AD147" s="34"/>
      <c r="AE147" s="34"/>
      <c r="AF147" s="34"/>
    </row>
    <row r="148" spans="1:32" x14ac:dyDescent="0.2">
      <c r="A148" s="33">
        <f t="shared" si="112"/>
        <v>99</v>
      </c>
      <c r="B148" s="33">
        <v>890</v>
      </c>
      <c r="F148" s="20" t="s">
        <v>348</v>
      </c>
      <c r="G148" s="34">
        <v>0</v>
      </c>
      <c r="H148" s="26">
        <f t="shared" si="110"/>
        <v>0</v>
      </c>
      <c r="I148" s="34">
        <f t="shared" si="111"/>
        <v>0</v>
      </c>
      <c r="K148" s="34"/>
      <c r="L148" s="34"/>
      <c r="M148" s="34"/>
      <c r="N148" s="34"/>
      <c r="O148" s="34"/>
      <c r="P148" s="34"/>
      <c r="Q148" s="34"/>
      <c r="R148" s="34"/>
      <c r="S148" s="34"/>
      <c r="T148" s="34"/>
      <c r="U148" s="34"/>
      <c r="V148" s="34"/>
      <c r="W148" s="34"/>
      <c r="X148" s="34"/>
      <c r="Y148" s="34"/>
      <c r="Z148" s="34"/>
      <c r="AA148" s="34"/>
      <c r="AB148" s="34"/>
      <c r="AC148" s="34"/>
      <c r="AD148" s="34"/>
      <c r="AE148" s="34"/>
      <c r="AF148" s="34"/>
    </row>
    <row r="149" spans="1:32" x14ac:dyDescent="0.2">
      <c r="A149" s="33">
        <f t="shared" si="112"/>
        <v>100</v>
      </c>
      <c r="B149" s="33">
        <v>891</v>
      </c>
      <c r="F149" s="20" t="s">
        <v>349</v>
      </c>
      <c r="G149" s="34">
        <v>0</v>
      </c>
      <c r="H149" s="26">
        <f t="shared" si="110"/>
        <v>0</v>
      </c>
      <c r="I149" s="34">
        <f t="shared" si="111"/>
        <v>0</v>
      </c>
      <c r="K149" s="34"/>
      <c r="L149" s="34"/>
      <c r="M149" s="34"/>
      <c r="N149" s="34"/>
      <c r="O149" s="34"/>
      <c r="P149" s="34"/>
      <c r="Q149" s="34">
        <v>0</v>
      </c>
      <c r="R149" s="34"/>
      <c r="S149" s="34"/>
      <c r="T149" s="34"/>
      <c r="U149" s="34"/>
      <c r="V149" s="34"/>
      <c r="W149" s="34"/>
      <c r="X149" s="34"/>
      <c r="Y149" s="34"/>
      <c r="Z149" s="34"/>
      <c r="AA149" s="34"/>
      <c r="AB149" s="34"/>
      <c r="AC149" s="34"/>
      <c r="AD149" s="34"/>
      <c r="AE149" s="34"/>
      <c r="AF149" s="34"/>
    </row>
    <row r="150" spans="1:32" x14ac:dyDescent="0.2">
      <c r="A150" s="33">
        <f t="shared" si="112"/>
        <v>101</v>
      </c>
      <c r="B150" s="33">
        <v>892</v>
      </c>
      <c r="F150" s="20" t="s">
        <v>19</v>
      </c>
      <c r="G150" s="34">
        <v>343590.9</v>
      </c>
      <c r="H150" s="26">
        <f t="shared" si="110"/>
        <v>80.934312123208628</v>
      </c>
      <c r="I150" s="34">
        <f t="shared" si="111"/>
        <v>343671.83431212325</v>
      </c>
      <c r="K150" s="34"/>
      <c r="L150" s="34"/>
      <c r="M150" s="34"/>
      <c r="N150" s="34"/>
      <c r="O150" s="34"/>
      <c r="P150" s="34"/>
      <c r="Q150" s="34">
        <v>80.934312123208628</v>
      </c>
      <c r="R150" s="34"/>
      <c r="S150" s="34"/>
      <c r="T150" s="34"/>
      <c r="U150" s="34"/>
      <c r="V150" s="34"/>
      <c r="W150" s="34"/>
      <c r="X150" s="34"/>
      <c r="Y150" s="34"/>
      <c r="Z150" s="34"/>
      <c r="AA150" s="34"/>
      <c r="AB150" s="34"/>
      <c r="AC150" s="34"/>
      <c r="AD150" s="34"/>
      <c r="AE150" s="34"/>
      <c r="AF150" s="34"/>
    </row>
    <row r="151" spans="1:32" x14ac:dyDescent="0.2">
      <c r="A151" s="33">
        <f t="shared" si="112"/>
        <v>102</v>
      </c>
      <c r="B151" s="33">
        <v>893</v>
      </c>
      <c r="F151" s="20" t="s">
        <v>350</v>
      </c>
      <c r="G151" s="34">
        <v>115308.17</v>
      </c>
      <c r="H151" s="26">
        <f t="shared" si="110"/>
        <v>338.33305643355629</v>
      </c>
      <c r="I151" s="34">
        <f t="shared" si="111"/>
        <v>115646.50305643356</v>
      </c>
      <c r="K151" s="34"/>
      <c r="L151" s="34"/>
      <c r="M151" s="34"/>
      <c r="N151" s="34"/>
      <c r="O151" s="34"/>
      <c r="P151" s="34"/>
      <c r="Q151" s="34">
        <v>338.33305643355629</v>
      </c>
      <c r="R151" s="34"/>
      <c r="S151" s="34"/>
      <c r="T151" s="34"/>
      <c r="U151" s="34"/>
      <c r="V151" s="34"/>
      <c r="W151" s="34"/>
      <c r="X151" s="34"/>
      <c r="Y151" s="34"/>
      <c r="Z151" s="34"/>
      <c r="AA151" s="34"/>
      <c r="AB151" s="34"/>
      <c r="AC151" s="34"/>
      <c r="AD151" s="34"/>
      <c r="AE151" s="34"/>
      <c r="AF151" s="34"/>
    </row>
    <row r="152" spans="1:32" x14ac:dyDescent="0.2">
      <c r="A152" s="35">
        <f t="shared" si="112"/>
        <v>103</v>
      </c>
      <c r="B152" s="35">
        <v>894</v>
      </c>
      <c r="C152" s="23"/>
      <c r="D152" s="23"/>
      <c r="E152" s="23"/>
      <c r="F152" s="23" t="s">
        <v>319</v>
      </c>
      <c r="G152" s="9">
        <v>0</v>
      </c>
      <c r="H152" s="246">
        <f t="shared" si="110"/>
        <v>0</v>
      </c>
      <c r="I152" s="9">
        <f t="shared" si="111"/>
        <v>0</v>
      </c>
      <c r="K152" s="9"/>
      <c r="L152" s="9"/>
      <c r="M152" s="9"/>
      <c r="N152" s="9"/>
      <c r="O152" s="9"/>
      <c r="P152" s="9"/>
      <c r="Q152" s="9"/>
      <c r="R152" s="9"/>
      <c r="S152" s="9"/>
      <c r="T152" s="9"/>
      <c r="U152" s="9"/>
      <c r="V152" s="9"/>
      <c r="W152" s="9"/>
      <c r="X152" s="9"/>
      <c r="Y152" s="9"/>
      <c r="Z152" s="9"/>
      <c r="AA152" s="9"/>
      <c r="AB152" s="9"/>
      <c r="AC152" s="9"/>
      <c r="AD152" s="9"/>
      <c r="AE152" s="9"/>
      <c r="AF152" s="9"/>
    </row>
    <row r="153" spans="1:32" x14ac:dyDescent="0.2">
      <c r="A153" s="33">
        <f t="shared" si="112"/>
        <v>104</v>
      </c>
      <c r="B153" s="33"/>
      <c r="C153" s="20" t="s">
        <v>185</v>
      </c>
      <c r="G153" s="34">
        <f>SUM(G133:G152)</f>
        <v>7720978.0099999998</v>
      </c>
      <c r="H153" s="34">
        <f>SUM(H133:H152)</f>
        <v>67618.193563938243</v>
      </c>
      <c r="I153" s="34">
        <f>SUM(I133:I152)</f>
        <v>7788596.2035639388</v>
      </c>
      <c r="K153" s="34">
        <f>SUM(K133:K152)</f>
        <v>0</v>
      </c>
      <c r="L153" s="34">
        <f t="shared" ref="L153:O153" si="113">SUM(L133:L152)</f>
        <v>0</v>
      </c>
      <c r="M153" s="34">
        <f t="shared" si="113"/>
        <v>0</v>
      </c>
      <c r="N153" s="34">
        <f>SUM(N133:N152)</f>
        <v>0</v>
      </c>
      <c r="O153" s="34">
        <f t="shared" si="113"/>
        <v>0</v>
      </c>
      <c r="P153" s="34">
        <f t="shared" ref="P153" si="114">SUM(P133:P152)</f>
        <v>0</v>
      </c>
      <c r="Q153" s="34">
        <f t="shared" ref="Q153:AE153" si="115">SUM(Q133:Q152)</f>
        <v>112260.2362317582</v>
      </c>
      <c r="R153" s="34">
        <f t="shared" si="115"/>
        <v>0</v>
      </c>
      <c r="S153" s="34">
        <f t="shared" si="115"/>
        <v>0</v>
      </c>
      <c r="T153" s="34">
        <f t="shared" si="115"/>
        <v>0</v>
      </c>
      <c r="U153" s="34">
        <f t="shared" si="115"/>
        <v>0</v>
      </c>
      <c r="V153" s="34">
        <f t="shared" si="115"/>
        <v>0</v>
      </c>
      <c r="W153" s="34">
        <f>SUM(W133:W152)</f>
        <v>0</v>
      </c>
      <c r="X153" s="34">
        <f t="shared" si="115"/>
        <v>0</v>
      </c>
      <c r="Y153" s="34">
        <f t="shared" si="115"/>
        <v>0</v>
      </c>
      <c r="Z153" s="34">
        <f t="shared" si="115"/>
        <v>0</v>
      </c>
      <c r="AA153" s="34">
        <f t="shared" si="115"/>
        <v>0</v>
      </c>
      <c r="AB153" s="34">
        <f t="shared" si="115"/>
        <v>0</v>
      </c>
      <c r="AC153" s="34">
        <f t="shared" si="115"/>
        <v>0</v>
      </c>
      <c r="AD153" s="34">
        <f t="shared" ref="AD153" si="116">SUM(AD133:AD152)</f>
        <v>0</v>
      </c>
      <c r="AE153" s="34">
        <f t="shared" si="115"/>
        <v>-44642.042667819966</v>
      </c>
      <c r="AF153" s="34">
        <f t="shared" ref="AF153" si="117">SUM(AF133:AF152)</f>
        <v>0</v>
      </c>
    </row>
    <row r="154" spans="1:32" x14ac:dyDescent="0.2">
      <c r="A154" s="33"/>
      <c r="B154" s="33"/>
      <c r="G154" s="26"/>
    </row>
    <row r="155" spans="1:32" x14ac:dyDescent="0.2">
      <c r="A155" s="33"/>
      <c r="B155" s="33"/>
      <c r="C155" s="20" t="s">
        <v>104</v>
      </c>
      <c r="G155" s="26"/>
      <c r="I155" s="26"/>
      <c r="K155" s="26"/>
      <c r="L155" s="26"/>
      <c r="M155" s="26"/>
      <c r="N155" s="26"/>
      <c r="O155" s="26"/>
      <c r="P155" s="26"/>
      <c r="Q155" s="26"/>
      <c r="R155" s="26"/>
      <c r="S155" s="26"/>
      <c r="T155" s="26"/>
      <c r="U155" s="26"/>
      <c r="V155" s="26"/>
      <c r="W155" s="26"/>
      <c r="X155" s="26"/>
      <c r="Y155" s="26"/>
      <c r="Z155" s="26"/>
      <c r="AA155" s="26"/>
      <c r="AB155" s="26"/>
      <c r="AC155" s="26"/>
      <c r="AD155" s="26"/>
      <c r="AE155" s="26"/>
      <c r="AF155" s="26"/>
    </row>
    <row r="156" spans="1:32" x14ac:dyDescent="0.2">
      <c r="A156" s="33">
        <f>+A153+1</f>
        <v>105</v>
      </c>
      <c r="B156" s="33">
        <v>901</v>
      </c>
      <c r="F156" s="20" t="s">
        <v>103</v>
      </c>
      <c r="G156" s="34">
        <v>289699.28000000003</v>
      </c>
      <c r="H156" s="26">
        <f t="shared" ref="H156:H161" si="118">SUM(K156:AF156)</f>
        <v>720.54267139425951</v>
      </c>
      <c r="I156" s="34">
        <f t="shared" ref="I156:I161" si="119">G156+H156</f>
        <v>290419.82267139427</v>
      </c>
      <c r="K156" s="34"/>
      <c r="L156" s="34"/>
      <c r="M156" s="34"/>
      <c r="N156" s="34"/>
      <c r="O156" s="34"/>
      <c r="P156" s="34"/>
      <c r="Q156" s="34">
        <v>720.54267139425951</v>
      </c>
      <c r="R156" s="34"/>
      <c r="S156" s="34"/>
      <c r="T156" s="34"/>
      <c r="U156" s="34"/>
      <c r="V156" s="34"/>
      <c r="W156" s="34"/>
      <c r="X156" s="34"/>
      <c r="Y156" s="34"/>
      <c r="Z156" s="34"/>
      <c r="AA156" s="34"/>
      <c r="AB156" s="34"/>
      <c r="AC156" s="34"/>
      <c r="AD156" s="34"/>
      <c r="AE156" s="34"/>
      <c r="AF156" s="34"/>
    </row>
    <row r="157" spans="1:32" x14ac:dyDescent="0.2">
      <c r="A157" s="33">
        <f>+A156+1</f>
        <v>106</v>
      </c>
      <c r="B157" s="33">
        <v>902</v>
      </c>
      <c r="F157" s="20" t="s">
        <v>102</v>
      </c>
      <c r="G157" s="34">
        <v>523982.73</v>
      </c>
      <c r="H157" s="26">
        <f t="shared" si="118"/>
        <v>5851.6265310072167</v>
      </c>
      <c r="I157" s="34">
        <f t="shared" si="119"/>
        <v>529834.35653100722</v>
      </c>
      <c r="K157" s="34"/>
      <c r="L157" s="34"/>
      <c r="M157" s="34"/>
      <c r="N157" s="34"/>
      <c r="O157" s="34"/>
      <c r="P157" s="34"/>
      <c r="Q157" s="34">
        <v>5851.6265310072167</v>
      </c>
      <c r="R157" s="34"/>
      <c r="S157" s="34"/>
      <c r="T157" s="34"/>
      <c r="U157" s="34"/>
      <c r="W157" s="34"/>
      <c r="X157" s="34"/>
      <c r="Y157" s="34"/>
      <c r="Z157" s="34"/>
      <c r="AA157" s="34"/>
      <c r="AB157" s="34"/>
      <c r="AC157" s="34"/>
      <c r="AD157" s="34"/>
      <c r="AE157" s="34"/>
      <c r="AF157" s="34"/>
    </row>
    <row r="158" spans="1:32" x14ac:dyDescent="0.2">
      <c r="A158" s="33">
        <f t="shared" ref="A158:A162" si="120">+A157+1</f>
        <v>107</v>
      </c>
      <c r="B158" s="33">
        <v>903</v>
      </c>
      <c r="F158" s="20" t="s">
        <v>101</v>
      </c>
      <c r="G158" s="34">
        <v>2232862.0099999998</v>
      </c>
      <c r="H158" s="26">
        <f t="shared" si="118"/>
        <v>6325.9122962138181</v>
      </c>
      <c r="I158" s="34">
        <f t="shared" si="119"/>
        <v>2239187.9222962135</v>
      </c>
      <c r="K158" s="34"/>
      <c r="L158" s="34"/>
      <c r="M158" s="34"/>
      <c r="N158" s="34"/>
      <c r="O158" s="34"/>
      <c r="P158" s="34"/>
      <c r="Q158" s="34">
        <v>6325.9122962138181</v>
      </c>
      <c r="R158" s="34"/>
      <c r="S158" s="34"/>
      <c r="T158" s="34"/>
      <c r="U158" s="34"/>
      <c r="V158" s="34"/>
      <c r="W158" s="34"/>
      <c r="X158" s="34"/>
      <c r="Y158" s="34"/>
      <c r="Z158" s="34"/>
      <c r="AA158" s="34"/>
      <c r="AB158" s="34"/>
      <c r="AC158" s="34"/>
      <c r="AD158" s="34"/>
      <c r="AE158" s="34"/>
      <c r="AF158" s="34"/>
    </row>
    <row r="159" spans="1:32" x14ac:dyDescent="0.2">
      <c r="A159" s="33">
        <f t="shared" si="120"/>
        <v>108</v>
      </c>
      <c r="B159" s="33">
        <v>904</v>
      </c>
      <c r="F159" s="20" t="s">
        <v>100</v>
      </c>
      <c r="G159" s="34">
        <v>381974.5</v>
      </c>
      <c r="H159" s="26">
        <f t="shared" si="118"/>
        <v>0</v>
      </c>
      <c r="I159" s="34">
        <f t="shared" si="119"/>
        <v>381974.5</v>
      </c>
      <c r="K159" s="34"/>
      <c r="L159" s="34"/>
      <c r="M159" s="34"/>
      <c r="N159" s="34"/>
      <c r="O159" s="34"/>
      <c r="P159" s="34"/>
      <c r="Q159" s="34">
        <v>0</v>
      </c>
      <c r="R159" s="34"/>
      <c r="S159" s="34"/>
      <c r="T159" s="34"/>
      <c r="U159" s="34"/>
      <c r="V159" s="34"/>
      <c r="W159" s="34"/>
      <c r="X159" s="34"/>
      <c r="Y159" s="34"/>
      <c r="Z159" s="34"/>
      <c r="AA159" s="34"/>
      <c r="AB159" s="34"/>
      <c r="AC159" s="34"/>
      <c r="AD159" s="34"/>
      <c r="AE159" s="34"/>
      <c r="AF159" s="34"/>
    </row>
    <row r="160" spans="1:32" x14ac:dyDescent="0.2">
      <c r="A160" s="33">
        <f t="shared" si="120"/>
        <v>109</v>
      </c>
      <c r="B160" s="33">
        <v>905</v>
      </c>
      <c r="F160" s="20" t="s">
        <v>92</v>
      </c>
      <c r="G160" s="34">
        <v>37192.879999999997</v>
      </c>
      <c r="H160" s="26">
        <f t="shared" si="118"/>
        <v>57.469601036826823</v>
      </c>
      <c r="I160" s="34">
        <f t="shared" si="119"/>
        <v>37250.349601036825</v>
      </c>
      <c r="K160" s="34"/>
      <c r="L160" s="34"/>
      <c r="M160" s="34"/>
      <c r="N160" s="34"/>
      <c r="O160" s="34"/>
      <c r="P160" s="34"/>
      <c r="Q160" s="262">
        <v>57.469601036826823</v>
      </c>
      <c r="R160" s="34"/>
      <c r="S160" s="34"/>
      <c r="T160" s="34"/>
      <c r="U160" s="34"/>
      <c r="V160" s="34"/>
      <c r="W160" s="34"/>
      <c r="X160" s="34"/>
      <c r="Y160" s="34"/>
      <c r="Z160" s="34"/>
      <c r="AA160" s="34"/>
      <c r="AB160" s="34"/>
      <c r="AC160" s="34"/>
      <c r="AD160" s="34"/>
      <c r="AE160" s="34"/>
      <c r="AF160" s="34"/>
    </row>
    <row r="161" spans="1:32" x14ac:dyDescent="0.2">
      <c r="A161" s="35">
        <f t="shared" si="120"/>
        <v>110</v>
      </c>
      <c r="B161" s="245" t="s">
        <v>255</v>
      </c>
      <c r="C161" s="23"/>
      <c r="D161" s="23"/>
      <c r="E161" s="23"/>
      <c r="F161" s="23" t="s">
        <v>352</v>
      </c>
      <c r="G161" s="9">
        <v>0</v>
      </c>
      <c r="H161" s="246">
        <f t="shared" si="118"/>
        <v>126076.09580685213</v>
      </c>
      <c r="I161" s="9">
        <f t="shared" si="119"/>
        <v>126076.09580685213</v>
      </c>
      <c r="K161" s="9"/>
      <c r="L161" s="9"/>
      <c r="M161" s="9"/>
      <c r="N161" s="9"/>
      <c r="O161" s="9"/>
      <c r="P161" s="9"/>
      <c r="Q161" s="9"/>
      <c r="R161" s="9"/>
      <c r="S161" s="9"/>
      <c r="T161" s="9"/>
      <c r="U161" s="9"/>
      <c r="V161" s="9"/>
      <c r="W161" s="9"/>
      <c r="X161" s="9"/>
      <c r="Y161" s="9"/>
      <c r="Z161" s="9"/>
      <c r="AA161" s="9"/>
      <c r="AB161" s="9"/>
      <c r="AC161" s="9"/>
      <c r="AD161" s="9"/>
      <c r="AE161" s="9">
        <f>-AE111-AE134</f>
        <v>126076.09580685213</v>
      </c>
      <c r="AF161" s="9"/>
    </row>
    <row r="162" spans="1:32" x14ac:dyDescent="0.2">
      <c r="A162" s="33">
        <f t="shared" si="120"/>
        <v>111</v>
      </c>
      <c r="B162" s="33"/>
      <c r="C162" s="20" t="s">
        <v>99</v>
      </c>
      <c r="G162" s="34">
        <f>SUM(G156:G161)</f>
        <v>3465711.3999999994</v>
      </c>
      <c r="H162" s="34">
        <f>SUM(H156:H161)</f>
        <v>139031.64690650426</v>
      </c>
      <c r="I162" s="34">
        <f>SUM(I156:I161)</f>
        <v>3604743.0469065038</v>
      </c>
      <c r="K162" s="34">
        <f t="shared" ref="K162:AE162" si="121">SUM(K156:K161)</f>
        <v>0</v>
      </c>
      <c r="L162" s="34">
        <f t="shared" si="121"/>
        <v>0</v>
      </c>
      <c r="M162" s="34">
        <f t="shared" si="121"/>
        <v>0</v>
      </c>
      <c r="N162" s="34">
        <f>SUM(N156:N161)</f>
        <v>0</v>
      </c>
      <c r="O162" s="34">
        <f t="shared" si="121"/>
        <v>0</v>
      </c>
      <c r="P162" s="34">
        <f t="shared" si="121"/>
        <v>0</v>
      </c>
      <c r="Q162" s="34">
        <f t="shared" si="121"/>
        <v>12955.551099652121</v>
      </c>
      <c r="R162" s="34">
        <f t="shared" si="121"/>
        <v>0</v>
      </c>
      <c r="S162" s="34">
        <f t="shared" si="121"/>
        <v>0</v>
      </c>
      <c r="T162" s="34">
        <f t="shared" si="121"/>
        <v>0</v>
      </c>
      <c r="U162" s="34">
        <f t="shared" si="121"/>
        <v>0</v>
      </c>
      <c r="V162" s="34">
        <f t="shared" si="121"/>
        <v>0</v>
      </c>
      <c r="W162" s="34">
        <f t="shared" si="121"/>
        <v>0</v>
      </c>
      <c r="X162" s="34">
        <f t="shared" si="121"/>
        <v>0</v>
      </c>
      <c r="Y162" s="34">
        <f t="shared" si="121"/>
        <v>0</v>
      </c>
      <c r="Z162" s="34">
        <f t="shared" si="121"/>
        <v>0</v>
      </c>
      <c r="AA162" s="34">
        <f t="shared" si="121"/>
        <v>0</v>
      </c>
      <c r="AB162" s="34">
        <f t="shared" si="121"/>
        <v>0</v>
      </c>
      <c r="AC162" s="34">
        <f t="shared" si="121"/>
        <v>0</v>
      </c>
      <c r="AD162" s="34">
        <f t="shared" si="121"/>
        <v>0</v>
      </c>
      <c r="AE162" s="34">
        <f t="shared" si="121"/>
        <v>126076.09580685213</v>
      </c>
      <c r="AF162" s="34">
        <f t="shared" ref="AF162" si="122">SUM(AF156:AF161)</f>
        <v>0</v>
      </c>
    </row>
    <row r="163" spans="1:32" x14ac:dyDescent="0.2">
      <c r="A163" s="33"/>
      <c r="B163" s="33"/>
      <c r="G163" s="26"/>
    </row>
    <row r="164" spans="1:32" x14ac:dyDescent="0.2">
      <c r="A164" s="33"/>
      <c r="B164" s="33"/>
      <c r="C164" s="20" t="s">
        <v>98</v>
      </c>
      <c r="G164" s="26"/>
    </row>
    <row r="165" spans="1:32" x14ac:dyDescent="0.2">
      <c r="A165" s="33">
        <f>+A162+1</f>
        <v>112</v>
      </c>
      <c r="B165" s="33">
        <v>908</v>
      </c>
      <c r="F165" s="20" t="s">
        <v>97</v>
      </c>
      <c r="G165" s="34">
        <v>1533.87</v>
      </c>
      <c r="H165" s="26">
        <f>SUM(K165:AF165)</f>
        <v>0</v>
      </c>
      <c r="I165" s="34">
        <f>G165+H165</f>
        <v>1533.87</v>
      </c>
      <c r="K165" s="34"/>
      <c r="L165" s="34"/>
      <c r="M165" s="34"/>
      <c r="N165" s="34"/>
      <c r="O165" s="34"/>
      <c r="P165" s="34"/>
      <c r="Q165" s="34">
        <v>0</v>
      </c>
      <c r="R165" s="34"/>
      <c r="S165" s="34"/>
      <c r="T165" s="34"/>
      <c r="U165" s="34"/>
      <c r="W165" s="34"/>
      <c r="X165" s="34"/>
      <c r="Y165" s="34"/>
      <c r="Z165" s="34"/>
      <c r="AA165" s="34"/>
      <c r="AB165" s="34"/>
      <c r="AC165" s="34"/>
      <c r="AD165" s="34"/>
      <c r="AE165" s="34"/>
      <c r="AF165" s="34"/>
    </row>
    <row r="166" spans="1:32" x14ac:dyDescent="0.2">
      <c r="A166" s="33">
        <f>+A165+1</f>
        <v>113</v>
      </c>
      <c r="B166" s="33">
        <v>909</v>
      </c>
      <c r="F166" s="20" t="s">
        <v>96</v>
      </c>
      <c r="G166" s="34">
        <v>8110.08</v>
      </c>
      <c r="H166" s="26">
        <f>SUM(K166:AF166)</f>
        <v>0</v>
      </c>
      <c r="I166" s="34">
        <f>G166+H166</f>
        <v>8110.08</v>
      </c>
      <c r="K166" s="34"/>
      <c r="L166" s="34"/>
      <c r="M166" s="34"/>
      <c r="N166" s="34"/>
      <c r="O166" s="34"/>
      <c r="P166" s="34"/>
      <c r="Q166" s="34">
        <v>0</v>
      </c>
      <c r="R166" s="34"/>
      <c r="S166" s="34"/>
      <c r="T166" s="34"/>
      <c r="U166" s="34"/>
      <c r="V166" s="34"/>
      <c r="W166" s="34"/>
      <c r="X166" s="34"/>
      <c r="Y166" s="34"/>
      <c r="Z166" s="34"/>
      <c r="AA166" s="34"/>
      <c r="AB166" s="34"/>
      <c r="AC166" s="34"/>
      <c r="AD166" s="34"/>
      <c r="AE166" s="34"/>
      <c r="AF166" s="34"/>
    </row>
    <row r="167" spans="1:32" x14ac:dyDescent="0.2">
      <c r="A167" s="35">
        <f t="shared" ref="A167:A168" si="123">+A166+1</f>
        <v>114</v>
      </c>
      <c r="B167" s="35">
        <v>910</v>
      </c>
      <c r="C167" s="23"/>
      <c r="D167" s="23"/>
      <c r="E167" s="23"/>
      <c r="F167" s="23" t="s">
        <v>92</v>
      </c>
      <c r="G167" s="9">
        <v>1741.42</v>
      </c>
      <c r="H167" s="246">
        <f>SUM(K167:AF167)</f>
        <v>0</v>
      </c>
      <c r="I167" s="9">
        <f>G167+H167</f>
        <v>1741.42</v>
      </c>
      <c r="K167" s="9"/>
      <c r="L167" s="9"/>
      <c r="M167" s="9"/>
      <c r="N167" s="9"/>
      <c r="O167" s="9"/>
      <c r="P167" s="9"/>
      <c r="Q167" s="9"/>
      <c r="R167" s="9"/>
      <c r="S167" s="9"/>
      <c r="T167" s="9"/>
      <c r="U167" s="9"/>
      <c r="V167" s="9"/>
      <c r="W167" s="9"/>
      <c r="X167" s="9"/>
      <c r="Y167" s="9"/>
      <c r="Z167" s="9"/>
      <c r="AA167" s="9"/>
      <c r="AB167" s="9"/>
      <c r="AC167" s="9"/>
      <c r="AD167" s="9"/>
      <c r="AE167" s="9"/>
      <c r="AF167" s="9"/>
    </row>
    <row r="168" spans="1:32" x14ac:dyDescent="0.2">
      <c r="A168" s="33">
        <f t="shared" si="123"/>
        <v>115</v>
      </c>
      <c r="B168" s="33"/>
      <c r="C168" s="20" t="s">
        <v>95</v>
      </c>
      <c r="G168" s="34">
        <f>SUM(G165:G167)</f>
        <v>11385.37</v>
      </c>
      <c r="H168" s="34">
        <f>SUM(H165:H167)</f>
        <v>0</v>
      </c>
      <c r="I168" s="34">
        <f>SUM(I165:I167)</f>
        <v>11385.37</v>
      </c>
      <c r="K168" s="34">
        <f>SUM(K165:K167)</f>
        <v>0</v>
      </c>
      <c r="L168" s="34">
        <f t="shared" ref="L168:O168" si="124">SUM(L165:L167)</f>
        <v>0</v>
      </c>
      <c r="M168" s="34">
        <f t="shared" si="124"/>
        <v>0</v>
      </c>
      <c r="N168" s="34">
        <f>SUM(N165:N167)</f>
        <v>0</v>
      </c>
      <c r="O168" s="34">
        <f t="shared" si="124"/>
        <v>0</v>
      </c>
      <c r="P168" s="34">
        <f t="shared" ref="P168" si="125">SUM(P165:P167)</f>
        <v>0</v>
      </c>
      <c r="Q168" s="34">
        <f t="shared" ref="Q168:AE168" si="126">SUM(Q165:Q167)</f>
        <v>0</v>
      </c>
      <c r="R168" s="34">
        <f t="shared" si="126"/>
        <v>0</v>
      </c>
      <c r="S168" s="34">
        <f t="shared" si="126"/>
        <v>0</v>
      </c>
      <c r="T168" s="34">
        <f t="shared" si="126"/>
        <v>0</v>
      </c>
      <c r="U168" s="34">
        <f t="shared" si="126"/>
        <v>0</v>
      </c>
      <c r="V168" s="34">
        <f>SUM(V166:V167)</f>
        <v>0</v>
      </c>
      <c r="W168" s="34">
        <f>SUM(W165:W167)</f>
        <v>0</v>
      </c>
      <c r="X168" s="34">
        <f t="shared" si="126"/>
        <v>0</v>
      </c>
      <c r="Y168" s="34">
        <f t="shared" si="126"/>
        <v>0</v>
      </c>
      <c r="Z168" s="34">
        <f t="shared" si="126"/>
        <v>0</v>
      </c>
      <c r="AA168" s="34">
        <f t="shared" si="126"/>
        <v>0</v>
      </c>
      <c r="AB168" s="34">
        <f t="shared" si="126"/>
        <v>0</v>
      </c>
      <c r="AC168" s="34">
        <f t="shared" si="126"/>
        <v>0</v>
      </c>
      <c r="AD168" s="34">
        <f t="shared" ref="AD168" si="127">SUM(AD165:AD167)</f>
        <v>0</v>
      </c>
      <c r="AE168" s="34">
        <f t="shared" si="126"/>
        <v>0</v>
      </c>
      <c r="AF168" s="34">
        <f t="shared" ref="AF168" si="128">SUM(AF165:AF167)</f>
        <v>0</v>
      </c>
    </row>
    <row r="169" spans="1:32" x14ac:dyDescent="0.2">
      <c r="A169" s="33"/>
      <c r="B169" s="33"/>
      <c r="G169" s="26"/>
      <c r="I169" s="26"/>
    </row>
    <row r="170" spans="1:32" x14ac:dyDescent="0.2">
      <c r="A170" s="33"/>
      <c r="B170" s="33"/>
      <c r="C170" s="20" t="s">
        <v>94</v>
      </c>
      <c r="G170" s="26"/>
    </row>
    <row r="171" spans="1:32" x14ac:dyDescent="0.2">
      <c r="A171" s="33">
        <f>+A168+1</f>
        <v>116</v>
      </c>
      <c r="B171" s="33">
        <v>912</v>
      </c>
      <c r="F171" s="20" t="s">
        <v>93</v>
      </c>
      <c r="G171" s="34">
        <v>152815.21</v>
      </c>
      <c r="H171" s="26">
        <f>SUM(K171:AF171)</f>
        <v>-59927.154884058531</v>
      </c>
      <c r="I171" s="34">
        <f>G171+H171</f>
        <v>92888.055115941461</v>
      </c>
      <c r="K171" s="34"/>
      <c r="L171" s="34"/>
      <c r="M171" s="34"/>
      <c r="N171" s="34"/>
      <c r="O171" s="34"/>
      <c r="P171" s="34"/>
      <c r="Q171" s="34">
        <v>1143.6651159414746</v>
      </c>
      <c r="R171" s="34"/>
      <c r="S171" s="34"/>
      <c r="T171" s="34"/>
      <c r="U171" s="34"/>
      <c r="V171" s="34"/>
      <c r="W171" s="34"/>
      <c r="X171" s="34"/>
      <c r="Y171" s="34"/>
      <c r="Z171" s="34"/>
      <c r="AA171" s="34"/>
      <c r="AB171" s="34">
        <v>-61070.820000000007</v>
      </c>
      <c r="AC171" s="34"/>
      <c r="AD171" s="34"/>
      <c r="AE171" s="34"/>
      <c r="AF171" s="34"/>
    </row>
    <row r="172" spans="1:32" x14ac:dyDescent="0.2">
      <c r="A172" s="35">
        <f>+A171+1</f>
        <v>117</v>
      </c>
      <c r="B172" s="35">
        <v>916</v>
      </c>
      <c r="C172" s="23"/>
      <c r="D172" s="23"/>
      <c r="E172" s="23"/>
      <c r="F172" s="23" t="s">
        <v>92</v>
      </c>
      <c r="G172" s="9">
        <v>31919.57</v>
      </c>
      <c r="H172" s="246">
        <f>SUM(K172:AF172)</f>
        <v>44.411366757036006</v>
      </c>
      <c r="I172" s="9">
        <f>G172+H172</f>
        <v>31963.981366757034</v>
      </c>
      <c r="K172" s="9"/>
      <c r="L172" s="9"/>
      <c r="M172" s="9"/>
      <c r="N172" s="9"/>
      <c r="O172" s="9"/>
      <c r="P172" s="9"/>
      <c r="Q172" s="9">
        <v>44.411366757036006</v>
      </c>
      <c r="R172" s="9"/>
      <c r="S172" s="9"/>
      <c r="T172" s="9"/>
      <c r="U172" s="9"/>
      <c r="V172" s="9"/>
      <c r="W172" s="9"/>
      <c r="X172" s="9"/>
      <c r="Y172" s="9"/>
      <c r="Z172" s="9"/>
      <c r="AA172" s="9"/>
      <c r="AB172" s="9"/>
      <c r="AC172" s="9"/>
      <c r="AD172" s="9"/>
      <c r="AE172" s="9"/>
      <c r="AF172" s="9"/>
    </row>
    <row r="173" spans="1:32" x14ac:dyDescent="0.2">
      <c r="A173" s="33">
        <f>+A172+1</f>
        <v>118</v>
      </c>
      <c r="B173" s="33"/>
      <c r="C173" s="20" t="s">
        <v>91</v>
      </c>
      <c r="G173" s="34">
        <f>SUM(G171:G172)</f>
        <v>184734.78</v>
      </c>
      <c r="H173" s="34">
        <f>SUM(H171:H172)</f>
        <v>-59882.743517301496</v>
      </c>
      <c r="I173" s="34">
        <f>SUM(I171:I172)</f>
        <v>124852.03648269849</v>
      </c>
      <c r="K173" s="34">
        <f>SUM(K171:K172)</f>
        <v>0</v>
      </c>
      <c r="L173" s="34">
        <f t="shared" ref="L173:O173" si="129">SUM(L171:L172)</f>
        <v>0</v>
      </c>
      <c r="M173" s="34">
        <f t="shared" si="129"/>
        <v>0</v>
      </c>
      <c r="N173" s="34">
        <f>SUM(N171:N172)</f>
        <v>0</v>
      </c>
      <c r="O173" s="34">
        <f t="shared" si="129"/>
        <v>0</v>
      </c>
      <c r="P173" s="34">
        <f t="shared" ref="P173" si="130">SUM(P171:P172)</f>
        <v>0</v>
      </c>
      <c r="Q173" s="34">
        <f t="shared" ref="Q173:AE173" si="131">SUM(Q171:Q172)</f>
        <v>1188.0764826985105</v>
      </c>
      <c r="R173" s="34">
        <f t="shared" si="131"/>
        <v>0</v>
      </c>
      <c r="S173" s="34">
        <f t="shared" si="131"/>
        <v>0</v>
      </c>
      <c r="T173" s="34">
        <f t="shared" si="131"/>
        <v>0</v>
      </c>
      <c r="U173" s="34">
        <f t="shared" si="131"/>
        <v>0</v>
      </c>
      <c r="V173" s="34">
        <f t="shared" si="131"/>
        <v>0</v>
      </c>
      <c r="W173" s="34">
        <f>SUM(W171:W172)</f>
        <v>0</v>
      </c>
      <c r="X173" s="34">
        <f t="shared" si="131"/>
        <v>0</v>
      </c>
      <c r="Y173" s="34">
        <f t="shared" si="131"/>
        <v>0</v>
      </c>
      <c r="Z173" s="34">
        <f t="shared" si="131"/>
        <v>0</v>
      </c>
      <c r="AA173" s="34">
        <f t="shared" si="131"/>
        <v>0</v>
      </c>
      <c r="AB173" s="34">
        <f t="shared" si="131"/>
        <v>-61070.820000000007</v>
      </c>
      <c r="AC173" s="34">
        <f t="shared" si="131"/>
        <v>0</v>
      </c>
      <c r="AD173" s="34">
        <f t="shared" ref="AD173" si="132">SUM(AD171:AD172)</f>
        <v>0</v>
      </c>
      <c r="AE173" s="34">
        <f t="shared" si="131"/>
        <v>0</v>
      </c>
      <c r="AF173" s="34">
        <f t="shared" ref="AF173" si="133">SUM(AF171:AF172)</f>
        <v>0</v>
      </c>
    </row>
    <row r="174" spans="1:32" x14ac:dyDescent="0.2">
      <c r="A174" s="33"/>
      <c r="B174" s="33"/>
      <c r="G174" s="26"/>
    </row>
    <row r="175" spans="1:32" x14ac:dyDescent="0.2">
      <c r="A175" s="33"/>
      <c r="B175" s="33"/>
      <c r="C175" s="20" t="s">
        <v>90</v>
      </c>
      <c r="G175" s="26"/>
    </row>
    <row r="176" spans="1:32" x14ac:dyDescent="0.2">
      <c r="A176" s="33"/>
      <c r="B176" s="33"/>
      <c r="E176" s="20" t="s">
        <v>89</v>
      </c>
      <c r="G176" s="26"/>
    </row>
    <row r="177" spans="1:32" x14ac:dyDescent="0.2">
      <c r="A177" s="33">
        <f>+A173+1</f>
        <v>119</v>
      </c>
      <c r="B177" s="33">
        <v>920</v>
      </c>
      <c r="F177" s="20" t="s">
        <v>88</v>
      </c>
      <c r="G177" s="34">
        <v>801879.12</v>
      </c>
      <c r="H177" s="26">
        <f t="shared" ref="H177:H187" si="134">SUM(K177:AF177)</f>
        <v>15213.622864624893</v>
      </c>
      <c r="I177" s="34">
        <f t="shared" ref="I177:I187" si="135">G177+H177</f>
        <v>817092.74286462483</v>
      </c>
      <c r="K177" s="34"/>
      <c r="L177" s="34"/>
      <c r="M177" s="34"/>
      <c r="N177" s="34"/>
      <c r="O177" s="34"/>
      <c r="P177" s="34"/>
      <c r="Q177" s="34">
        <v>15213.622864624893</v>
      </c>
      <c r="R177" s="34"/>
      <c r="S177" s="34"/>
      <c r="T177" s="34"/>
      <c r="U177" s="34"/>
      <c r="V177" s="34"/>
      <c r="W177" s="34"/>
      <c r="X177" s="34"/>
      <c r="Y177" s="34"/>
      <c r="Z177" s="34"/>
      <c r="AA177" s="34"/>
      <c r="AB177" s="34"/>
      <c r="AC177" s="34"/>
      <c r="AD177" s="34"/>
      <c r="AE177" s="34"/>
      <c r="AF177" s="34"/>
    </row>
    <row r="178" spans="1:32" x14ac:dyDescent="0.2">
      <c r="A178" s="33">
        <f>+A177+1</f>
        <v>120</v>
      </c>
      <c r="B178" s="33">
        <v>921</v>
      </c>
      <c r="F178" s="20" t="s">
        <v>87</v>
      </c>
      <c r="G178" s="34">
        <v>131504.54</v>
      </c>
      <c r="H178" s="26">
        <f t="shared" si="134"/>
        <v>0</v>
      </c>
      <c r="I178" s="34">
        <f t="shared" si="135"/>
        <v>131504.54</v>
      </c>
      <c r="K178" s="34"/>
      <c r="L178" s="34"/>
      <c r="M178" s="34"/>
      <c r="N178" s="34"/>
      <c r="O178" s="34"/>
      <c r="P178" s="34"/>
      <c r="Q178" s="34"/>
      <c r="R178" s="34"/>
      <c r="S178" s="34"/>
      <c r="T178" s="34"/>
      <c r="U178" s="34"/>
      <c r="V178" s="34"/>
      <c r="W178" s="34"/>
      <c r="X178" s="34"/>
      <c r="Y178" s="34"/>
      <c r="Z178" s="34"/>
      <c r="AA178" s="34"/>
      <c r="AB178" s="34"/>
      <c r="AC178" s="34"/>
      <c r="AD178" s="34"/>
      <c r="AE178" s="34"/>
      <c r="AF178" s="34"/>
    </row>
    <row r="179" spans="1:32" x14ac:dyDescent="0.2">
      <c r="A179" s="33">
        <f t="shared" ref="A179:A187" si="136">+A178+1</f>
        <v>121</v>
      </c>
      <c r="B179" s="33">
        <v>922</v>
      </c>
      <c r="F179" s="20" t="s">
        <v>86</v>
      </c>
      <c r="G179" s="34">
        <v>-546201.11</v>
      </c>
      <c r="H179" s="26">
        <f t="shared" si="134"/>
        <v>8.9134704981507301E-2</v>
      </c>
      <c r="I179" s="34">
        <f t="shared" si="135"/>
        <v>-546201.02086529497</v>
      </c>
      <c r="K179" s="34"/>
      <c r="L179" s="34"/>
      <c r="M179" s="34"/>
      <c r="N179" s="34"/>
      <c r="O179" s="34"/>
      <c r="P179" s="34"/>
      <c r="Q179" s="34">
        <v>8.9134704981507301E-2</v>
      </c>
      <c r="R179" s="34"/>
      <c r="S179" s="34"/>
      <c r="T179" s="34"/>
      <c r="U179" s="34"/>
      <c r="V179" s="34"/>
      <c r="W179" s="34"/>
      <c r="X179" s="34"/>
      <c r="Y179" s="34"/>
      <c r="Z179" s="34"/>
      <c r="AA179" s="34"/>
      <c r="AB179" s="34"/>
      <c r="AC179" s="34"/>
      <c r="AD179" s="34"/>
      <c r="AE179" s="34"/>
      <c r="AF179" s="34"/>
    </row>
    <row r="180" spans="1:32" x14ac:dyDescent="0.2">
      <c r="A180" s="33">
        <f t="shared" si="136"/>
        <v>122</v>
      </c>
      <c r="B180" s="33">
        <v>923</v>
      </c>
      <c r="F180" s="20" t="s">
        <v>85</v>
      </c>
      <c r="G180" s="34">
        <v>261183.96</v>
      </c>
      <c r="H180" s="26">
        <f t="shared" si="134"/>
        <v>0</v>
      </c>
      <c r="I180" s="34">
        <f t="shared" si="135"/>
        <v>261183.96</v>
      </c>
      <c r="K180" s="34"/>
      <c r="L180" s="34"/>
      <c r="M180" s="34"/>
      <c r="N180" s="34"/>
      <c r="O180" s="34"/>
      <c r="P180" s="34"/>
      <c r="Q180" s="34"/>
      <c r="R180" s="34"/>
      <c r="S180" s="34"/>
      <c r="T180" s="34"/>
      <c r="U180" s="34"/>
      <c r="V180" s="34"/>
      <c r="W180" s="34"/>
      <c r="X180" s="34"/>
      <c r="Y180" s="34"/>
      <c r="Z180" s="34"/>
      <c r="AA180" s="34"/>
      <c r="AB180" s="34"/>
      <c r="AC180" s="34"/>
      <c r="AD180" s="34"/>
      <c r="AE180" s="34"/>
      <c r="AF180" s="34"/>
    </row>
    <row r="181" spans="1:32" x14ac:dyDescent="0.2">
      <c r="A181" s="33">
        <f t="shared" si="136"/>
        <v>123</v>
      </c>
      <c r="B181" s="33">
        <v>924</v>
      </c>
      <c r="F181" s="20" t="s">
        <v>84</v>
      </c>
      <c r="G181" s="34">
        <v>13049.93</v>
      </c>
      <c r="H181" s="26">
        <f t="shared" si="134"/>
        <v>196.27462036927903</v>
      </c>
      <c r="I181" s="34">
        <f t="shared" si="135"/>
        <v>13246.204620369279</v>
      </c>
      <c r="K181" s="34"/>
      <c r="L181" s="34"/>
      <c r="M181" s="34"/>
      <c r="N181" s="34"/>
      <c r="O181" s="34"/>
      <c r="P181" s="34"/>
      <c r="Q181" s="34">
        <v>196.27462036927903</v>
      </c>
      <c r="R181" s="34"/>
      <c r="S181" s="34"/>
      <c r="T181" s="34"/>
      <c r="U181" s="34"/>
      <c r="V181" s="34"/>
      <c r="W181" s="34"/>
      <c r="X181" s="34"/>
      <c r="Y181" s="34"/>
      <c r="Z181" s="34"/>
      <c r="AA181" s="34"/>
      <c r="AB181" s="34"/>
      <c r="AC181" s="34"/>
      <c r="AD181" s="34"/>
      <c r="AE181" s="34"/>
      <c r="AF181" s="34"/>
    </row>
    <row r="182" spans="1:32" x14ac:dyDescent="0.2">
      <c r="A182" s="33">
        <f t="shared" si="136"/>
        <v>124</v>
      </c>
      <c r="B182" s="33">
        <v>925</v>
      </c>
      <c r="F182" s="20" t="s">
        <v>83</v>
      </c>
      <c r="G182" s="34">
        <v>608664.71</v>
      </c>
      <c r="H182" s="26">
        <f t="shared" si="134"/>
        <v>1726.048994614398</v>
      </c>
      <c r="I182" s="34">
        <f t="shared" si="135"/>
        <v>610390.75899461436</v>
      </c>
      <c r="K182" s="34"/>
      <c r="L182" s="34"/>
      <c r="M182" s="34"/>
      <c r="N182" s="34"/>
      <c r="O182" s="34"/>
      <c r="P182" s="34"/>
      <c r="Q182" s="34">
        <v>1726.048994614398</v>
      </c>
      <c r="R182" s="34"/>
      <c r="S182" s="34"/>
      <c r="T182" s="34"/>
      <c r="U182" s="34"/>
      <c r="V182" s="34"/>
      <c r="W182" s="34"/>
      <c r="X182" s="34"/>
      <c r="Y182" s="34"/>
      <c r="Z182" s="34"/>
      <c r="AA182" s="34"/>
      <c r="AB182" s="34"/>
      <c r="AC182" s="34"/>
      <c r="AD182" s="34"/>
      <c r="AE182" s="34"/>
      <c r="AF182" s="34"/>
    </row>
    <row r="183" spans="1:32" x14ac:dyDescent="0.2">
      <c r="A183" s="33">
        <f t="shared" si="136"/>
        <v>125</v>
      </c>
      <c r="B183" s="33">
        <v>926</v>
      </c>
      <c r="F183" s="20" t="s">
        <v>82</v>
      </c>
      <c r="G183" s="34">
        <v>1638332.21</v>
      </c>
      <c r="H183" s="26">
        <f t="shared" si="134"/>
        <v>-63029.807880332984</v>
      </c>
      <c r="I183" s="34">
        <f t="shared" si="135"/>
        <v>1575302.402119667</v>
      </c>
      <c r="K183" s="34"/>
      <c r="L183" s="34"/>
      <c r="M183" s="34"/>
      <c r="N183" s="34"/>
      <c r="O183" s="34"/>
      <c r="P183" s="34"/>
      <c r="Q183" s="34">
        <v>5994.4473183762611</v>
      </c>
      <c r="R183" s="34"/>
      <c r="S183" s="263">
        <v>6156.08480129075</v>
      </c>
      <c r="T183" s="34"/>
      <c r="U183" s="34"/>
      <c r="V183" s="34"/>
      <c r="W183" s="34"/>
      <c r="X183" s="34"/>
      <c r="Y183" s="34">
        <v>-75180.34</v>
      </c>
      <c r="Z183" s="34"/>
      <c r="AA183" s="34"/>
      <c r="AB183" s="34"/>
      <c r="AC183" s="34"/>
      <c r="AD183" s="34"/>
      <c r="AE183" s="34"/>
      <c r="AF183" s="34"/>
    </row>
    <row r="184" spans="1:32" x14ac:dyDescent="0.2">
      <c r="A184" s="33">
        <f t="shared" si="136"/>
        <v>126</v>
      </c>
      <c r="B184" s="33">
        <v>928</v>
      </c>
      <c r="F184" s="20" t="s">
        <v>81</v>
      </c>
      <c r="G184" s="34">
        <v>186431.53</v>
      </c>
      <c r="H184" s="26">
        <f t="shared" si="134"/>
        <v>228006.10572729123</v>
      </c>
      <c r="I184" s="34">
        <f t="shared" si="135"/>
        <v>414437.63572729123</v>
      </c>
      <c r="K184" s="34"/>
      <c r="L184" s="34"/>
      <c r="M184" s="34"/>
      <c r="N184" s="34"/>
      <c r="O184" s="34"/>
      <c r="P184" s="34"/>
      <c r="Q184" s="34">
        <v>6.105727291233249</v>
      </c>
      <c r="R184" s="34"/>
      <c r="S184" s="34"/>
      <c r="T184" s="34"/>
      <c r="U184" s="34"/>
      <c r="V184" s="34"/>
      <c r="W184" s="34">
        <v>228000</v>
      </c>
      <c r="X184" s="34"/>
      <c r="Y184" s="34"/>
      <c r="Z184" s="34"/>
      <c r="AA184" s="34"/>
      <c r="AB184" s="34"/>
      <c r="AC184" s="34"/>
      <c r="AD184" s="34"/>
      <c r="AE184" s="34"/>
      <c r="AF184" s="34"/>
    </row>
    <row r="185" spans="1:32" x14ac:dyDescent="0.2">
      <c r="A185" s="33">
        <f t="shared" si="136"/>
        <v>127</v>
      </c>
      <c r="B185" s="33">
        <v>929</v>
      </c>
      <c r="F185" s="20" t="s">
        <v>80</v>
      </c>
      <c r="G185" s="34">
        <v>-21835.58</v>
      </c>
      <c r="H185" s="26">
        <f t="shared" si="134"/>
        <v>16347.689999999999</v>
      </c>
      <c r="I185" s="34">
        <f t="shared" si="135"/>
        <v>-5487.8900000000031</v>
      </c>
      <c r="K185" s="34"/>
      <c r="L185" s="34"/>
      <c r="M185" s="34"/>
      <c r="N185" s="34"/>
      <c r="O185" s="34"/>
      <c r="P185" s="34"/>
      <c r="Q185" s="34"/>
      <c r="R185" s="34"/>
      <c r="S185" s="34"/>
      <c r="T185" s="34"/>
      <c r="U185" s="34"/>
      <c r="V185" s="34"/>
      <c r="W185" s="34"/>
      <c r="X185" s="34"/>
      <c r="Y185" s="34"/>
      <c r="Z185" s="34"/>
      <c r="AA185" s="34">
        <v>16347.689999999999</v>
      </c>
      <c r="AB185" s="34"/>
      <c r="AC185" s="34"/>
      <c r="AD185" s="34"/>
      <c r="AE185" s="34"/>
      <c r="AF185" s="34"/>
    </row>
    <row r="186" spans="1:32" x14ac:dyDescent="0.2">
      <c r="A186" s="33">
        <f t="shared" si="136"/>
        <v>128</v>
      </c>
      <c r="B186" s="33">
        <v>930</v>
      </c>
      <c r="F186" s="20" t="s">
        <v>79</v>
      </c>
      <c r="G186" s="34">
        <v>64121</v>
      </c>
      <c r="H186" s="26">
        <f t="shared" si="134"/>
        <v>128.9110670795049</v>
      </c>
      <c r="I186" s="34">
        <f t="shared" si="135"/>
        <v>64249.911067079505</v>
      </c>
      <c r="K186" s="34"/>
      <c r="L186" s="34"/>
      <c r="M186" s="34"/>
      <c r="N186" s="34"/>
      <c r="O186" s="34"/>
      <c r="P186" s="34"/>
      <c r="Q186" s="34">
        <v>128.9110670795049</v>
      </c>
      <c r="R186" s="34"/>
      <c r="S186" s="34"/>
      <c r="T186" s="34"/>
      <c r="U186" s="34"/>
      <c r="V186" s="34"/>
      <c r="W186" s="34"/>
      <c r="X186" s="34"/>
      <c r="Y186" s="34"/>
      <c r="Z186" s="34"/>
      <c r="AA186" s="34"/>
      <c r="AB186" s="34"/>
      <c r="AC186" s="34"/>
      <c r="AD186" s="34"/>
      <c r="AE186" s="34"/>
      <c r="AF186" s="34"/>
    </row>
    <row r="187" spans="1:32" x14ac:dyDescent="0.2">
      <c r="A187" s="33">
        <f t="shared" si="136"/>
        <v>129</v>
      </c>
      <c r="B187" s="33">
        <v>931</v>
      </c>
      <c r="F187" s="20" t="s">
        <v>78</v>
      </c>
      <c r="G187" s="34">
        <v>1349358.02</v>
      </c>
      <c r="H187" s="26">
        <f t="shared" si="134"/>
        <v>0</v>
      </c>
      <c r="I187" s="34">
        <f t="shared" si="135"/>
        <v>1349358.02</v>
      </c>
      <c r="K187" s="34"/>
      <c r="L187" s="34"/>
      <c r="M187" s="34"/>
      <c r="N187" s="34"/>
      <c r="O187" s="34"/>
      <c r="P187" s="34"/>
      <c r="Q187" s="34"/>
      <c r="R187" s="34"/>
      <c r="S187" s="34"/>
      <c r="T187" s="34"/>
      <c r="U187" s="34"/>
      <c r="V187" s="34"/>
      <c r="W187" s="34"/>
      <c r="X187" s="34"/>
      <c r="Y187" s="34"/>
      <c r="Z187" s="34"/>
      <c r="AA187" s="34"/>
      <c r="AB187" s="34"/>
      <c r="AC187" s="34"/>
      <c r="AD187" s="34"/>
      <c r="AE187" s="34"/>
      <c r="AF187" s="34"/>
    </row>
    <row r="188" spans="1:32" x14ac:dyDescent="0.2">
      <c r="A188" s="33"/>
      <c r="B188" s="33"/>
      <c r="E188" s="20" t="s">
        <v>77</v>
      </c>
      <c r="G188" s="26"/>
      <c r="H188" s="26"/>
      <c r="I188" s="34"/>
      <c r="K188" s="264"/>
      <c r="L188" s="264"/>
      <c r="M188" s="264"/>
      <c r="N188" s="264"/>
      <c r="O188" s="264"/>
      <c r="P188" s="264"/>
      <c r="Q188" s="264"/>
      <c r="R188" s="264"/>
      <c r="S188" s="264"/>
      <c r="T188" s="264"/>
      <c r="U188" s="264"/>
      <c r="V188" s="264"/>
      <c r="W188" s="264"/>
      <c r="X188" s="264"/>
      <c r="Y188" s="264"/>
      <c r="Z188" s="264"/>
      <c r="AA188" s="264"/>
      <c r="AB188" s="264"/>
      <c r="AC188" s="264"/>
      <c r="AD188" s="264"/>
      <c r="AE188" s="264"/>
      <c r="AF188" s="264"/>
    </row>
    <row r="189" spans="1:32" x14ac:dyDescent="0.2">
      <c r="A189" s="35">
        <f>+A187+1</f>
        <v>130</v>
      </c>
      <c r="B189" s="35">
        <v>935</v>
      </c>
      <c r="C189" s="23"/>
      <c r="D189" s="23"/>
      <c r="E189" s="23"/>
      <c r="F189" s="23" t="s">
        <v>76</v>
      </c>
      <c r="G189" s="9">
        <v>-11.41</v>
      </c>
      <c r="H189" s="246">
        <f>SUM(K189:AF189)</f>
        <v>8.9134704981507301E-2</v>
      </c>
      <c r="I189" s="9">
        <f>G189+H189</f>
        <v>-11.320865295018493</v>
      </c>
      <c r="K189" s="9"/>
      <c r="L189" s="9"/>
      <c r="M189" s="9"/>
      <c r="N189" s="9"/>
      <c r="O189" s="9"/>
      <c r="P189" s="9"/>
      <c r="Q189" s="9">
        <v>8.9134704981507301E-2</v>
      </c>
      <c r="R189" s="9"/>
      <c r="S189" s="9"/>
      <c r="T189" s="9"/>
      <c r="U189" s="9"/>
      <c r="V189" s="9"/>
      <c r="W189" s="9"/>
      <c r="X189" s="9"/>
      <c r="Y189" s="9"/>
      <c r="Z189" s="9"/>
      <c r="AA189" s="9"/>
      <c r="AB189" s="9"/>
      <c r="AC189" s="9"/>
      <c r="AD189" s="9"/>
      <c r="AE189" s="9"/>
      <c r="AF189" s="9"/>
    </row>
    <row r="190" spans="1:32" x14ac:dyDescent="0.2">
      <c r="A190" s="33">
        <f>+A189+1</f>
        <v>131</v>
      </c>
      <c r="B190" s="33"/>
      <c r="C190" s="20" t="s">
        <v>75</v>
      </c>
      <c r="G190" s="26">
        <f>SUM(G177:G189)</f>
        <v>4486476.92</v>
      </c>
      <c r="H190" s="26">
        <f>SUM(H177:H189)</f>
        <v>198589.02366305629</v>
      </c>
      <c r="I190" s="26">
        <f>SUM(I177:I189)</f>
        <v>4685065.943663056</v>
      </c>
      <c r="K190" s="26">
        <f>SUM(K177:K189)</f>
        <v>0</v>
      </c>
      <c r="L190" s="26">
        <f t="shared" ref="L190:M190" si="137">SUM(L177:L189)</f>
        <v>0</v>
      </c>
      <c r="M190" s="26">
        <f t="shared" si="137"/>
        <v>0</v>
      </c>
      <c r="N190" s="26">
        <f>SUM(N177:N189)</f>
        <v>0</v>
      </c>
      <c r="O190" s="26">
        <f t="shared" ref="O190" si="138">SUM(O177:O189)</f>
        <v>0</v>
      </c>
      <c r="P190" s="26">
        <f t="shared" ref="P190" si="139">SUM(P177:P189)</f>
        <v>0</v>
      </c>
      <c r="Q190" s="26">
        <f t="shared" ref="Q190:AE190" si="140">SUM(Q177:Q189)</f>
        <v>23265.588861765529</v>
      </c>
      <c r="R190" s="26">
        <f t="shared" si="140"/>
        <v>0</v>
      </c>
      <c r="S190" s="26">
        <f t="shared" si="140"/>
        <v>6156.08480129075</v>
      </c>
      <c r="T190" s="26">
        <f t="shared" si="140"/>
        <v>0</v>
      </c>
      <c r="U190" s="26">
        <f t="shared" si="140"/>
        <v>0</v>
      </c>
      <c r="V190" s="26">
        <f t="shared" si="140"/>
        <v>0</v>
      </c>
      <c r="W190" s="26">
        <f>SUM(W177:W189)</f>
        <v>228000</v>
      </c>
      <c r="X190" s="26">
        <f t="shared" si="140"/>
        <v>0</v>
      </c>
      <c r="Y190" s="26">
        <f t="shared" si="140"/>
        <v>-75180.34</v>
      </c>
      <c r="Z190" s="26">
        <f t="shared" si="140"/>
        <v>0</v>
      </c>
      <c r="AA190" s="26">
        <f t="shared" si="140"/>
        <v>16347.689999999999</v>
      </c>
      <c r="AB190" s="26">
        <f t="shared" si="140"/>
        <v>0</v>
      </c>
      <c r="AC190" s="26">
        <f t="shared" ref="AC190" si="141">SUM(AC177:AC189)</f>
        <v>0</v>
      </c>
      <c r="AD190" s="26">
        <f t="shared" ref="AD190" si="142">SUM(AD177:AD189)</f>
        <v>0</v>
      </c>
      <c r="AE190" s="26">
        <f t="shared" si="140"/>
        <v>0</v>
      </c>
      <c r="AF190" s="26">
        <f t="shared" ref="AF190" si="143">SUM(AF177:AF189)</f>
        <v>0</v>
      </c>
    </row>
    <row r="191" spans="1:32" x14ac:dyDescent="0.2">
      <c r="A191" s="33"/>
      <c r="B191" s="33"/>
      <c r="G191" s="26"/>
      <c r="H191" s="26"/>
      <c r="I191" s="26"/>
      <c r="K191" s="26"/>
      <c r="L191" s="26"/>
      <c r="M191" s="26"/>
      <c r="N191" s="26"/>
      <c r="O191" s="26"/>
      <c r="P191" s="26"/>
      <c r="Q191" s="26"/>
      <c r="R191" s="26"/>
      <c r="S191" s="26"/>
      <c r="T191" s="26"/>
      <c r="U191" s="26"/>
      <c r="V191" s="26"/>
      <c r="W191" s="26"/>
      <c r="X191" s="26"/>
      <c r="Y191" s="26"/>
      <c r="Z191" s="26"/>
      <c r="AA191" s="26"/>
      <c r="AB191" s="26"/>
      <c r="AC191" s="26"/>
      <c r="AD191" s="26"/>
      <c r="AE191" s="26"/>
      <c r="AF191" s="26"/>
    </row>
    <row r="192" spans="1:32" x14ac:dyDescent="0.2">
      <c r="A192" s="33">
        <f>+A190+1</f>
        <v>132</v>
      </c>
      <c r="B192" s="33"/>
      <c r="C192" s="20" t="s">
        <v>74</v>
      </c>
      <c r="G192" s="26">
        <f>SUM(G97:G102)+SUM(G108:G111)+SUM(G116:G118)+SUM(G133:G142)+SUM(G156:G161)+SUM(G165:G167)+SUM(G171:G172)+SUM(G177:G187)</f>
        <v>82619850.270000011</v>
      </c>
      <c r="H192" s="26">
        <f>SUM(H97:H102)+SUM(H108:H111)+SUM(H116:H118)+SUM(H133:H142)+SUM(H156:H161)+SUM(H165:H167)+SUM(H171:H172)+SUM(H177:H187)</f>
        <v>-66890121.671745315</v>
      </c>
      <c r="I192" s="26">
        <f>SUM(I97:I102)+SUM(I108:I111)+SUM(I116:I118)+SUM(I133:I142)+SUM(I156:I161)+SUM(I165:I167)+SUM(I171:I172)+SUM(I177:I187)</f>
        <v>15729728.598254684</v>
      </c>
      <c r="J192" s="26"/>
      <c r="K192" s="26">
        <f t="shared" ref="K192:AE192" si="144">SUM(K97:K102)+SUM(K108:K111)+SUM(K116:K118)+SUM(K133:K142)+SUM(K156:K161)+SUM(K165:K167)+SUM(K171:K172)+SUM(K177:K187)</f>
        <v>0</v>
      </c>
      <c r="L192" s="26">
        <f t="shared" si="144"/>
        <v>0</v>
      </c>
      <c r="M192" s="26">
        <f t="shared" si="144"/>
        <v>0</v>
      </c>
      <c r="N192" s="26">
        <f>SUM(N97:N102)+SUM(N108:N111)+SUM(N116:N118)+SUM(N133:N142)+SUM(N156:N161)+SUM(N165:N167)+SUM(N171:N172)+SUM(N177:N187)</f>
        <v>0</v>
      </c>
      <c r="O192" s="26">
        <f t="shared" ref="O192" si="145">SUM(O97:O102)+SUM(O108:O111)+SUM(O116:O118)+SUM(O133:O142)+SUM(O156:O161)+SUM(O165:O167)+SUM(O171:O172)+SUM(O177:O187)</f>
        <v>0</v>
      </c>
      <c r="P192" s="26">
        <f t="shared" si="144"/>
        <v>0</v>
      </c>
      <c r="Q192" s="26">
        <f t="shared" si="144"/>
        <v>155943.24345335027</v>
      </c>
      <c r="R192" s="26">
        <f t="shared" si="144"/>
        <v>0</v>
      </c>
      <c r="S192" s="26">
        <f t="shared" si="144"/>
        <v>6156.08480129075</v>
      </c>
      <c r="T192" s="26">
        <f t="shared" si="144"/>
        <v>0</v>
      </c>
      <c r="U192" s="26">
        <f t="shared" si="144"/>
        <v>0</v>
      </c>
      <c r="V192" s="26">
        <f>SUM(V97:V102)+SUM(V108:V111)+SUM(V116:V118)+SUM(V133:V142)+SUM(V156:V161)+SUM(V166:V167)+SUM(V171:V172)+SUM(V177:V187)</f>
        <v>0</v>
      </c>
      <c r="W192" s="26">
        <f t="shared" si="144"/>
        <v>228000</v>
      </c>
      <c r="X192" s="26">
        <f t="shared" si="144"/>
        <v>0</v>
      </c>
      <c r="Y192" s="26">
        <f t="shared" si="144"/>
        <v>-75180.34</v>
      </c>
      <c r="Z192" s="26">
        <f t="shared" si="144"/>
        <v>0</v>
      </c>
      <c r="AA192" s="26">
        <f t="shared" si="144"/>
        <v>-56936869.059999958</v>
      </c>
      <c r="AB192" s="26">
        <f t="shared" si="144"/>
        <v>-61070.820000000007</v>
      </c>
      <c r="AC192" s="26">
        <f t="shared" ref="AC192" si="146">SUM(AC97:AC102)+SUM(AC108:AC111)+SUM(AC116:AC118)+SUM(AC133:AC142)+SUM(AC156:AC161)+SUM(AC165:AC167)+SUM(AC171:AC172)+SUM(AC177:AC187)</f>
        <v>-10207100.779999999</v>
      </c>
      <c r="AD192" s="26">
        <f t="shared" si="144"/>
        <v>0</v>
      </c>
      <c r="AE192" s="26">
        <f t="shared" si="144"/>
        <v>0</v>
      </c>
      <c r="AF192" s="26">
        <f t="shared" ref="AF192" si="147">SUM(AF97:AF102)+SUM(AF108:AF111)+SUM(AF116:AF118)+SUM(AF133:AF142)+SUM(AF156:AF161)+SUM(AF165:AF167)+SUM(AF171:AF172)+SUM(AF177:AF187)</f>
        <v>0</v>
      </c>
    </row>
    <row r="193" spans="1:32" x14ac:dyDescent="0.2">
      <c r="A193" s="33"/>
      <c r="B193" s="33"/>
      <c r="G193" s="26"/>
      <c r="H193" s="26"/>
      <c r="I193" s="26"/>
      <c r="J193" s="26"/>
      <c r="K193" s="26"/>
      <c r="L193" s="26"/>
      <c r="M193" s="26"/>
      <c r="N193" s="26"/>
      <c r="O193" s="26"/>
      <c r="P193" s="26"/>
      <c r="Q193" s="26"/>
      <c r="R193" s="26"/>
      <c r="S193" s="26"/>
      <c r="T193" s="26"/>
      <c r="U193" s="26"/>
      <c r="V193" s="26"/>
      <c r="W193" s="26"/>
      <c r="X193" s="26"/>
      <c r="Y193" s="26"/>
      <c r="Z193" s="26"/>
      <c r="AA193" s="26"/>
      <c r="AB193" s="26"/>
      <c r="AC193" s="26"/>
      <c r="AD193" s="26"/>
      <c r="AE193" s="26"/>
      <c r="AF193" s="26"/>
    </row>
    <row r="194" spans="1:32" x14ac:dyDescent="0.2">
      <c r="A194" s="33">
        <f>+A192+1</f>
        <v>133</v>
      </c>
      <c r="B194" s="33"/>
      <c r="C194" s="20" t="s">
        <v>73</v>
      </c>
      <c r="G194" s="26">
        <f>SUM(G104:G106)++SUM(G120:G128)+SUM(G144:G152)+G189</f>
        <v>1061077.4000000001</v>
      </c>
      <c r="H194" s="26">
        <f>SUM(H104:H106)++SUM(H120:H128)+SUM(H144:H152)+H189</f>
        <v>2451.0706849339786</v>
      </c>
      <c r="I194" s="26">
        <f>SUM(I104:I106)++SUM(I120:I128)+SUM(I144:I152)+I189</f>
        <v>1063528.4706849339</v>
      </c>
      <c r="J194" s="26"/>
      <c r="K194" s="26">
        <f t="shared" ref="K194:AE194" si="148">SUM(K104:K106)++SUM(K120:K128)+SUM(K144:K152)+K189</f>
        <v>0</v>
      </c>
      <c r="L194" s="26">
        <f t="shared" si="148"/>
        <v>0</v>
      </c>
      <c r="M194" s="26">
        <f t="shared" si="148"/>
        <v>0</v>
      </c>
      <c r="N194" s="26">
        <f>SUM(N104:N106)++SUM(N120:N128)+SUM(N144:N152)+N189</f>
        <v>0</v>
      </c>
      <c r="O194" s="26">
        <f t="shared" ref="O194" si="149">SUM(O104:O106)++SUM(O120:O128)+SUM(O144:O152)+O189</f>
        <v>0</v>
      </c>
      <c r="P194" s="26">
        <f t="shared" si="148"/>
        <v>0</v>
      </c>
      <c r="Q194" s="26">
        <f t="shared" si="148"/>
        <v>2451.0706849339786</v>
      </c>
      <c r="R194" s="26">
        <f t="shared" si="148"/>
        <v>0</v>
      </c>
      <c r="S194" s="26">
        <f t="shared" si="148"/>
        <v>0</v>
      </c>
      <c r="T194" s="26">
        <f t="shared" si="148"/>
        <v>0</v>
      </c>
      <c r="U194" s="26">
        <f t="shared" si="148"/>
        <v>0</v>
      </c>
      <c r="V194" s="26">
        <f t="shared" si="148"/>
        <v>0</v>
      </c>
      <c r="W194" s="26">
        <f t="shared" si="148"/>
        <v>0</v>
      </c>
      <c r="X194" s="26">
        <f t="shared" si="148"/>
        <v>0</v>
      </c>
      <c r="Y194" s="26">
        <f t="shared" si="148"/>
        <v>0</v>
      </c>
      <c r="Z194" s="26">
        <f t="shared" si="148"/>
        <v>0</v>
      </c>
      <c r="AA194" s="26">
        <f t="shared" si="148"/>
        <v>0</v>
      </c>
      <c r="AB194" s="26">
        <f t="shared" si="148"/>
        <v>0</v>
      </c>
      <c r="AC194" s="26">
        <f t="shared" ref="AC194" si="150">SUM(AC104:AC106)++SUM(AC120:AC128)+SUM(AC144:AC152)+AC189</f>
        <v>0</v>
      </c>
      <c r="AD194" s="26">
        <f t="shared" si="148"/>
        <v>0</v>
      </c>
      <c r="AE194" s="26">
        <f t="shared" si="148"/>
        <v>0</v>
      </c>
      <c r="AF194" s="26">
        <f t="shared" ref="AF194" si="151">SUM(AF104:AF106)++SUM(AF120:AF128)+SUM(AF144:AF152)+AF189</f>
        <v>0</v>
      </c>
    </row>
    <row r="195" spans="1:32" x14ac:dyDescent="0.2">
      <c r="A195" s="33"/>
      <c r="B195" s="33"/>
      <c r="G195" s="26"/>
      <c r="H195" s="26"/>
      <c r="I195" s="26"/>
      <c r="J195" s="26"/>
      <c r="K195" s="26"/>
      <c r="L195" s="26"/>
      <c r="M195" s="26"/>
      <c r="N195" s="26"/>
      <c r="O195" s="26"/>
      <c r="P195" s="26"/>
      <c r="Q195" s="26"/>
      <c r="R195" s="26"/>
      <c r="S195" s="26"/>
      <c r="T195" s="26"/>
      <c r="U195" s="26"/>
      <c r="V195" s="26"/>
      <c r="W195" s="26"/>
      <c r="X195" s="26"/>
      <c r="Y195" s="26"/>
      <c r="Z195" s="26"/>
      <c r="AA195" s="26"/>
      <c r="AB195" s="26"/>
      <c r="AC195" s="26"/>
      <c r="AD195" s="26"/>
      <c r="AE195" s="26"/>
      <c r="AF195" s="26"/>
    </row>
    <row r="196" spans="1:32" x14ac:dyDescent="0.2">
      <c r="A196" s="33">
        <f>+A194+1</f>
        <v>134</v>
      </c>
      <c r="B196" s="33"/>
      <c r="C196" s="20" t="s">
        <v>72</v>
      </c>
      <c r="G196" s="26">
        <f>G112+G129+G153+G162+G168+G173+G190</f>
        <v>83680927.670000017</v>
      </c>
      <c r="H196" s="26">
        <f>H112+H129+H153+H162+H168+H173+H190</f>
        <v>-66887670.601060376</v>
      </c>
      <c r="I196" s="26">
        <f>I112+I129+I153+I162+I168+I173+I190</f>
        <v>16793257.068939619</v>
      </c>
      <c r="J196" s="26"/>
      <c r="K196" s="26">
        <f t="shared" ref="K196:AE196" si="152">K112+K129+K153+K162+K168+K173+K190</f>
        <v>0</v>
      </c>
      <c r="L196" s="26">
        <f t="shared" si="152"/>
        <v>0</v>
      </c>
      <c r="M196" s="26">
        <f t="shared" si="152"/>
        <v>0</v>
      </c>
      <c r="N196" s="26">
        <f>N112+N129+N153+N162+N168+N173+N190</f>
        <v>0</v>
      </c>
      <c r="O196" s="26">
        <f t="shared" ref="O196" si="153">O112+O129+O153+O162+O168+O173+O190</f>
        <v>0</v>
      </c>
      <c r="P196" s="26">
        <f t="shared" si="152"/>
        <v>0</v>
      </c>
      <c r="Q196" s="26">
        <f t="shared" si="152"/>
        <v>158394.31413828419</v>
      </c>
      <c r="R196" s="26">
        <f t="shared" si="152"/>
        <v>0</v>
      </c>
      <c r="S196" s="26">
        <f t="shared" si="152"/>
        <v>6156.08480129075</v>
      </c>
      <c r="T196" s="26">
        <f t="shared" si="152"/>
        <v>0</v>
      </c>
      <c r="U196" s="26">
        <f t="shared" si="152"/>
        <v>0</v>
      </c>
      <c r="V196" s="26">
        <f t="shared" si="152"/>
        <v>0</v>
      </c>
      <c r="W196" s="26">
        <f t="shared" si="152"/>
        <v>228000</v>
      </c>
      <c r="X196" s="26">
        <f t="shared" si="152"/>
        <v>0</v>
      </c>
      <c r="Y196" s="26">
        <f t="shared" si="152"/>
        <v>-75180.34</v>
      </c>
      <c r="Z196" s="26">
        <f t="shared" si="152"/>
        <v>0</v>
      </c>
      <c r="AA196" s="26">
        <f t="shared" si="152"/>
        <v>-56936869.059999958</v>
      </c>
      <c r="AB196" s="26">
        <f t="shared" si="152"/>
        <v>-61070.820000000007</v>
      </c>
      <c r="AC196" s="26">
        <f t="shared" ref="AC196" si="154">AC112+AC129+AC153+AC162+AC168+AC173+AC190</f>
        <v>-10207100.779999999</v>
      </c>
      <c r="AD196" s="26">
        <f t="shared" si="152"/>
        <v>0</v>
      </c>
      <c r="AE196" s="26">
        <f t="shared" si="152"/>
        <v>0</v>
      </c>
      <c r="AF196" s="26">
        <f t="shared" ref="AF196" si="155">AF112+AF129+AF153+AF162+AF168+AF173+AF190</f>
        <v>0</v>
      </c>
    </row>
    <row r="197" spans="1:32" x14ac:dyDescent="0.2">
      <c r="A197" s="33"/>
      <c r="F197" s="239" t="s">
        <v>915</v>
      </c>
      <c r="G197" s="26">
        <v>0</v>
      </c>
      <c r="I197" s="26"/>
    </row>
    <row r="198" spans="1:32" ht="18" x14ac:dyDescent="0.25">
      <c r="A198" s="247" t="s">
        <v>12</v>
      </c>
      <c r="C198" s="32"/>
      <c r="R198" s="26"/>
    </row>
    <row r="199" spans="1:32" x14ac:dyDescent="0.2">
      <c r="A199" s="33"/>
      <c r="B199" s="36"/>
      <c r="C199" s="33"/>
      <c r="G199" s="26"/>
    </row>
    <row r="200" spans="1:32" x14ac:dyDescent="0.2">
      <c r="A200" s="33"/>
      <c r="C200" s="20" t="s">
        <v>71</v>
      </c>
      <c r="G200" s="34"/>
      <c r="K200" s="26"/>
      <c r="L200" s="26"/>
      <c r="M200" s="26"/>
      <c r="N200" s="26"/>
      <c r="O200" s="26"/>
      <c r="P200" s="26"/>
      <c r="Q200" s="26"/>
      <c r="R200" s="26"/>
      <c r="S200" s="26"/>
      <c r="T200" s="26"/>
      <c r="U200" s="26"/>
      <c r="V200" s="26"/>
      <c r="W200" s="26"/>
      <c r="X200" s="26"/>
      <c r="Y200" s="26"/>
      <c r="Z200" s="26"/>
      <c r="AA200" s="26"/>
      <c r="AB200" s="26"/>
      <c r="AC200" s="26"/>
      <c r="AD200" s="26"/>
      <c r="AE200" s="26"/>
      <c r="AF200" s="26"/>
    </row>
    <row r="201" spans="1:32" x14ac:dyDescent="0.2">
      <c r="A201" s="33">
        <f>+A196+1</f>
        <v>135</v>
      </c>
      <c r="B201" s="20" t="s">
        <v>70</v>
      </c>
      <c r="D201" s="20" t="s">
        <v>184</v>
      </c>
      <c r="G201" s="34">
        <v>570769.87</v>
      </c>
      <c r="H201" s="26">
        <f t="shared" ref="H201:H207" si="156">SUM(K201:AF201)</f>
        <v>966942.22999999975</v>
      </c>
      <c r="I201" s="34">
        <f t="shared" ref="I201:I207" si="157">G201+H201</f>
        <v>1537712.0999999996</v>
      </c>
      <c r="K201" s="34">
        <v>1085.1299999999997</v>
      </c>
      <c r="L201" s="34"/>
      <c r="M201" s="34"/>
      <c r="N201" s="34"/>
      <c r="O201" s="34">
        <v>965857.09999999974</v>
      </c>
      <c r="P201" s="34"/>
      <c r="Q201" s="34"/>
      <c r="R201" s="34"/>
      <c r="S201" s="34"/>
      <c r="T201" s="34"/>
      <c r="U201" s="34"/>
      <c r="V201" s="34"/>
      <c r="W201" s="34"/>
      <c r="X201" s="34"/>
      <c r="Y201" s="34"/>
      <c r="Z201" s="34"/>
      <c r="AA201" s="34"/>
      <c r="AB201" s="34"/>
      <c r="AC201" s="34"/>
      <c r="AD201" s="34"/>
      <c r="AE201" s="34"/>
      <c r="AF201" s="34"/>
    </row>
    <row r="202" spans="1:32" x14ac:dyDescent="0.2">
      <c r="A202" s="33">
        <f>+A201+1</f>
        <v>136</v>
      </c>
      <c r="B202" s="20" t="s">
        <v>70</v>
      </c>
      <c r="D202" s="20" t="s">
        <v>353</v>
      </c>
      <c r="G202" s="34">
        <v>0</v>
      </c>
      <c r="H202" s="26">
        <f t="shared" si="156"/>
        <v>0</v>
      </c>
      <c r="I202" s="34">
        <f t="shared" si="157"/>
        <v>0</v>
      </c>
      <c r="K202"/>
      <c r="L202"/>
      <c r="M202"/>
      <c r="N202"/>
      <c r="O202"/>
      <c r="P202" s="34"/>
      <c r="Q202" s="34"/>
      <c r="R202" s="34"/>
      <c r="S202" s="34"/>
      <c r="T202"/>
      <c r="U202" s="34"/>
      <c r="V202" s="34"/>
      <c r="W202" s="34"/>
      <c r="X202" s="34"/>
      <c r="Y202" s="34"/>
      <c r="Z202" s="34"/>
      <c r="AA202" s="34"/>
      <c r="AB202" s="34"/>
      <c r="AC202" s="34"/>
      <c r="AD202" s="34"/>
      <c r="AE202" s="34"/>
      <c r="AF202" s="34"/>
    </row>
    <row r="203" spans="1:32" x14ac:dyDescent="0.2">
      <c r="A203" s="33">
        <f t="shared" ref="A203:A208" si="158">+A202+1</f>
        <v>137</v>
      </c>
      <c r="B203" s="20" t="s">
        <v>70</v>
      </c>
      <c r="D203" s="20" t="s">
        <v>312</v>
      </c>
      <c r="G203" s="34">
        <v>101810.29</v>
      </c>
      <c r="H203" s="26">
        <f t="shared" si="156"/>
        <v>0</v>
      </c>
      <c r="I203" s="34">
        <f t="shared" si="157"/>
        <v>101810.29</v>
      </c>
      <c r="K203"/>
      <c r="L203"/>
      <c r="M203"/>
      <c r="N203" s="34"/>
      <c r="O203" s="34"/>
      <c r="P203" s="34"/>
      <c r="Q203" s="34"/>
      <c r="R203" s="34"/>
      <c r="S203" s="34"/>
      <c r="T203"/>
      <c r="U203" s="34"/>
      <c r="V203" s="34"/>
      <c r="W203" s="34"/>
      <c r="X203" s="34"/>
      <c r="Y203" s="34"/>
      <c r="Z203" s="34"/>
      <c r="AA203" s="34"/>
      <c r="AB203" s="34"/>
      <c r="AC203" s="34"/>
      <c r="AD203" s="34"/>
      <c r="AE203" s="34"/>
      <c r="AF203" s="34"/>
    </row>
    <row r="204" spans="1:32" x14ac:dyDescent="0.2">
      <c r="A204" s="33">
        <f t="shared" si="158"/>
        <v>138</v>
      </c>
      <c r="B204" s="33" t="s">
        <v>70</v>
      </c>
      <c r="D204" s="20" t="s">
        <v>154</v>
      </c>
      <c r="G204" s="34">
        <v>8420592.0199999996</v>
      </c>
      <c r="H204" s="26">
        <f t="shared" si="156"/>
        <v>296958.84999999998</v>
      </c>
      <c r="I204" s="34">
        <f t="shared" si="157"/>
        <v>8717550.8699999992</v>
      </c>
      <c r="K204" s="1">
        <v>95466.51999999999</v>
      </c>
      <c r="L204" s="254">
        <v>124663.75999999998</v>
      </c>
      <c r="M204" s="254">
        <v>60387.21</v>
      </c>
      <c r="N204" s="34">
        <v>16441.36</v>
      </c>
      <c r="O204" s="34"/>
      <c r="P204" s="34"/>
      <c r="Q204" s="34"/>
      <c r="R204" s="34"/>
      <c r="S204" s="34"/>
      <c r="T204" s="34"/>
      <c r="U204" s="34"/>
      <c r="V204" s="34"/>
      <c r="W204" s="34"/>
      <c r="X204" s="34"/>
      <c r="Y204" s="34"/>
      <c r="Z204" s="34"/>
      <c r="AA204" s="34"/>
      <c r="AB204" s="34"/>
      <c r="AC204" s="34"/>
      <c r="AD204" s="34"/>
      <c r="AE204" s="34"/>
      <c r="AF204" s="34"/>
    </row>
    <row r="205" spans="1:32" x14ac:dyDescent="0.2">
      <c r="A205" s="33">
        <f t="shared" si="158"/>
        <v>139</v>
      </c>
      <c r="B205" s="33" t="s">
        <v>70</v>
      </c>
      <c r="D205" s="20" t="s">
        <v>183</v>
      </c>
      <c r="G205" s="34">
        <v>418815.24</v>
      </c>
      <c r="H205" s="26">
        <f t="shared" si="156"/>
        <v>0</v>
      </c>
      <c r="I205" s="34">
        <f t="shared" si="157"/>
        <v>418815.24</v>
      </c>
      <c r="K205"/>
      <c r="L205"/>
      <c r="M205"/>
      <c r="N205" s="34"/>
      <c r="O205" s="34"/>
      <c r="P205" s="34"/>
      <c r="Q205" s="34"/>
      <c r="R205" s="34"/>
      <c r="S205" s="34"/>
      <c r="T205" s="34"/>
      <c r="U205" s="34"/>
      <c r="V205" s="34"/>
      <c r="W205" s="34"/>
      <c r="X205" s="34"/>
      <c r="Y205" s="34"/>
      <c r="Z205" s="34"/>
      <c r="AA205" s="34"/>
      <c r="AB205" s="34"/>
      <c r="AC205" s="34"/>
      <c r="AD205" s="34"/>
      <c r="AE205" s="34"/>
      <c r="AF205" s="34"/>
    </row>
    <row r="206" spans="1:32" x14ac:dyDescent="0.2">
      <c r="A206" s="33">
        <f t="shared" si="158"/>
        <v>140</v>
      </c>
      <c r="B206" s="251" t="s">
        <v>70</v>
      </c>
      <c r="D206" s="20" t="s">
        <v>67</v>
      </c>
      <c r="G206" s="34">
        <v>0</v>
      </c>
      <c r="H206" s="26">
        <f t="shared" si="156"/>
        <v>0</v>
      </c>
      <c r="I206" s="34">
        <f t="shared" si="157"/>
        <v>0</v>
      </c>
      <c r="K206" s="34"/>
      <c r="L206" s="34"/>
      <c r="M206" s="34"/>
      <c r="N206" s="34"/>
      <c r="O206" s="34"/>
      <c r="P206" s="34"/>
      <c r="Q206" s="34"/>
      <c r="R206" s="34"/>
      <c r="S206" s="34"/>
      <c r="T206"/>
      <c r="U206" s="34"/>
      <c r="V206" s="34"/>
      <c r="W206" s="34"/>
      <c r="X206" s="34"/>
      <c r="Y206" s="34"/>
      <c r="Z206" s="34"/>
      <c r="AA206" s="34"/>
      <c r="AB206" s="34"/>
      <c r="AC206" s="34"/>
      <c r="AD206" s="34"/>
      <c r="AE206" s="34"/>
      <c r="AF206" s="34"/>
    </row>
    <row r="207" spans="1:32" ht="15" x14ac:dyDescent="0.35">
      <c r="A207" s="35">
        <f t="shared" si="158"/>
        <v>141</v>
      </c>
      <c r="B207" s="35"/>
      <c r="C207" s="23"/>
      <c r="D207" s="23" t="s">
        <v>1080</v>
      </c>
      <c r="E207" s="23"/>
      <c r="F207" s="23"/>
      <c r="G207" s="9">
        <v>0</v>
      </c>
      <c r="H207" s="246">
        <f t="shared" si="156"/>
        <v>189825.15333333332</v>
      </c>
      <c r="I207" s="9">
        <f t="shared" si="157"/>
        <v>189825.15333333332</v>
      </c>
      <c r="J207" s="250"/>
      <c r="K207" s="9"/>
      <c r="L207" s="9"/>
      <c r="M207" s="9"/>
      <c r="N207" s="9"/>
      <c r="O207" s="9"/>
      <c r="P207" s="9"/>
      <c r="Q207" s="9"/>
      <c r="R207" s="9"/>
      <c r="S207" s="9"/>
      <c r="T207" s="9">
        <f>ROUND(520211.84/3,0)</f>
        <v>173404</v>
      </c>
      <c r="U207" s="9"/>
      <c r="V207" s="9">
        <f>49263.46/3</f>
        <v>16421.153333333332</v>
      </c>
      <c r="W207" s="9"/>
      <c r="X207" s="9"/>
      <c r="Y207" s="9"/>
      <c r="Z207" s="9"/>
      <c r="AA207" s="9"/>
      <c r="AB207" s="9"/>
      <c r="AC207" s="9"/>
      <c r="AD207" s="9"/>
      <c r="AE207" s="9"/>
      <c r="AF207" s="9"/>
    </row>
    <row r="208" spans="1:32" x14ac:dyDescent="0.2">
      <c r="A208" s="33">
        <f t="shared" si="158"/>
        <v>142</v>
      </c>
      <c r="C208" s="20" t="s">
        <v>69</v>
      </c>
      <c r="G208" s="34">
        <f>SUM(G201:G207)</f>
        <v>9511987.4199999999</v>
      </c>
      <c r="H208" s="34">
        <f>SUM(H201:H207)</f>
        <v>1453726.2333333329</v>
      </c>
      <c r="I208" s="34">
        <f>SUM(I201:I207)</f>
        <v>10965713.653333332</v>
      </c>
      <c r="K208" s="34">
        <f>SUM(K201:K207)</f>
        <v>96551.65</v>
      </c>
      <c r="L208" s="34">
        <f t="shared" ref="L208:M208" si="159">SUM(L201:L207)</f>
        <v>124663.75999999998</v>
      </c>
      <c r="M208" s="34">
        <f t="shared" si="159"/>
        <v>60387.21</v>
      </c>
      <c r="N208" s="34">
        <f>SUM(N201:N207)</f>
        <v>16441.36</v>
      </c>
      <c r="O208" s="34">
        <f>SUM(O201:O207)</f>
        <v>965857.09999999974</v>
      </c>
      <c r="P208" s="34">
        <f t="shared" ref="P208" si="160">SUM(P201:P207)</f>
        <v>0</v>
      </c>
      <c r="Q208" s="34">
        <f t="shared" ref="Q208:AE208" si="161">SUM(Q201:Q207)</f>
        <v>0</v>
      </c>
      <c r="R208" s="34">
        <f t="shared" si="161"/>
        <v>0</v>
      </c>
      <c r="S208" s="34">
        <f t="shared" si="161"/>
        <v>0</v>
      </c>
      <c r="T208" s="34">
        <f>SUM(T201:T207)</f>
        <v>173404</v>
      </c>
      <c r="U208" s="34">
        <f t="shared" si="161"/>
        <v>0</v>
      </c>
      <c r="V208" s="34">
        <f t="shared" si="161"/>
        <v>16421.153333333332</v>
      </c>
      <c r="W208" s="34">
        <f>SUM(W201:W207)</f>
        <v>0</v>
      </c>
      <c r="X208" s="34">
        <f t="shared" si="161"/>
        <v>0</v>
      </c>
      <c r="Y208" s="34">
        <f t="shared" si="161"/>
        <v>0</v>
      </c>
      <c r="Z208" s="34">
        <f t="shared" si="161"/>
        <v>0</v>
      </c>
      <c r="AA208" s="34">
        <f t="shared" si="161"/>
        <v>0</v>
      </c>
      <c r="AB208" s="34">
        <f t="shared" si="161"/>
        <v>0</v>
      </c>
      <c r="AC208" s="34">
        <f t="shared" si="161"/>
        <v>0</v>
      </c>
      <c r="AD208" s="34">
        <f t="shared" ref="AD208" si="162">SUM(AD201:AD207)</f>
        <v>0</v>
      </c>
      <c r="AE208" s="34">
        <f t="shared" si="161"/>
        <v>0</v>
      </c>
      <c r="AF208" s="34">
        <f t="shared" ref="AF208" si="163">SUM(AF201:AF207)</f>
        <v>0</v>
      </c>
    </row>
    <row r="209" spans="1:34" x14ac:dyDescent="0.2">
      <c r="A209" s="33"/>
      <c r="G209" s="34"/>
      <c r="I209" s="34"/>
    </row>
    <row r="210" spans="1:34" x14ac:dyDescent="0.2">
      <c r="A210" s="33"/>
      <c r="C210" s="20" t="s">
        <v>68</v>
      </c>
      <c r="G210" s="34"/>
      <c r="I210" s="34"/>
    </row>
    <row r="211" spans="1:34" x14ac:dyDescent="0.2">
      <c r="A211" s="33">
        <f>+A208+1</f>
        <v>143</v>
      </c>
      <c r="B211" s="33" t="s">
        <v>477</v>
      </c>
      <c r="D211" s="20" t="s">
        <v>355</v>
      </c>
      <c r="G211" s="34">
        <v>802438</v>
      </c>
      <c r="H211" s="26">
        <f>SUM(K211:AF211)</f>
        <v>13551.801806994546</v>
      </c>
      <c r="I211" s="34">
        <f t="shared" ref="I211:I214" si="164">G211+H211</f>
        <v>815989.8018069946</v>
      </c>
      <c r="K211" s="34"/>
      <c r="L211" s="34"/>
      <c r="M211" s="34"/>
      <c r="N211" s="34"/>
      <c r="O211" s="34"/>
      <c r="P211" s="34"/>
      <c r="Q211" s="34">
        <v>13551.801806994546</v>
      </c>
      <c r="R211" s="34"/>
      <c r="S211" s="34"/>
      <c r="T211" s="34"/>
      <c r="U211" s="34"/>
      <c r="V211" s="34"/>
      <c r="W211" s="34"/>
      <c r="X211" s="34"/>
      <c r="Y211" s="34"/>
      <c r="Z211" s="34"/>
      <c r="AA211" s="34"/>
      <c r="AB211" s="34"/>
      <c r="AC211" s="34"/>
      <c r="AD211" s="34"/>
      <c r="AE211" s="34"/>
      <c r="AF211" s="34"/>
    </row>
    <row r="212" spans="1:34" x14ac:dyDescent="0.2">
      <c r="A212" s="33">
        <f>+A211+1</f>
        <v>144</v>
      </c>
      <c r="B212" s="33" t="s">
        <v>478</v>
      </c>
      <c r="D212" s="20" t="s">
        <v>357</v>
      </c>
      <c r="G212" s="34">
        <v>1751356</v>
      </c>
      <c r="H212" s="26">
        <f>SUM(K212:AF212)</f>
        <v>-184345.14</v>
      </c>
      <c r="I212" s="34">
        <f t="shared" si="164"/>
        <v>1567010.8599999999</v>
      </c>
      <c r="K212" s="34"/>
      <c r="L212" s="34"/>
      <c r="M212" s="34"/>
      <c r="N212" s="34"/>
      <c r="O212" s="34"/>
      <c r="P212" s="34"/>
      <c r="Q212" s="34"/>
      <c r="R212" s="34"/>
      <c r="S212" s="34"/>
      <c r="T212" s="34"/>
      <c r="U212" s="34"/>
      <c r="V212" s="34"/>
      <c r="W212" s="34"/>
      <c r="X212" s="34"/>
      <c r="Y212" s="34"/>
      <c r="Z212" s="34">
        <v>-83264.52</v>
      </c>
      <c r="AA212" s="34">
        <v>-101080.62</v>
      </c>
      <c r="AB212" s="34"/>
      <c r="AC212" s="34"/>
      <c r="AD212" s="34"/>
      <c r="AE212" s="34"/>
      <c r="AF212" s="34"/>
    </row>
    <row r="213" spans="1:34" x14ac:dyDescent="0.2">
      <c r="A213" s="33">
        <f t="shared" ref="A213:A215" si="165">+A212+1</f>
        <v>145</v>
      </c>
      <c r="B213" s="33" t="s">
        <v>358</v>
      </c>
      <c r="D213" s="20" t="s">
        <v>359</v>
      </c>
      <c r="G213" s="34">
        <v>17631</v>
      </c>
      <c r="H213" s="26">
        <f>SUM(K213:AF213)</f>
        <v>0</v>
      </c>
      <c r="I213" s="34">
        <f t="shared" si="164"/>
        <v>17631</v>
      </c>
      <c r="K213" s="34"/>
      <c r="L213" s="34"/>
      <c r="M213" s="34"/>
      <c r="N213" s="34"/>
      <c r="O213" s="34"/>
      <c r="P213" s="34"/>
      <c r="Q213" s="34"/>
      <c r="R213" s="34"/>
      <c r="S213" s="34"/>
      <c r="T213" s="34"/>
      <c r="U213" s="34"/>
      <c r="V213" s="34"/>
      <c r="W213" s="34"/>
      <c r="X213" s="34"/>
      <c r="Y213" s="34"/>
      <c r="Z213" s="34"/>
      <c r="AA213" s="34"/>
      <c r="AB213" s="34"/>
      <c r="AC213" s="34"/>
      <c r="AD213" s="34"/>
      <c r="AE213" s="34"/>
      <c r="AF213" s="34"/>
    </row>
    <row r="214" spans="1:34" x14ac:dyDescent="0.2">
      <c r="A214" s="35">
        <f t="shared" si="165"/>
        <v>146</v>
      </c>
      <c r="B214" s="35">
        <v>408151</v>
      </c>
      <c r="C214" s="23"/>
      <c r="D214" s="23" t="s">
        <v>360</v>
      </c>
      <c r="E214" s="23"/>
      <c r="F214" s="23"/>
      <c r="G214" s="9">
        <v>0</v>
      </c>
      <c r="H214" s="246">
        <f>SUM(K214:AF214)</f>
        <v>0</v>
      </c>
      <c r="I214" s="9">
        <f t="shared" si="164"/>
        <v>0</v>
      </c>
      <c r="K214" s="9"/>
      <c r="L214" s="9"/>
      <c r="M214" s="9"/>
      <c r="N214" s="9"/>
      <c r="O214" s="9"/>
      <c r="P214" s="9"/>
      <c r="Q214" s="9"/>
      <c r="R214" s="9"/>
      <c r="S214" s="9"/>
      <c r="T214" s="9"/>
      <c r="U214" s="9"/>
      <c r="V214" s="9"/>
      <c r="W214" s="9"/>
      <c r="X214" s="9"/>
      <c r="Y214" s="9"/>
      <c r="Z214" s="9"/>
      <c r="AA214" s="9"/>
      <c r="AB214" s="9"/>
      <c r="AC214" s="9"/>
      <c r="AD214" s="9"/>
      <c r="AE214" s="9"/>
      <c r="AF214" s="9"/>
    </row>
    <row r="215" spans="1:34" x14ac:dyDescent="0.2">
      <c r="A215" s="33">
        <f t="shared" si="165"/>
        <v>147</v>
      </c>
      <c r="B215" s="33"/>
      <c r="C215" s="20" t="s">
        <v>66</v>
      </c>
      <c r="G215" s="34">
        <f>SUM(G211:G214)</f>
        <v>2571425</v>
      </c>
      <c r="H215" s="34">
        <f>SUM(H211:H214)</f>
        <v>-170793.33819300547</v>
      </c>
      <c r="I215" s="34">
        <f>SUM(I211:I214)</f>
        <v>2400631.6618069946</v>
      </c>
      <c r="K215" s="34">
        <f>SUM(K211:K214)</f>
        <v>0</v>
      </c>
      <c r="L215" s="34">
        <f t="shared" ref="L215:M215" si="166">SUM(L211:L214)</f>
        <v>0</v>
      </c>
      <c r="M215" s="34">
        <f t="shared" si="166"/>
        <v>0</v>
      </c>
      <c r="N215" s="34">
        <f>SUM(N211:N214)</f>
        <v>0</v>
      </c>
      <c r="O215" s="34">
        <f t="shared" ref="O215" si="167">SUM(O211:O214)</f>
        <v>0</v>
      </c>
      <c r="P215" s="34">
        <f t="shared" ref="P215" si="168">SUM(P211:P214)</f>
        <v>0</v>
      </c>
      <c r="Q215" s="34">
        <f t="shared" ref="Q215:AE215" si="169">SUM(Q211:Q214)</f>
        <v>13551.801806994546</v>
      </c>
      <c r="R215" s="34">
        <f t="shared" si="169"/>
        <v>0</v>
      </c>
      <c r="S215" s="34">
        <f t="shared" si="169"/>
        <v>0</v>
      </c>
      <c r="T215" s="34">
        <f t="shared" si="169"/>
        <v>0</v>
      </c>
      <c r="U215" s="34">
        <f t="shared" si="169"/>
        <v>0</v>
      </c>
      <c r="V215" s="34">
        <f t="shared" si="169"/>
        <v>0</v>
      </c>
      <c r="W215" s="34">
        <f>SUM(W211:W214)</f>
        <v>0</v>
      </c>
      <c r="X215" s="34">
        <f t="shared" si="169"/>
        <v>0</v>
      </c>
      <c r="Y215" s="34">
        <f t="shared" si="169"/>
        <v>0</v>
      </c>
      <c r="Z215" s="34">
        <f t="shared" si="169"/>
        <v>-83264.52</v>
      </c>
      <c r="AA215" s="34">
        <f t="shared" si="169"/>
        <v>-101080.62</v>
      </c>
      <c r="AB215" s="34">
        <f t="shared" si="169"/>
        <v>0</v>
      </c>
      <c r="AC215" s="34">
        <f t="shared" ref="AC215" si="170">SUM(AC211:AC214)</f>
        <v>0</v>
      </c>
      <c r="AD215" s="34">
        <f t="shared" ref="AD215" si="171">SUM(AD211:AD214)</f>
        <v>0</v>
      </c>
      <c r="AE215" s="34">
        <f t="shared" si="169"/>
        <v>0</v>
      </c>
      <c r="AF215" s="34">
        <f t="shared" ref="AF215" si="172">SUM(AF211:AF214)</f>
        <v>0</v>
      </c>
    </row>
    <row r="216" spans="1:34" x14ac:dyDescent="0.2">
      <c r="A216" s="33"/>
      <c r="B216" s="33"/>
      <c r="G216" s="34"/>
      <c r="H216" s="34"/>
      <c r="I216" s="34"/>
      <c r="K216" s="34"/>
      <c r="L216" s="34"/>
      <c r="M216" s="34"/>
      <c r="N216" s="34"/>
      <c r="O216" s="34"/>
      <c r="P216" s="34"/>
      <c r="Q216" s="34"/>
      <c r="R216" s="34"/>
      <c r="S216" s="34"/>
      <c r="T216" s="34"/>
      <c r="U216" s="34"/>
      <c r="V216" s="34"/>
      <c r="W216" s="34"/>
      <c r="X216" s="34"/>
      <c r="Y216" s="34"/>
      <c r="Z216" s="34"/>
      <c r="AA216" s="34"/>
      <c r="AB216" s="34"/>
      <c r="AC216" s="34"/>
      <c r="AD216" s="34"/>
      <c r="AE216" s="34"/>
      <c r="AF216" s="34"/>
    </row>
    <row r="217" spans="1:34" x14ac:dyDescent="0.2">
      <c r="A217" s="33">
        <f>+A215+1</f>
        <v>148</v>
      </c>
      <c r="B217" s="33"/>
      <c r="C217" s="20" t="s">
        <v>65</v>
      </c>
      <c r="G217" s="34">
        <f>G208+G215</f>
        <v>12083412.42</v>
      </c>
      <c r="H217" s="34">
        <f>H208+H215</f>
        <v>1282932.8951403275</v>
      </c>
      <c r="I217" s="34">
        <f>I208+I215</f>
        <v>13366345.315140327</v>
      </c>
      <c r="K217" s="34">
        <f>K208+K215</f>
        <v>96551.65</v>
      </c>
      <c r="L217" s="34">
        <f t="shared" ref="L217:M217" si="173">L208+L215</f>
        <v>124663.75999999998</v>
      </c>
      <c r="M217" s="34">
        <f t="shared" si="173"/>
        <v>60387.21</v>
      </c>
      <c r="N217" s="34">
        <f>N208+N215</f>
        <v>16441.36</v>
      </c>
      <c r="O217" s="34">
        <f t="shared" ref="O217" si="174">O208+O215</f>
        <v>965857.09999999974</v>
      </c>
      <c r="P217" s="34">
        <f t="shared" ref="P217" si="175">P208+P215</f>
        <v>0</v>
      </c>
      <c r="Q217" s="34">
        <f t="shared" ref="Q217:AE217" si="176">Q208+Q215</f>
        <v>13551.801806994546</v>
      </c>
      <c r="R217" s="34">
        <f t="shared" si="176"/>
        <v>0</v>
      </c>
      <c r="S217" s="34">
        <f t="shared" si="176"/>
        <v>0</v>
      </c>
      <c r="T217" s="34">
        <f t="shared" si="176"/>
        <v>173404</v>
      </c>
      <c r="U217" s="34">
        <f t="shared" si="176"/>
        <v>0</v>
      </c>
      <c r="V217" s="34">
        <f t="shared" si="176"/>
        <v>16421.153333333332</v>
      </c>
      <c r="W217" s="34">
        <f>W208+W215</f>
        <v>0</v>
      </c>
      <c r="X217" s="34">
        <f t="shared" si="176"/>
        <v>0</v>
      </c>
      <c r="Y217" s="34">
        <f t="shared" si="176"/>
        <v>0</v>
      </c>
      <c r="Z217" s="34">
        <f t="shared" si="176"/>
        <v>-83264.52</v>
      </c>
      <c r="AA217" s="34">
        <f t="shared" si="176"/>
        <v>-101080.62</v>
      </c>
      <c r="AB217" s="34">
        <f t="shared" si="176"/>
        <v>0</v>
      </c>
      <c r="AC217" s="34">
        <f t="shared" ref="AC217" si="177">AC208+AC215</f>
        <v>0</v>
      </c>
      <c r="AD217" s="34">
        <f t="shared" ref="AD217" si="178">AD208+AD215</f>
        <v>0</v>
      </c>
      <c r="AE217" s="34">
        <f t="shared" si="176"/>
        <v>0</v>
      </c>
      <c r="AF217" s="34">
        <f t="shared" ref="AF217" si="179">AF208+AF215</f>
        <v>0</v>
      </c>
    </row>
    <row r="218" spans="1:34" x14ac:dyDescent="0.2">
      <c r="A218" s="33"/>
      <c r="G218" s="26"/>
    </row>
    <row r="219" spans="1:34" ht="18" x14ac:dyDescent="0.25">
      <c r="A219" s="247" t="s">
        <v>64</v>
      </c>
      <c r="C219" s="32"/>
      <c r="G219" s="26"/>
    </row>
    <row r="220" spans="1:34" x14ac:dyDescent="0.2">
      <c r="A220" s="33"/>
      <c r="B220" s="36"/>
      <c r="C220" s="33"/>
      <c r="G220" s="26"/>
    </row>
    <row r="221" spans="1:34" x14ac:dyDescent="0.2">
      <c r="A221" s="33"/>
      <c r="B221" s="33"/>
      <c r="C221" s="20" t="s">
        <v>63</v>
      </c>
      <c r="G221" s="26"/>
      <c r="I221" s="26"/>
    </row>
    <row r="222" spans="1:34" x14ac:dyDescent="0.2">
      <c r="A222" s="33">
        <f>+A217+1</f>
        <v>149</v>
      </c>
      <c r="B222" s="33" t="s">
        <v>745</v>
      </c>
      <c r="D222" s="20" t="s">
        <v>361</v>
      </c>
      <c r="G222" s="27">
        <v>90285886.300000012</v>
      </c>
      <c r="H222" s="26">
        <f>SUM(K222:AF222)</f>
        <v>-51195374.482071064</v>
      </c>
      <c r="I222" s="27">
        <f>G222+H222</f>
        <v>39090511.817928948</v>
      </c>
      <c r="K222" s="27"/>
      <c r="L222" s="27"/>
      <c r="M222" s="27"/>
      <c r="N222" s="27"/>
      <c r="O222" s="27"/>
      <c r="P222" s="27"/>
      <c r="Q222" s="27"/>
      <c r="R222" s="34">
        <v>741366</v>
      </c>
      <c r="S222" s="34"/>
      <c r="T222" s="34"/>
      <c r="U222" s="34">
        <v>444709.3878823733</v>
      </c>
      <c r="V222" s="27"/>
      <c r="W222" s="27"/>
      <c r="X222" s="27"/>
      <c r="Y222" s="27"/>
      <c r="Z222" s="27"/>
      <c r="AA222" s="27">
        <v>-57037950.090000011</v>
      </c>
      <c r="AB222" s="27"/>
      <c r="AC222" s="27"/>
      <c r="AD222" s="27">
        <f>-AD232</f>
        <v>4810289.8499999996</v>
      </c>
      <c r="AE222" s="27"/>
      <c r="AF222" s="27">
        <f>-SUM('SRC-2 (S.D. Revenue)'!Q10,'SRC-2 (S.D. Revenue)'!H12,'SRC-2 (S.D. Revenue)'!Q17,'SRC-2 (S.D. Revenue)'!H21)+'SRC-2 (S.D. Revenue)'!K10+'SRC-2 (S.D. Revenue)'!K17</f>
        <v>-153789.6299534321</v>
      </c>
    </row>
    <row r="223" spans="1:34" x14ac:dyDescent="0.2">
      <c r="A223" s="35">
        <f>+A222+1</f>
        <v>150</v>
      </c>
      <c r="B223" s="35" t="s">
        <v>745</v>
      </c>
      <c r="C223" s="23"/>
      <c r="D223" s="23" t="s">
        <v>746</v>
      </c>
      <c r="E223" s="23"/>
      <c r="F223" s="23"/>
      <c r="G223" s="9">
        <v>0</v>
      </c>
      <c r="H223" s="246">
        <f>SUM(K223:AF223)</f>
        <v>153789.6299534321</v>
      </c>
      <c r="I223" s="9">
        <f>G223+H223</f>
        <v>153789.6299534321</v>
      </c>
      <c r="J223" s="23"/>
      <c r="K223" s="9"/>
      <c r="L223" s="9"/>
      <c r="M223" s="9"/>
      <c r="N223" s="9"/>
      <c r="O223" s="9"/>
      <c r="P223" s="9"/>
      <c r="Q223" s="9"/>
      <c r="R223" s="265"/>
      <c r="S223" s="9"/>
      <c r="T223" s="9"/>
      <c r="U223" s="9"/>
      <c r="V223" s="9"/>
      <c r="W223" s="9"/>
      <c r="X223" s="9"/>
      <c r="Y223" s="9"/>
      <c r="Z223" s="9"/>
      <c r="AA223" s="9"/>
      <c r="AB223" s="9"/>
      <c r="AC223" s="9"/>
      <c r="AD223" s="9"/>
      <c r="AE223" s="9"/>
      <c r="AF223" s="9">
        <f>-AF222</f>
        <v>153789.6299534321</v>
      </c>
      <c r="AH223" s="244"/>
    </row>
    <row r="224" spans="1:34" x14ac:dyDescent="0.2">
      <c r="A224" s="33">
        <f>+A223+1</f>
        <v>151</v>
      </c>
      <c r="B224" s="33"/>
      <c r="C224" s="20" t="s">
        <v>59</v>
      </c>
      <c r="G224" s="34">
        <f>SUM(G222:G223)</f>
        <v>90285886.300000012</v>
      </c>
      <c r="H224" s="34">
        <f t="shared" ref="H224:AF224" si="180">SUM(H222:H223)</f>
        <v>-51041584.852117635</v>
      </c>
      <c r="I224" s="34">
        <f t="shared" si="180"/>
        <v>39244301.447882377</v>
      </c>
      <c r="J224" s="34"/>
      <c r="K224" s="34">
        <f t="shared" si="180"/>
        <v>0</v>
      </c>
      <c r="L224" s="34">
        <f t="shared" si="180"/>
        <v>0</v>
      </c>
      <c r="M224" s="34">
        <f t="shared" si="180"/>
        <v>0</v>
      </c>
      <c r="N224" s="34">
        <f>SUM(N222:N223)</f>
        <v>0</v>
      </c>
      <c r="O224" s="34">
        <f t="shared" si="180"/>
        <v>0</v>
      </c>
      <c r="P224" s="34">
        <f t="shared" si="180"/>
        <v>0</v>
      </c>
      <c r="Q224" s="34">
        <f t="shared" si="180"/>
        <v>0</v>
      </c>
      <c r="R224" s="34">
        <f t="shared" si="180"/>
        <v>741366</v>
      </c>
      <c r="S224" s="34">
        <f t="shared" si="180"/>
        <v>0</v>
      </c>
      <c r="T224" s="34">
        <f t="shared" si="180"/>
        <v>0</v>
      </c>
      <c r="U224" s="34">
        <f t="shared" si="180"/>
        <v>444709.3878823733</v>
      </c>
      <c r="V224" s="34">
        <f t="shared" si="180"/>
        <v>0</v>
      </c>
      <c r="W224" s="34">
        <f t="shared" si="180"/>
        <v>0</v>
      </c>
      <c r="X224" s="34">
        <f t="shared" si="180"/>
        <v>0</v>
      </c>
      <c r="Y224" s="34">
        <f t="shared" si="180"/>
        <v>0</v>
      </c>
      <c r="Z224" s="34">
        <f t="shared" si="180"/>
        <v>0</v>
      </c>
      <c r="AA224" s="34">
        <f t="shared" si="180"/>
        <v>-57037950.090000011</v>
      </c>
      <c r="AB224" s="34">
        <f t="shared" si="180"/>
        <v>0</v>
      </c>
      <c r="AC224" s="34">
        <f t="shared" si="180"/>
        <v>0</v>
      </c>
      <c r="AD224" s="34">
        <f t="shared" si="180"/>
        <v>4810289.8499999996</v>
      </c>
      <c r="AE224" s="34">
        <f t="shared" si="180"/>
        <v>0</v>
      </c>
      <c r="AF224" s="34">
        <f t="shared" si="180"/>
        <v>0</v>
      </c>
    </row>
    <row r="225" spans="1:32" x14ac:dyDescent="0.2">
      <c r="A225" s="33"/>
      <c r="B225" s="33"/>
      <c r="G225" s="34"/>
      <c r="I225" s="34"/>
      <c r="K225" s="49"/>
      <c r="L225" s="49"/>
      <c r="M225" s="49"/>
      <c r="N225" s="49"/>
      <c r="O225" s="49"/>
      <c r="P225" s="49"/>
      <c r="Q225" s="49"/>
      <c r="R225" s="49"/>
      <c r="S225" s="49"/>
      <c r="T225" s="49"/>
      <c r="U225" s="49"/>
      <c r="V225" s="49"/>
      <c r="W225" s="49"/>
      <c r="X225" s="49"/>
      <c r="Y225" s="49"/>
      <c r="Z225" s="49"/>
      <c r="AA225" s="49"/>
      <c r="AB225" s="49"/>
      <c r="AC225" s="49"/>
      <c r="AD225" s="49"/>
      <c r="AE225" s="49"/>
      <c r="AF225" s="49"/>
    </row>
    <row r="226" spans="1:32" x14ac:dyDescent="0.2">
      <c r="A226" s="33"/>
      <c r="B226" s="33"/>
      <c r="C226" s="20" t="s">
        <v>6</v>
      </c>
      <c r="G226" s="34"/>
      <c r="I226" s="34"/>
    </row>
    <row r="227" spans="1:32" x14ac:dyDescent="0.2">
      <c r="A227" s="33">
        <f>+A224+1</f>
        <v>152</v>
      </c>
      <c r="B227" s="266">
        <v>481</v>
      </c>
      <c r="D227" s="20" t="s">
        <v>363</v>
      </c>
      <c r="G227" s="34">
        <v>0</v>
      </c>
      <c r="H227" s="26">
        <f t="shared" ref="H227:H235" si="181">SUM(K227:AF227)</f>
        <v>0</v>
      </c>
      <c r="I227" s="34">
        <f t="shared" ref="I227:I235" si="182">G227+H227</f>
        <v>0</v>
      </c>
      <c r="K227" s="26"/>
      <c r="L227" s="26"/>
      <c r="M227" s="26"/>
      <c r="N227" s="26"/>
      <c r="O227" s="26"/>
      <c r="P227" s="26"/>
      <c r="Q227" s="26"/>
      <c r="R227" s="26"/>
      <c r="S227" s="26"/>
      <c r="T227" s="26"/>
      <c r="U227" s="26"/>
      <c r="V227" s="26"/>
      <c r="W227" s="26"/>
      <c r="X227" s="26"/>
      <c r="Y227" s="26"/>
      <c r="Z227" s="26"/>
      <c r="AA227" s="26"/>
      <c r="AB227" s="26"/>
      <c r="AC227" s="26"/>
      <c r="AD227" s="26"/>
      <c r="AE227" s="26"/>
      <c r="AF227" s="26"/>
    </row>
    <row r="228" spans="1:32" x14ac:dyDescent="0.2">
      <c r="A228" s="33">
        <f>+A227+1</f>
        <v>153</v>
      </c>
      <c r="B228" s="33">
        <v>483</v>
      </c>
      <c r="D228" s="20" t="s">
        <v>364</v>
      </c>
      <c r="G228" s="34">
        <v>10207100.779999999</v>
      </c>
      <c r="H228" s="26">
        <f t="shared" si="181"/>
        <v>-10207100.779999999</v>
      </c>
      <c r="I228" s="34">
        <f t="shared" si="182"/>
        <v>0</v>
      </c>
      <c r="K228" s="27"/>
      <c r="L228" s="27"/>
      <c r="M228" s="27"/>
      <c r="N228" s="27"/>
      <c r="O228" s="27"/>
      <c r="P228" s="27"/>
      <c r="Q228" s="27"/>
      <c r="R228" s="27"/>
      <c r="S228" s="27"/>
      <c r="T228" s="27"/>
      <c r="U228" s="27"/>
      <c r="V228" s="27"/>
      <c r="W228" s="27"/>
      <c r="X228" s="27"/>
      <c r="Y228" s="27"/>
      <c r="Z228" s="27"/>
      <c r="AA228" s="27"/>
      <c r="AB228" s="27"/>
      <c r="AC228" s="27">
        <v>-10207100.779999999</v>
      </c>
      <c r="AD228" s="27"/>
      <c r="AE228" s="27"/>
      <c r="AF228" s="27"/>
    </row>
    <row r="229" spans="1:32" x14ac:dyDescent="0.2">
      <c r="A229" s="33">
        <f t="shared" ref="A229:A235" si="183">+A228+1</f>
        <v>154</v>
      </c>
      <c r="B229" s="33">
        <v>484</v>
      </c>
      <c r="D229" s="20" t="s">
        <v>58</v>
      </c>
      <c r="G229" s="34">
        <v>0</v>
      </c>
      <c r="H229" s="26">
        <f t="shared" si="181"/>
        <v>0</v>
      </c>
      <c r="I229" s="34">
        <f t="shared" si="182"/>
        <v>0</v>
      </c>
      <c r="K229" s="26"/>
      <c r="L229" s="26"/>
      <c r="M229" s="26"/>
      <c r="N229" s="26"/>
      <c r="O229" s="26"/>
      <c r="P229" s="26"/>
      <c r="Q229" s="26"/>
      <c r="R229" s="26"/>
      <c r="S229" s="26"/>
      <c r="T229" s="26"/>
      <c r="U229" s="26"/>
      <c r="V229" s="26"/>
      <c r="W229" s="26"/>
      <c r="X229" s="26"/>
      <c r="Y229" s="26"/>
      <c r="Z229" s="26"/>
      <c r="AA229" s="26"/>
      <c r="AB229" s="26"/>
      <c r="AC229" s="26"/>
      <c r="AD229" s="26"/>
      <c r="AE229" s="26"/>
      <c r="AF229" s="26"/>
    </row>
    <row r="230" spans="1:32" x14ac:dyDescent="0.2">
      <c r="A230" s="33">
        <f t="shared" si="183"/>
        <v>155</v>
      </c>
      <c r="B230" s="33">
        <v>487011</v>
      </c>
      <c r="D230" s="20" t="s">
        <v>57</v>
      </c>
      <c r="G230" s="34">
        <v>144092.81</v>
      </c>
      <c r="H230" s="26">
        <f t="shared" si="181"/>
        <v>-144093</v>
      </c>
      <c r="I230" s="34">
        <f t="shared" si="182"/>
        <v>-0.19000000000232831</v>
      </c>
      <c r="K230" s="26"/>
      <c r="L230" s="26"/>
      <c r="M230" s="26"/>
      <c r="N230" s="26"/>
      <c r="O230" s="26"/>
      <c r="P230" s="26"/>
      <c r="Q230" s="26"/>
      <c r="R230" s="26"/>
      <c r="S230" s="26"/>
      <c r="T230" s="26"/>
      <c r="U230" s="26"/>
      <c r="V230" s="26"/>
      <c r="W230" s="26"/>
      <c r="X230" s="26">
        <v>-144093</v>
      </c>
      <c r="Y230" s="26"/>
      <c r="Z230" s="26"/>
      <c r="AA230" s="26"/>
      <c r="AB230" s="26"/>
      <c r="AC230" s="26"/>
      <c r="AD230" s="26"/>
      <c r="AE230" s="26"/>
      <c r="AF230" s="26"/>
    </row>
    <row r="231" spans="1:32" x14ac:dyDescent="0.2">
      <c r="A231" s="33">
        <f t="shared" si="183"/>
        <v>156</v>
      </c>
      <c r="B231" s="33">
        <v>488</v>
      </c>
      <c r="D231" s="20" t="s">
        <v>56</v>
      </c>
      <c r="G231" s="34">
        <v>183208.08000000002</v>
      </c>
      <c r="H231" s="26">
        <f t="shared" si="181"/>
        <v>0</v>
      </c>
      <c r="I231" s="34">
        <f t="shared" si="182"/>
        <v>183208.08000000002</v>
      </c>
      <c r="K231" s="26"/>
      <c r="L231" s="26"/>
      <c r="M231" s="26"/>
      <c r="N231" s="26"/>
      <c r="O231" s="26"/>
      <c r="P231" s="26"/>
      <c r="Q231" s="26"/>
      <c r="R231" s="26"/>
      <c r="S231" s="26"/>
      <c r="T231" s="26"/>
      <c r="U231" s="26"/>
      <c r="V231" s="26"/>
      <c r="W231" s="26"/>
      <c r="X231" s="26"/>
      <c r="Y231" s="26"/>
      <c r="Z231" s="26"/>
      <c r="AA231" s="26"/>
      <c r="AB231" s="26"/>
      <c r="AC231" s="26"/>
      <c r="AD231" s="26"/>
      <c r="AE231" s="26"/>
      <c r="AF231" s="26"/>
    </row>
    <row r="232" spans="1:32" x14ac:dyDescent="0.2">
      <c r="A232" s="33">
        <f t="shared" si="183"/>
        <v>157</v>
      </c>
      <c r="B232" s="33">
        <v>489</v>
      </c>
      <c r="D232" s="20" t="s">
        <v>365</v>
      </c>
      <c r="G232" s="34">
        <v>4810289.8499999996</v>
      </c>
      <c r="H232" s="26">
        <f t="shared" si="181"/>
        <v>-4810289.8499999996</v>
      </c>
      <c r="I232" s="34">
        <f>G232+H232</f>
        <v>0</v>
      </c>
      <c r="K232" s="26"/>
      <c r="L232" s="26"/>
      <c r="M232" s="26"/>
      <c r="N232" s="26"/>
      <c r="O232" s="26"/>
      <c r="P232" s="26"/>
      <c r="Q232" s="26"/>
      <c r="R232" s="26"/>
      <c r="S232" s="26"/>
      <c r="T232" s="26"/>
      <c r="U232" s="26"/>
      <c r="V232" s="26"/>
      <c r="W232" s="26"/>
      <c r="X232" s="26"/>
      <c r="Y232" s="26"/>
      <c r="Z232" s="26"/>
      <c r="AA232" s="26"/>
      <c r="AB232" s="26"/>
      <c r="AC232" s="26"/>
      <c r="AD232" s="34">
        <v>-4810289.8499999996</v>
      </c>
      <c r="AE232" s="26"/>
      <c r="AF232" s="26"/>
    </row>
    <row r="233" spans="1:32" x14ac:dyDescent="0.2">
      <c r="A233" s="33">
        <f t="shared" si="183"/>
        <v>158</v>
      </c>
      <c r="B233" s="33">
        <v>493001</v>
      </c>
      <c r="D233" s="20" t="s">
        <v>366</v>
      </c>
      <c r="G233" s="34">
        <v>53174.669999999991</v>
      </c>
      <c r="H233" s="26">
        <f t="shared" si="181"/>
        <v>0</v>
      </c>
      <c r="I233" s="34">
        <f t="shared" si="182"/>
        <v>53174.669999999991</v>
      </c>
      <c r="K233" s="26"/>
      <c r="L233" s="26"/>
      <c r="M233" s="26"/>
      <c r="N233" s="26"/>
      <c r="O233" s="26"/>
      <c r="P233" s="26"/>
      <c r="Q233" s="26"/>
      <c r="R233" s="26"/>
      <c r="S233" s="26"/>
      <c r="T233" s="26"/>
      <c r="U233" s="26"/>
      <c r="V233" s="26"/>
      <c r="W233" s="26"/>
      <c r="X233" s="26"/>
      <c r="Y233" s="26"/>
      <c r="Z233" s="26"/>
      <c r="AA233" s="26"/>
      <c r="AB233" s="26"/>
      <c r="AC233" s="26"/>
      <c r="AD233" s="26"/>
      <c r="AE233" s="26"/>
      <c r="AF233" s="26"/>
    </row>
    <row r="234" spans="1:32" x14ac:dyDescent="0.2">
      <c r="A234" s="33">
        <f t="shared" si="183"/>
        <v>159</v>
      </c>
      <c r="B234" s="33">
        <v>495051</v>
      </c>
      <c r="D234" s="20" t="s">
        <v>367</v>
      </c>
      <c r="G234" s="34">
        <v>0</v>
      </c>
      <c r="H234" s="26">
        <f t="shared" si="181"/>
        <v>0</v>
      </c>
      <c r="I234" s="34">
        <f t="shared" si="182"/>
        <v>0</v>
      </c>
      <c r="K234" s="26"/>
      <c r="L234" s="26"/>
      <c r="M234" s="26"/>
      <c r="N234" s="26"/>
      <c r="O234" s="26"/>
      <c r="P234" s="26"/>
      <c r="Q234" s="26"/>
      <c r="R234" s="26"/>
      <c r="S234" s="26"/>
      <c r="T234" s="26"/>
      <c r="U234" s="26"/>
      <c r="V234" s="26"/>
      <c r="W234" s="26"/>
      <c r="X234" s="26"/>
      <c r="Y234" s="26"/>
      <c r="Z234" s="26"/>
      <c r="AA234" s="26"/>
      <c r="AB234" s="26"/>
      <c r="AC234" s="26"/>
      <c r="AD234" s="26"/>
      <c r="AE234" s="26"/>
      <c r="AF234" s="26"/>
    </row>
    <row r="235" spans="1:32" x14ac:dyDescent="0.2">
      <c r="A235" s="35">
        <f t="shared" si="183"/>
        <v>160</v>
      </c>
      <c r="B235" s="35">
        <v>495061</v>
      </c>
      <c r="C235" s="23"/>
      <c r="D235" s="23" t="s">
        <v>368</v>
      </c>
      <c r="E235" s="23"/>
      <c r="F235" s="23"/>
      <c r="G235" s="9">
        <v>0</v>
      </c>
      <c r="H235" s="246">
        <f t="shared" si="181"/>
        <v>0</v>
      </c>
      <c r="I235" s="9">
        <f t="shared" si="182"/>
        <v>0</v>
      </c>
      <c r="K235" s="246"/>
      <c r="L235" s="246"/>
      <c r="M235" s="246"/>
      <c r="N235" s="246"/>
      <c r="O235" s="246"/>
      <c r="P235" s="246"/>
      <c r="Q235" s="246"/>
      <c r="R235" s="246"/>
      <c r="S235" s="246"/>
      <c r="T235" s="246"/>
      <c r="U235" s="246"/>
      <c r="V235" s="246"/>
      <c r="W235" s="246"/>
      <c r="X235" s="246"/>
      <c r="Y235" s="246"/>
      <c r="Z235" s="246"/>
      <c r="AA235" s="246"/>
      <c r="AB235" s="246"/>
      <c r="AC235" s="246"/>
      <c r="AD235" s="246"/>
      <c r="AE235" s="246"/>
      <c r="AF235" s="246"/>
    </row>
    <row r="236" spans="1:32" x14ac:dyDescent="0.2">
      <c r="A236" s="33">
        <f t="shared" ref="A236" si="184">A235+1</f>
        <v>161</v>
      </c>
      <c r="B236" s="33"/>
      <c r="C236" s="20" t="s">
        <v>55</v>
      </c>
      <c r="G236" s="34">
        <f>SUM(G227:G235)</f>
        <v>15397866.189999999</v>
      </c>
      <c r="H236" s="34">
        <f>SUM(H227:H235)</f>
        <v>-15161483.629999999</v>
      </c>
      <c r="I236" s="34">
        <f>SUM(I227:I235)</f>
        <v>236382.56</v>
      </c>
      <c r="K236" s="34">
        <f>SUM(K227:K235)</f>
        <v>0</v>
      </c>
      <c r="L236" s="34">
        <f t="shared" ref="L236:M236" si="185">SUM(L227:L235)</f>
        <v>0</v>
      </c>
      <c r="M236" s="34">
        <f t="shared" si="185"/>
        <v>0</v>
      </c>
      <c r="N236" s="34">
        <f>SUM(N227:N235)</f>
        <v>0</v>
      </c>
      <c r="O236" s="34">
        <f t="shared" ref="O236" si="186">SUM(O227:O235)</f>
        <v>0</v>
      </c>
      <c r="P236" s="34">
        <f t="shared" ref="P236" si="187">SUM(P227:P235)</f>
        <v>0</v>
      </c>
      <c r="Q236" s="34">
        <f t="shared" ref="Q236:AE236" si="188">SUM(Q227:Q235)</f>
        <v>0</v>
      </c>
      <c r="R236" s="34">
        <f t="shared" si="188"/>
        <v>0</v>
      </c>
      <c r="S236" s="34">
        <f t="shared" si="188"/>
        <v>0</v>
      </c>
      <c r="T236" s="34">
        <f t="shared" si="188"/>
        <v>0</v>
      </c>
      <c r="U236" s="34">
        <f t="shared" si="188"/>
        <v>0</v>
      </c>
      <c r="V236" s="34">
        <f t="shared" si="188"/>
        <v>0</v>
      </c>
      <c r="W236" s="34">
        <f>SUM(W227:W235)</f>
        <v>0</v>
      </c>
      <c r="X236" s="34">
        <f t="shared" si="188"/>
        <v>-144093</v>
      </c>
      <c r="Y236" s="34">
        <f t="shared" si="188"/>
        <v>0</v>
      </c>
      <c r="Z236" s="34">
        <f t="shared" si="188"/>
        <v>0</v>
      </c>
      <c r="AA236" s="34">
        <f t="shared" si="188"/>
        <v>0</v>
      </c>
      <c r="AB236" s="34">
        <f t="shared" si="188"/>
        <v>0</v>
      </c>
      <c r="AC236" s="34">
        <f t="shared" ref="AC236" si="189">SUM(AC227:AC235)</f>
        <v>-10207100.779999999</v>
      </c>
      <c r="AD236" s="34">
        <f t="shared" ref="AD236" si="190">SUM(AD227:AD235)</f>
        <v>-4810289.8499999996</v>
      </c>
      <c r="AE236" s="34">
        <f t="shared" si="188"/>
        <v>0</v>
      </c>
      <c r="AF236" s="34">
        <f t="shared" ref="AF236" si="191">SUM(AF227:AF235)</f>
        <v>0</v>
      </c>
    </row>
    <row r="237" spans="1:32" x14ac:dyDescent="0.2">
      <c r="A237" s="33"/>
      <c r="B237" s="33"/>
      <c r="G237" s="26"/>
      <c r="H237" s="27"/>
      <c r="I237" s="27"/>
    </row>
    <row r="238" spans="1:32" x14ac:dyDescent="0.2">
      <c r="A238" s="33">
        <f>+A236+1</f>
        <v>162</v>
      </c>
      <c r="B238" s="33"/>
      <c r="C238" s="20" t="s">
        <v>16</v>
      </c>
      <c r="G238" s="34">
        <f>G224+G236</f>
        <v>105683752.49000001</v>
      </c>
      <c r="H238" s="34">
        <f>H224+H236</f>
        <v>-66203068.482117638</v>
      </c>
      <c r="I238" s="34">
        <f>I224+I236</f>
        <v>39480684.007882379</v>
      </c>
      <c r="J238" s="26"/>
      <c r="K238" s="34">
        <f>K224+K236</f>
        <v>0</v>
      </c>
      <c r="L238" s="34">
        <f t="shared" ref="L238:M238" si="192">L224+L236</f>
        <v>0</v>
      </c>
      <c r="M238" s="34">
        <f t="shared" si="192"/>
        <v>0</v>
      </c>
      <c r="N238" s="34">
        <f>N224+N236</f>
        <v>0</v>
      </c>
      <c r="O238" s="34">
        <f t="shared" ref="O238" si="193">O224+O236</f>
        <v>0</v>
      </c>
      <c r="P238" s="34">
        <f t="shared" ref="P238" si="194">P224+P236</f>
        <v>0</v>
      </c>
      <c r="Q238" s="34">
        <f t="shared" ref="Q238:AE238" si="195">Q224+Q236</f>
        <v>0</v>
      </c>
      <c r="R238" s="34">
        <f t="shared" si="195"/>
        <v>741366</v>
      </c>
      <c r="S238" s="34">
        <f t="shared" si="195"/>
        <v>0</v>
      </c>
      <c r="T238" s="34">
        <f t="shared" si="195"/>
        <v>0</v>
      </c>
      <c r="U238" s="34">
        <f t="shared" si="195"/>
        <v>444709.3878823733</v>
      </c>
      <c r="V238" s="34">
        <f t="shared" si="195"/>
        <v>0</v>
      </c>
      <c r="W238" s="34">
        <f>W224+W236</f>
        <v>0</v>
      </c>
      <c r="X238" s="34">
        <f t="shared" si="195"/>
        <v>-144093</v>
      </c>
      <c r="Y238" s="34">
        <f t="shared" si="195"/>
        <v>0</v>
      </c>
      <c r="Z238" s="34">
        <f t="shared" si="195"/>
        <v>0</v>
      </c>
      <c r="AA238" s="34">
        <f t="shared" si="195"/>
        <v>-57037950.090000011</v>
      </c>
      <c r="AB238" s="34">
        <f t="shared" si="195"/>
        <v>0</v>
      </c>
      <c r="AC238" s="34">
        <f t="shared" ref="AC238" si="196">AC224+AC236</f>
        <v>-10207100.779999999</v>
      </c>
      <c r="AD238" s="34">
        <f t="shared" ref="AD238" si="197">AD224+AD236</f>
        <v>0</v>
      </c>
      <c r="AE238" s="34">
        <f t="shared" si="195"/>
        <v>0</v>
      </c>
      <c r="AF238" s="34">
        <f t="shared" ref="AF238" si="198">AF224+AF236</f>
        <v>0</v>
      </c>
    </row>
    <row r="239" spans="1:32" x14ac:dyDescent="0.2">
      <c r="A239" s="33"/>
      <c r="B239" s="36"/>
      <c r="G239" s="26"/>
    </row>
    <row r="240" spans="1:32" x14ac:dyDescent="0.2">
      <c r="A240" s="33"/>
      <c r="B240" s="20" t="s">
        <v>8</v>
      </c>
      <c r="G240" s="34"/>
      <c r="H240" s="20" t="s">
        <v>54</v>
      </c>
      <c r="I240" s="34"/>
    </row>
    <row r="241" spans="1:32" x14ac:dyDescent="0.2">
      <c r="A241" s="33">
        <f>+A238+1</f>
        <v>163</v>
      </c>
      <c r="C241" s="20" t="s">
        <v>14</v>
      </c>
      <c r="G241" s="34">
        <f>G196</f>
        <v>83680927.670000017</v>
      </c>
      <c r="H241" s="34">
        <f>H196</f>
        <v>-66887670.601060376</v>
      </c>
      <c r="I241" s="34">
        <f>I196</f>
        <v>16793257.068939619</v>
      </c>
      <c r="K241" s="34">
        <f>K196</f>
        <v>0</v>
      </c>
      <c r="L241" s="34">
        <f t="shared" ref="L241:M241" si="199">L196</f>
        <v>0</v>
      </c>
      <c r="M241" s="34">
        <f t="shared" si="199"/>
        <v>0</v>
      </c>
      <c r="N241" s="34">
        <f>N196</f>
        <v>0</v>
      </c>
      <c r="O241" s="34">
        <f t="shared" ref="O241" si="200">O196</f>
        <v>0</v>
      </c>
      <c r="P241" s="34">
        <f t="shared" ref="P241:Q241" si="201">P196</f>
        <v>0</v>
      </c>
      <c r="Q241" s="34">
        <f t="shared" si="201"/>
        <v>158394.31413828419</v>
      </c>
      <c r="R241" s="34">
        <f t="shared" ref="R241:AE241" si="202">R196</f>
        <v>0</v>
      </c>
      <c r="S241" s="34">
        <f t="shared" si="202"/>
        <v>6156.08480129075</v>
      </c>
      <c r="T241" s="34">
        <f t="shared" si="202"/>
        <v>0</v>
      </c>
      <c r="U241" s="34">
        <f t="shared" si="202"/>
        <v>0</v>
      </c>
      <c r="V241" s="34">
        <f t="shared" si="202"/>
        <v>0</v>
      </c>
      <c r="W241" s="34">
        <f>W196</f>
        <v>228000</v>
      </c>
      <c r="X241" s="34">
        <f t="shared" si="202"/>
        <v>0</v>
      </c>
      <c r="Y241" s="34">
        <f t="shared" si="202"/>
        <v>-75180.34</v>
      </c>
      <c r="Z241" s="34">
        <f t="shared" si="202"/>
        <v>0</v>
      </c>
      <c r="AA241" s="34">
        <f t="shared" si="202"/>
        <v>-56936869.059999958</v>
      </c>
      <c r="AB241" s="34">
        <f t="shared" si="202"/>
        <v>-61070.820000000007</v>
      </c>
      <c r="AC241" s="34">
        <f t="shared" ref="AC241" si="203">AC196</f>
        <v>-10207100.779999999</v>
      </c>
      <c r="AD241" s="34">
        <f t="shared" ref="AD241" si="204">AD196</f>
        <v>0</v>
      </c>
      <c r="AE241" s="34">
        <f t="shared" si="202"/>
        <v>0</v>
      </c>
      <c r="AF241" s="34">
        <f>AF196</f>
        <v>0</v>
      </c>
    </row>
    <row r="242" spans="1:32" x14ac:dyDescent="0.2">
      <c r="A242" s="35">
        <f>+A241+1</f>
        <v>164</v>
      </c>
      <c r="B242" s="23"/>
      <c r="C242" s="23" t="s">
        <v>12</v>
      </c>
      <c r="D242" s="23"/>
      <c r="E242" s="23"/>
      <c r="F242" s="23"/>
      <c r="G242" s="9">
        <f>G217</f>
        <v>12083412.42</v>
      </c>
      <c r="H242" s="9">
        <f>H217</f>
        <v>1282932.8951403275</v>
      </c>
      <c r="I242" s="9">
        <f>I217</f>
        <v>13366345.315140327</v>
      </c>
      <c r="K242" s="9">
        <f>K217</f>
        <v>96551.65</v>
      </c>
      <c r="L242" s="9">
        <f t="shared" ref="L242:M242" si="205">L217</f>
        <v>124663.75999999998</v>
      </c>
      <c r="M242" s="9">
        <f t="shared" si="205"/>
        <v>60387.21</v>
      </c>
      <c r="N242" s="9">
        <f>N217</f>
        <v>16441.36</v>
      </c>
      <c r="O242" s="9">
        <f t="shared" ref="O242" si="206">O217</f>
        <v>965857.09999999974</v>
      </c>
      <c r="P242" s="9">
        <f t="shared" ref="P242" si="207">P217</f>
        <v>0</v>
      </c>
      <c r="Q242" s="9">
        <f t="shared" ref="Q242:AE242" si="208">Q217</f>
        <v>13551.801806994546</v>
      </c>
      <c r="R242" s="9">
        <f t="shared" si="208"/>
        <v>0</v>
      </c>
      <c r="S242" s="9">
        <f t="shared" si="208"/>
        <v>0</v>
      </c>
      <c r="T242" s="9">
        <f t="shared" si="208"/>
        <v>173404</v>
      </c>
      <c r="U242" s="9">
        <f t="shared" si="208"/>
        <v>0</v>
      </c>
      <c r="V242" s="9">
        <f t="shared" si="208"/>
        <v>16421.153333333332</v>
      </c>
      <c r="W242" s="9">
        <f>W217</f>
        <v>0</v>
      </c>
      <c r="X242" s="9">
        <f t="shared" si="208"/>
        <v>0</v>
      </c>
      <c r="Y242" s="9">
        <f t="shared" si="208"/>
        <v>0</v>
      </c>
      <c r="Z242" s="9">
        <f t="shared" si="208"/>
        <v>-83264.52</v>
      </c>
      <c r="AA242" s="9">
        <f t="shared" si="208"/>
        <v>-101080.62</v>
      </c>
      <c r="AB242" s="9">
        <f t="shared" si="208"/>
        <v>0</v>
      </c>
      <c r="AC242" s="9">
        <f t="shared" ref="AC242" si="209">AC217</f>
        <v>0</v>
      </c>
      <c r="AD242" s="9">
        <f t="shared" ref="AD242" si="210">AD217</f>
        <v>0</v>
      </c>
      <c r="AE242" s="9">
        <f t="shared" si="208"/>
        <v>0</v>
      </c>
      <c r="AF242" s="9">
        <f t="shared" ref="AF242" si="211">AF217</f>
        <v>0</v>
      </c>
    </row>
    <row r="243" spans="1:32" x14ac:dyDescent="0.2">
      <c r="A243" s="33">
        <f>+A242+1</f>
        <v>165</v>
      </c>
      <c r="C243" s="20" t="s">
        <v>8</v>
      </c>
      <c r="G243" s="34">
        <f>SUM(G241:G242)</f>
        <v>95764340.090000018</v>
      </c>
      <c r="H243" s="34">
        <f>SUM(H241:H242)</f>
        <v>-65604737.705920048</v>
      </c>
      <c r="I243" s="34">
        <f>SUM(I241:I242)</f>
        <v>30159602.384079948</v>
      </c>
      <c r="K243" s="34">
        <f>SUM(K241:K242)</f>
        <v>96551.65</v>
      </c>
      <c r="L243" s="34">
        <f t="shared" ref="L243:M243" si="212">SUM(L241:L242)</f>
        <v>124663.75999999998</v>
      </c>
      <c r="M243" s="34">
        <f t="shared" si="212"/>
        <v>60387.21</v>
      </c>
      <c r="N243" s="34">
        <f>SUM(N241:N242)</f>
        <v>16441.36</v>
      </c>
      <c r="O243" s="34">
        <f t="shared" ref="O243" si="213">SUM(O241:O242)</f>
        <v>965857.09999999974</v>
      </c>
      <c r="P243" s="34">
        <f t="shared" ref="P243" si="214">SUM(P241:P242)</f>
        <v>0</v>
      </c>
      <c r="Q243" s="34">
        <f t="shared" ref="Q243:AE243" si="215">SUM(Q241:Q242)</f>
        <v>171946.11594527873</v>
      </c>
      <c r="R243" s="34">
        <f t="shared" si="215"/>
        <v>0</v>
      </c>
      <c r="S243" s="34">
        <f t="shared" si="215"/>
        <v>6156.08480129075</v>
      </c>
      <c r="T243" s="34">
        <f t="shared" si="215"/>
        <v>173404</v>
      </c>
      <c r="U243" s="34">
        <f t="shared" si="215"/>
        <v>0</v>
      </c>
      <c r="V243" s="34">
        <f t="shared" si="215"/>
        <v>16421.153333333332</v>
      </c>
      <c r="W243" s="34">
        <f>SUM(W241:W242)</f>
        <v>228000</v>
      </c>
      <c r="X243" s="34">
        <f t="shared" si="215"/>
        <v>0</v>
      </c>
      <c r="Y243" s="34">
        <f t="shared" si="215"/>
        <v>-75180.34</v>
      </c>
      <c r="Z243" s="34">
        <f t="shared" si="215"/>
        <v>-83264.52</v>
      </c>
      <c r="AA243" s="34">
        <f>SUM(AA241:AA242)</f>
        <v>-57037949.679999955</v>
      </c>
      <c r="AB243" s="34">
        <f t="shared" si="215"/>
        <v>-61070.820000000007</v>
      </c>
      <c r="AC243" s="34">
        <f t="shared" ref="AC243" si="216">SUM(AC241:AC242)</f>
        <v>-10207100.779999999</v>
      </c>
      <c r="AD243" s="34">
        <f t="shared" ref="AD243" si="217">SUM(AD241:AD242)</f>
        <v>0</v>
      </c>
      <c r="AE243" s="34">
        <f t="shared" si="215"/>
        <v>0</v>
      </c>
      <c r="AF243" s="34">
        <f t="shared" ref="AF243" si="218">SUM(AF241:AF242)</f>
        <v>0</v>
      </c>
    </row>
    <row r="244" spans="1:32" x14ac:dyDescent="0.2">
      <c r="A244" s="33"/>
      <c r="G244" s="26"/>
    </row>
    <row r="245" spans="1:32" x14ac:dyDescent="0.2">
      <c r="A245" s="33">
        <f>+A243+1</f>
        <v>166</v>
      </c>
      <c r="B245" s="20" t="s">
        <v>172</v>
      </c>
      <c r="G245" s="27">
        <f>G238-G243</f>
        <v>9919412.3999999911</v>
      </c>
      <c r="H245" s="27">
        <f>H238-H243</f>
        <v>-598330.77619758993</v>
      </c>
      <c r="I245" s="27">
        <f>I238-I243</f>
        <v>9321081.6238024309</v>
      </c>
      <c r="K245" s="27">
        <f>K238-K243</f>
        <v>-96551.65</v>
      </c>
      <c r="L245" s="27">
        <f t="shared" ref="L245:M245" si="219">L238-L243</f>
        <v>-124663.75999999998</v>
      </c>
      <c r="M245" s="27">
        <f t="shared" si="219"/>
        <v>-60387.21</v>
      </c>
      <c r="N245" s="27">
        <f>N238-N243</f>
        <v>-16441.36</v>
      </c>
      <c r="O245" s="27">
        <f t="shared" ref="O245" si="220">O238-O243</f>
        <v>-965857.09999999974</v>
      </c>
      <c r="P245" s="27">
        <f t="shared" ref="P245" si="221">P238-P243</f>
        <v>0</v>
      </c>
      <c r="Q245" s="27">
        <f t="shared" ref="Q245:AE245" si="222">Q238-Q243</f>
        <v>-171946.11594527873</v>
      </c>
      <c r="R245" s="27">
        <f t="shared" si="222"/>
        <v>741366</v>
      </c>
      <c r="S245" s="27">
        <f t="shared" si="222"/>
        <v>-6156.08480129075</v>
      </c>
      <c r="T245" s="27">
        <f t="shared" si="222"/>
        <v>-173404</v>
      </c>
      <c r="U245" s="27">
        <f t="shared" si="222"/>
        <v>444709.3878823733</v>
      </c>
      <c r="V245" s="27">
        <f t="shared" si="222"/>
        <v>-16421.153333333332</v>
      </c>
      <c r="W245" s="27">
        <f>W238-W243</f>
        <v>-228000</v>
      </c>
      <c r="X245" s="27">
        <f t="shared" si="222"/>
        <v>-144093</v>
      </c>
      <c r="Y245" s="27">
        <f t="shared" si="222"/>
        <v>75180.34</v>
      </c>
      <c r="Z245" s="27">
        <f t="shared" si="222"/>
        <v>83264.52</v>
      </c>
      <c r="AA245" s="27">
        <f>AA238-AA243</f>
        <v>-0.41000005602836609</v>
      </c>
      <c r="AB245" s="27">
        <f t="shared" si="222"/>
        <v>61070.820000000007</v>
      </c>
      <c r="AC245" s="27">
        <f t="shared" ref="AC245" si="223">AC238-AC243</f>
        <v>0</v>
      </c>
      <c r="AD245" s="27">
        <f t="shared" ref="AD245" si="224">AD238-AD243</f>
        <v>0</v>
      </c>
      <c r="AE245" s="27">
        <f t="shared" si="222"/>
        <v>0</v>
      </c>
      <c r="AF245" s="27">
        <f t="shared" ref="AF245" si="225">AF238-AF243</f>
        <v>0</v>
      </c>
    </row>
    <row r="246" spans="1:32" x14ac:dyDescent="0.2">
      <c r="A246" s="33"/>
      <c r="G246" s="27"/>
      <c r="H246" s="267"/>
      <c r="I246" s="27"/>
    </row>
    <row r="247" spans="1:32" x14ac:dyDescent="0.2">
      <c r="A247" s="33"/>
      <c r="B247" s="20" t="s">
        <v>53</v>
      </c>
      <c r="G247" s="27"/>
      <c r="H247" s="267"/>
      <c r="I247" s="27"/>
    </row>
    <row r="248" spans="1:32" x14ac:dyDescent="0.2">
      <c r="A248" s="33">
        <f>+A245+1</f>
        <v>167</v>
      </c>
      <c r="C248" s="20" t="s">
        <v>52</v>
      </c>
      <c r="G248" s="27">
        <v>-3795948.86</v>
      </c>
      <c r="H248" s="34">
        <f>SUM(K248:AF248)</f>
        <v>0</v>
      </c>
      <c r="I248" s="27">
        <f>G248+H248</f>
        <v>-3795948.86</v>
      </c>
      <c r="K248" s="27"/>
      <c r="L248" s="27"/>
      <c r="M248" s="27"/>
      <c r="N248" s="27"/>
      <c r="O248" s="27"/>
      <c r="P248" s="27"/>
      <c r="Q248" s="27"/>
      <c r="R248" s="27"/>
      <c r="S248" s="27"/>
      <c r="T248" s="27"/>
      <c r="U248" s="27"/>
      <c r="V248" s="27"/>
      <c r="W248" s="27"/>
      <c r="X248" s="27"/>
      <c r="Y248" s="27"/>
      <c r="Z248" s="27"/>
      <c r="AA248" s="27"/>
      <c r="AB248" s="27"/>
      <c r="AC248" s="27"/>
      <c r="AD248" s="27"/>
      <c r="AE248" s="27"/>
      <c r="AF248" s="27"/>
    </row>
    <row r="249" spans="1:32" ht="24" customHeight="1" x14ac:dyDescent="0.2">
      <c r="A249" s="35">
        <f>+A248+1</f>
        <v>168</v>
      </c>
      <c r="B249" s="23"/>
      <c r="C249" s="487" t="s">
        <v>51</v>
      </c>
      <c r="D249" s="487"/>
      <c r="E249" s="487"/>
      <c r="F249" s="487"/>
      <c r="G249" s="9"/>
      <c r="H249" s="9">
        <f>SUM(K249:AF249)</f>
        <v>0</v>
      </c>
      <c r="I249" s="9">
        <f>G249+H249</f>
        <v>0</v>
      </c>
      <c r="K249" s="9"/>
      <c r="L249" s="9"/>
      <c r="M249" s="9"/>
      <c r="N249" s="9"/>
      <c r="O249" s="9"/>
      <c r="P249" s="9"/>
      <c r="Q249" s="9"/>
      <c r="R249" s="9"/>
      <c r="S249" s="9"/>
      <c r="T249" s="9"/>
      <c r="U249" s="9"/>
      <c r="V249" s="9"/>
      <c r="W249" s="9"/>
      <c r="X249" s="9"/>
      <c r="Y249" s="9"/>
      <c r="Z249" s="9"/>
      <c r="AA249" s="9"/>
      <c r="AB249" s="9"/>
      <c r="AC249" s="9"/>
      <c r="AD249" s="9"/>
      <c r="AE249" s="9"/>
      <c r="AF249" s="9"/>
    </row>
    <row r="250" spans="1:32" x14ac:dyDescent="0.2">
      <c r="A250" s="33">
        <f>+A249+1</f>
        <v>169</v>
      </c>
      <c r="B250" s="20" t="s">
        <v>156</v>
      </c>
      <c r="G250" s="27">
        <f>SUM(G248:G249)</f>
        <v>-3795948.86</v>
      </c>
      <c r="H250" s="26">
        <f>SUM(H248:H249)</f>
        <v>0</v>
      </c>
      <c r="I250" s="27">
        <f>SUM(I248:I249)</f>
        <v>-3795948.86</v>
      </c>
      <c r="K250" s="27">
        <f>SUM(K248:K249)</f>
        <v>0</v>
      </c>
      <c r="L250" s="27">
        <f t="shared" ref="L250:M250" si="226">SUM(L248:L249)</f>
        <v>0</v>
      </c>
      <c r="M250" s="27">
        <f t="shared" si="226"/>
        <v>0</v>
      </c>
      <c r="N250" s="27">
        <f>SUM(N248:N249)</f>
        <v>0</v>
      </c>
      <c r="O250" s="27">
        <f t="shared" ref="O250" si="227">SUM(O248:O249)</f>
        <v>0</v>
      </c>
      <c r="P250" s="27">
        <f t="shared" ref="P250" si="228">SUM(P248:P249)</f>
        <v>0</v>
      </c>
      <c r="Q250" s="27">
        <f t="shared" ref="Q250:AE250" si="229">SUM(Q248:Q249)</f>
        <v>0</v>
      </c>
      <c r="R250" s="27">
        <f t="shared" si="229"/>
        <v>0</v>
      </c>
      <c r="S250" s="27">
        <f t="shared" si="229"/>
        <v>0</v>
      </c>
      <c r="T250" s="27">
        <f t="shared" si="229"/>
        <v>0</v>
      </c>
      <c r="U250" s="27">
        <f t="shared" si="229"/>
        <v>0</v>
      </c>
      <c r="V250" s="27">
        <f t="shared" si="229"/>
        <v>0</v>
      </c>
      <c r="W250" s="27">
        <f>SUM(W248:W249)</f>
        <v>0</v>
      </c>
      <c r="X250" s="27">
        <f t="shared" si="229"/>
        <v>0</v>
      </c>
      <c r="Y250" s="27">
        <f t="shared" si="229"/>
        <v>0</v>
      </c>
      <c r="Z250" s="27">
        <f t="shared" si="229"/>
        <v>0</v>
      </c>
      <c r="AA250" s="27">
        <f t="shared" si="229"/>
        <v>0</v>
      </c>
      <c r="AB250" s="27">
        <f t="shared" si="229"/>
        <v>0</v>
      </c>
      <c r="AC250" s="27">
        <f t="shared" ref="AC250" si="230">SUM(AC248:AC249)</f>
        <v>0</v>
      </c>
      <c r="AD250" s="27">
        <f t="shared" ref="AD250" si="231">SUM(AD248:AD249)</f>
        <v>0</v>
      </c>
      <c r="AE250" s="27">
        <f t="shared" si="229"/>
        <v>0</v>
      </c>
      <c r="AF250" s="27">
        <f t="shared" ref="AF250" si="232">SUM(AF248:AF249)</f>
        <v>0</v>
      </c>
    </row>
    <row r="251" spans="1:32" x14ac:dyDescent="0.2">
      <c r="A251" s="33"/>
      <c r="G251" s="26"/>
      <c r="I251" s="26"/>
      <c r="K251" s="26"/>
      <c r="L251" s="26"/>
      <c r="M251" s="26"/>
      <c r="N251" s="26"/>
      <c r="O251" s="26"/>
      <c r="P251" s="26"/>
      <c r="Q251" s="26"/>
      <c r="R251" s="26"/>
      <c r="S251" s="26"/>
      <c r="T251" s="26"/>
      <c r="U251" s="26"/>
      <c r="V251" s="26"/>
      <c r="W251" s="26"/>
      <c r="X251" s="26"/>
      <c r="Y251" s="26"/>
      <c r="Z251" s="26"/>
      <c r="AA251" s="26"/>
      <c r="AB251" s="26"/>
      <c r="AC251" s="26"/>
      <c r="AD251" s="26"/>
      <c r="AE251" s="26"/>
      <c r="AF251" s="26"/>
    </row>
    <row r="252" spans="1:32" x14ac:dyDescent="0.2">
      <c r="A252" s="33">
        <f>+A250+1</f>
        <v>170</v>
      </c>
      <c r="B252" s="20" t="s">
        <v>50</v>
      </c>
      <c r="G252" s="27">
        <f>G245+G250</f>
        <v>6123463.5399999917</v>
      </c>
      <c r="H252" s="27">
        <f>H245+H250</f>
        <v>-598330.77619758993</v>
      </c>
      <c r="I252" s="27">
        <f>I245+I250</f>
        <v>5525132.7638024315</v>
      </c>
      <c r="K252" s="27">
        <f>K245+K250</f>
        <v>-96551.65</v>
      </c>
      <c r="L252" s="27">
        <f t="shared" ref="L252:M252" si="233">L245+L250</f>
        <v>-124663.75999999998</v>
      </c>
      <c r="M252" s="27">
        <f t="shared" si="233"/>
        <v>-60387.21</v>
      </c>
      <c r="N252" s="27">
        <f>N245+N250</f>
        <v>-16441.36</v>
      </c>
      <c r="O252" s="27">
        <f t="shared" ref="O252" si="234">O245+O250</f>
        <v>-965857.09999999974</v>
      </c>
      <c r="P252" s="27">
        <f t="shared" ref="P252" si="235">P245+P250</f>
        <v>0</v>
      </c>
      <c r="Q252" s="27">
        <f>Q245+Q250</f>
        <v>-171946.11594527873</v>
      </c>
      <c r="R252" s="27">
        <f t="shared" ref="R252:AE252" si="236">R245+R250</f>
        <v>741366</v>
      </c>
      <c r="S252" s="27">
        <f t="shared" si="236"/>
        <v>-6156.08480129075</v>
      </c>
      <c r="T252" s="27">
        <f t="shared" si="236"/>
        <v>-173404</v>
      </c>
      <c r="U252" s="27">
        <f t="shared" si="236"/>
        <v>444709.3878823733</v>
      </c>
      <c r="V252" s="27">
        <f t="shared" si="236"/>
        <v>-16421.153333333332</v>
      </c>
      <c r="W252" s="27">
        <f>W245+W250</f>
        <v>-228000</v>
      </c>
      <c r="X252" s="27">
        <f t="shared" si="236"/>
        <v>-144093</v>
      </c>
      <c r="Y252" s="27">
        <f t="shared" si="236"/>
        <v>75180.34</v>
      </c>
      <c r="Z252" s="27">
        <f t="shared" si="236"/>
        <v>83264.52</v>
      </c>
      <c r="AA252" s="27">
        <f t="shared" si="236"/>
        <v>-0.41000005602836609</v>
      </c>
      <c r="AB252" s="27">
        <f t="shared" si="236"/>
        <v>61070.820000000007</v>
      </c>
      <c r="AC252" s="27">
        <f t="shared" ref="AC252" si="237">AC245+AC250</f>
        <v>0</v>
      </c>
      <c r="AD252" s="27">
        <f t="shared" ref="AD252" si="238">AD245+AD250</f>
        <v>0</v>
      </c>
      <c r="AE252" s="27">
        <f t="shared" si="236"/>
        <v>0</v>
      </c>
      <c r="AF252" s="27">
        <f t="shared" ref="AF252" si="239">AF245+AF250</f>
        <v>0</v>
      </c>
    </row>
    <row r="253" spans="1:32" x14ac:dyDescent="0.2">
      <c r="A253" s="33"/>
      <c r="G253" s="27"/>
      <c r="H253" s="27"/>
      <c r="I253" s="27"/>
      <c r="K253" s="27"/>
      <c r="L253" s="27"/>
      <c r="M253" s="27"/>
      <c r="N253" s="27"/>
      <c r="O253" s="27"/>
      <c r="P253" s="27"/>
      <c r="Q253" s="27"/>
      <c r="R253" s="27"/>
      <c r="S253" s="27"/>
      <c r="T253" s="27"/>
      <c r="U253" s="27"/>
      <c r="V253" s="27"/>
      <c r="W253" s="27"/>
      <c r="X253" s="27"/>
      <c r="Y253" s="27"/>
      <c r="Z253" s="27"/>
      <c r="AA253" s="27"/>
      <c r="AB253" s="27"/>
      <c r="AC253" s="27"/>
      <c r="AD253" s="27"/>
      <c r="AE253" s="27"/>
      <c r="AF253" s="27"/>
    </row>
    <row r="254" spans="1:32" ht="15" x14ac:dyDescent="0.2">
      <c r="A254" s="247" t="s">
        <v>49</v>
      </c>
      <c r="F254" s="24"/>
      <c r="G254"/>
      <c r="H254"/>
      <c r="I254"/>
    </row>
    <row r="255" spans="1:32" ht="15" x14ac:dyDescent="0.2">
      <c r="A255" s="33"/>
      <c r="B255" s="242"/>
      <c r="F255" s="24"/>
      <c r="G255"/>
      <c r="H255"/>
      <c r="I255"/>
    </row>
    <row r="256" spans="1:32" x14ac:dyDescent="0.2">
      <c r="A256" s="33"/>
      <c r="B256" s="20" t="s">
        <v>13</v>
      </c>
      <c r="G256" s="26"/>
    </row>
    <row r="257" spans="1:32" x14ac:dyDescent="0.2">
      <c r="A257" s="33"/>
      <c r="C257" s="20" t="s">
        <v>479</v>
      </c>
      <c r="G257" s="26"/>
    </row>
    <row r="258" spans="1:32" x14ac:dyDescent="0.2">
      <c r="A258" s="33">
        <f>+A252+1</f>
        <v>171</v>
      </c>
      <c r="B258" s="33">
        <v>409111</v>
      </c>
      <c r="C258" s="19" t="s">
        <v>480</v>
      </c>
      <c r="G258" s="27">
        <f>G252*G271</f>
        <v>1285927.3433999983</v>
      </c>
      <c r="H258" s="26">
        <f>SUM(K258:AF258)</f>
        <v>-125649.46300149291</v>
      </c>
      <c r="I258" s="27">
        <f>G258+H258</f>
        <v>1160277.8803985054</v>
      </c>
      <c r="J258" s="248"/>
      <c r="K258" s="27">
        <f>K252*K271</f>
        <v>-20275.8465</v>
      </c>
      <c r="L258" s="27">
        <f t="shared" ref="L258:O258" si="240">L252*L271</f>
        <v>-26179.389599999995</v>
      </c>
      <c r="M258" s="27">
        <f t="shared" si="240"/>
        <v>-12681.3141</v>
      </c>
      <c r="N258" s="27">
        <f>N252*N271</f>
        <v>-3452.6855999999998</v>
      </c>
      <c r="O258" s="27">
        <f t="shared" si="240"/>
        <v>-202829.99099999995</v>
      </c>
      <c r="P258" s="27">
        <f t="shared" ref="P258" si="241">P252*P271</f>
        <v>0</v>
      </c>
      <c r="Q258" s="27">
        <f>Q252*Q271</f>
        <v>-36108.684348508534</v>
      </c>
      <c r="R258" s="27">
        <f t="shared" ref="R258:AE258" si="242">R252*R271</f>
        <v>155686.85999999999</v>
      </c>
      <c r="S258" s="27">
        <f t="shared" si="242"/>
        <v>-1292.7778082710574</v>
      </c>
      <c r="T258" s="27">
        <f t="shared" si="242"/>
        <v>-36414.839999999997</v>
      </c>
      <c r="U258" s="27">
        <f t="shared" si="242"/>
        <v>93388.971455298393</v>
      </c>
      <c r="V258" s="27">
        <f t="shared" si="242"/>
        <v>-3448.4421999999995</v>
      </c>
      <c r="W258" s="27">
        <f>W252*W271</f>
        <v>-47880</v>
      </c>
      <c r="X258" s="27">
        <f t="shared" si="242"/>
        <v>-30259.53</v>
      </c>
      <c r="Y258" s="27">
        <f t="shared" si="242"/>
        <v>15787.871399999998</v>
      </c>
      <c r="Z258" s="27">
        <f>Z252*Z271</f>
        <v>17485.549200000001</v>
      </c>
      <c r="AA258" s="27">
        <f t="shared" si="242"/>
        <v>-8.6100011765956871E-2</v>
      </c>
      <c r="AB258" s="27">
        <f t="shared" si="242"/>
        <v>12824.872200000002</v>
      </c>
      <c r="AC258" s="27">
        <f t="shared" ref="AC258" si="243">AC252*AC271</f>
        <v>0</v>
      </c>
      <c r="AD258" s="27">
        <f t="shared" ref="AD258" si="244">AD252*AD271</f>
        <v>0</v>
      </c>
      <c r="AE258" s="27">
        <f t="shared" si="242"/>
        <v>0</v>
      </c>
      <c r="AF258" s="27">
        <f t="shared" ref="AF258" si="245">AF252*AF271</f>
        <v>0</v>
      </c>
    </row>
    <row r="259" spans="1:32" x14ac:dyDescent="0.2">
      <c r="A259" s="33">
        <f>A258+1</f>
        <v>172</v>
      </c>
      <c r="B259" s="33">
        <v>409118</v>
      </c>
      <c r="C259" s="19" t="s">
        <v>481</v>
      </c>
      <c r="G259" s="27">
        <v>55230</v>
      </c>
      <c r="H259" s="26">
        <f>SUM(K259:AF259)</f>
        <v>-62186.798858234826</v>
      </c>
      <c r="I259" s="27">
        <f>G259+H259</f>
        <v>-6956.7988582348262</v>
      </c>
      <c r="J259" s="248"/>
      <c r="K259" s="27"/>
      <c r="L259" s="27"/>
      <c r="M259" s="27"/>
      <c r="N259" s="27"/>
      <c r="O259" s="27"/>
      <c r="P259" s="263">
        <v>-62186.798858234826</v>
      </c>
      <c r="Q259" s="27"/>
      <c r="R259" s="27"/>
      <c r="S259" s="27"/>
      <c r="T259" s="27"/>
      <c r="U259" s="27"/>
      <c r="V259" s="27"/>
      <c r="W259" s="27"/>
      <c r="X259" s="27"/>
      <c r="Y259" s="27"/>
      <c r="Z259" s="27"/>
      <c r="AA259" s="27"/>
      <c r="AB259" s="27"/>
      <c r="AC259" s="27"/>
      <c r="AD259" s="27"/>
      <c r="AE259" s="27"/>
      <c r="AF259" s="27"/>
    </row>
    <row r="260" spans="1:32" x14ac:dyDescent="0.2">
      <c r="A260" s="33">
        <f>A259+1</f>
        <v>173</v>
      </c>
      <c r="B260" s="33">
        <v>409119</v>
      </c>
      <c r="C260" s="19" t="s">
        <v>110</v>
      </c>
      <c r="G260" s="27">
        <v>-856239.83339999826</v>
      </c>
      <c r="H260" s="26">
        <f>SUM(K260:AF260)</f>
        <v>0</v>
      </c>
      <c r="I260" s="27">
        <f>G260+H260</f>
        <v>-856239.83339999826</v>
      </c>
      <c r="J260" s="248"/>
      <c r="K260" s="27"/>
      <c r="L260" s="27"/>
      <c r="M260" s="27"/>
      <c r="N260" s="27"/>
      <c r="O260" s="27"/>
      <c r="P260" s="27"/>
      <c r="Q260" s="27"/>
      <c r="R260" s="27"/>
      <c r="S260" s="27"/>
      <c r="T260" s="27"/>
      <c r="U260" s="27"/>
      <c r="V260" s="27"/>
      <c r="W260" s="27"/>
      <c r="X260" s="27"/>
      <c r="Y260" s="27"/>
      <c r="Z260" s="27"/>
      <c r="AA260" s="27"/>
      <c r="AB260" s="27"/>
      <c r="AC260" s="27"/>
      <c r="AD260" s="27"/>
      <c r="AE260" s="27"/>
      <c r="AF260" s="27"/>
    </row>
    <row r="261" spans="1:32" x14ac:dyDescent="0.2">
      <c r="A261" s="33">
        <f t="shared" ref="A261:A263" si="246">A260+1</f>
        <v>174</v>
      </c>
      <c r="B261" s="33"/>
      <c r="C261" s="20" t="s">
        <v>680</v>
      </c>
      <c r="G261" s="27"/>
      <c r="H261" s="26"/>
      <c r="I261" s="27"/>
      <c r="J261" s="248"/>
      <c r="K261" s="27"/>
      <c r="L261" s="27"/>
      <c r="M261" s="27"/>
      <c r="N261" s="27"/>
      <c r="O261" s="27"/>
      <c r="P261" s="27"/>
      <c r="Q261" s="27"/>
      <c r="R261" s="27"/>
      <c r="S261" s="27"/>
      <c r="T261" s="27"/>
      <c r="U261" s="27"/>
      <c r="V261" s="27"/>
      <c r="W261" s="27"/>
      <c r="X261" s="27"/>
      <c r="Y261" s="27"/>
      <c r="Z261" s="27"/>
      <c r="AA261" s="27"/>
      <c r="AB261" s="27"/>
      <c r="AC261" s="27"/>
      <c r="AD261" s="27"/>
      <c r="AE261" s="27"/>
      <c r="AF261" s="27"/>
    </row>
    <row r="262" spans="1:32" x14ac:dyDescent="0.2">
      <c r="A262" s="33">
        <f t="shared" si="246"/>
        <v>175</v>
      </c>
      <c r="B262" s="33">
        <v>409121</v>
      </c>
      <c r="C262" s="19" t="s">
        <v>480</v>
      </c>
      <c r="G262" s="27">
        <v>0</v>
      </c>
      <c r="H262" s="26">
        <f>SUM(K262:AF262)</f>
        <v>0</v>
      </c>
      <c r="I262" s="27">
        <f>G262+H262</f>
        <v>0</v>
      </c>
      <c r="J262" s="248"/>
      <c r="K262" s="27"/>
      <c r="L262" s="27"/>
      <c r="M262" s="27"/>
      <c r="N262" s="27"/>
      <c r="O262" s="27"/>
      <c r="P262" s="27"/>
      <c r="Q262" s="27"/>
      <c r="R262" s="27"/>
      <c r="S262" s="27"/>
      <c r="T262" s="27"/>
      <c r="U262" s="27"/>
      <c r="V262" s="27"/>
      <c r="W262" s="27"/>
      <c r="X262" s="27"/>
      <c r="Y262" s="27"/>
      <c r="Z262" s="27"/>
      <c r="AA262" s="27"/>
      <c r="AB262" s="27"/>
      <c r="AC262" s="27"/>
      <c r="AD262" s="27"/>
      <c r="AE262" s="27"/>
      <c r="AF262" s="27"/>
    </row>
    <row r="263" spans="1:32" ht="13.5" customHeight="1" x14ac:dyDescent="0.2">
      <c r="A263" s="33">
        <f t="shared" si="246"/>
        <v>176</v>
      </c>
      <c r="B263" s="33" t="s">
        <v>482</v>
      </c>
      <c r="C263" s="20" t="s">
        <v>369</v>
      </c>
      <c r="G263" s="27">
        <v>564080.31000000006</v>
      </c>
      <c r="H263" s="26">
        <f>SUM(K263:AF263)</f>
        <v>0</v>
      </c>
      <c r="I263" s="27">
        <f>G263+H263</f>
        <v>564080.31000000006</v>
      </c>
      <c r="J263" s="248"/>
      <c r="K263" s="27"/>
      <c r="L263" s="27"/>
      <c r="M263" s="27"/>
      <c r="N263" s="27"/>
      <c r="O263" s="27"/>
      <c r="P263" s="27"/>
      <c r="Q263" s="27"/>
      <c r="R263" s="27"/>
      <c r="S263" s="27"/>
      <c r="T263" s="27"/>
      <c r="U263" s="27"/>
      <c r="V263" s="27"/>
      <c r="W263" s="27"/>
      <c r="X263" s="27"/>
      <c r="Y263" s="27"/>
      <c r="Z263" s="27"/>
      <c r="AA263" s="27"/>
      <c r="AB263" s="27"/>
      <c r="AC263" s="27"/>
      <c r="AD263" s="27"/>
      <c r="AE263" s="27"/>
      <c r="AF263" s="27"/>
    </row>
    <row r="264" spans="1:32" ht="13.5" customHeight="1" x14ac:dyDescent="0.2">
      <c r="A264" s="35">
        <f>A263+1</f>
        <v>177</v>
      </c>
      <c r="B264" s="35">
        <v>411401</v>
      </c>
      <c r="C264" s="23" t="s">
        <v>179</v>
      </c>
      <c r="D264" s="23"/>
      <c r="E264" s="23"/>
      <c r="F264" s="23"/>
      <c r="G264" s="9">
        <v>-860.07</v>
      </c>
      <c r="H264" s="246">
        <f>SUM(K264:AF264)</f>
        <v>0</v>
      </c>
      <c r="I264" s="9">
        <f>G264+H264</f>
        <v>-860.07</v>
      </c>
      <c r="J264" s="248"/>
      <c r="K264" s="9"/>
      <c r="L264" s="9"/>
      <c r="M264" s="9"/>
      <c r="N264" s="9"/>
      <c r="O264" s="9"/>
      <c r="P264" s="9"/>
      <c r="Q264" s="9"/>
      <c r="R264" s="9"/>
      <c r="S264" s="9"/>
      <c r="T264" s="9"/>
      <c r="U264" s="9"/>
      <c r="V264" s="9"/>
      <c r="W264" s="9"/>
      <c r="X264" s="9"/>
      <c r="Y264" s="9"/>
      <c r="Z264" s="9"/>
      <c r="AA264" s="9"/>
      <c r="AB264" s="9"/>
      <c r="AC264" s="9"/>
      <c r="AD264" s="9"/>
      <c r="AE264" s="9"/>
      <c r="AF264" s="9"/>
    </row>
    <row r="265" spans="1:32" ht="13.5" customHeight="1" x14ac:dyDescent="0.2">
      <c r="A265" s="33">
        <f>A264+1</f>
        <v>178</v>
      </c>
      <c r="B265" s="27"/>
      <c r="C265" s="20" t="s">
        <v>286</v>
      </c>
      <c r="G265" s="25">
        <f>SUM(G258:G264)</f>
        <v>1048137.7500000001</v>
      </c>
      <c r="H265" s="27">
        <f>SUM(H258:H264)</f>
        <v>-187836.26185972773</v>
      </c>
      <c r="I265" s="24">
        <f>SUM(I258:I264)</f>
        <v>860301.48814027233</v>
      </c>
      <c r="J265" s="248"/>
      <c r="K265" s="27">
        <f>SUM(K258:K264)</f>
        <v>-20275.8465</v>
      </c>
      <c r="L265" s="27">
        <f t="shared" ref="L265:M265" si="247">SUM(L258:L264)</f>
        <v>-26179.389599999995</v>
      </c>
      <c r="M265" s="27">
        <f t="shared" si="247"/>
        <v>-12681.3141</v>
      </c>
      <c r="N265" s="27">
        <f>SUM(N258:N264)</f>
        <v>-3452.6855999999998</v>
      </c>
      <c r="O265" s="27">
        <f t="shared" ref="O265" si="248">SUM(O258:O264)</f>
        <v>-202829.99099999995</v>
      </c>
      <c r="P265" s="27">
        <f>SUM(P258:P264)</f>
        <v>-62186.798858234826</v>
      </c>
      <c r="Q265" s="27">
        <f t="shared" ref="Q265:AE265" si="249">SUM(Q258:Q264)</f>
        <v>-36108.684348508534</v>
      </c>
      <c r="R265" s="27">
        <f t="shared" si="249"/>
        <v>155686.85999999999</v>
      </c>
      <c r="S265" s="27">
        <f t="shared" si="249"/>
        <v>-1292.7778082710574</v>
      </c>
      <c r="T265" s="27">
        <f t="shared" si="249"/>
        <v>-36414.839999999997</v>
      </c>
      <c r="U265" s="27">
        <f t="shared" si="249"/>
        <v>93388.971455298393</v>
      </c>
      <c r="V265" s="27">
        <f t="shared" si="249"/>
        <v>-3448.4421999999995</v>
      </c>
      <c r="W265" s="27">
        <f>SUM(W258:W264)</f>
        <v>-47880</v>
      </c>
      <c r="X265" s="27">
        <f t="shared" si="249"/>
        <v>-30259.53</v>
      </c>
      <c r="Y265" s="27">
        <f t="shared" si="249"/>
        <v>15787.871399999998</v>
      </c>
      <c r="Z265" s="27">
        <f t="shared" si="249"/>
        <v>17485.549200000001</v>
      </c>
      <c r="AA265" s="27">
        <f t="shared" si="249"/>
        <v>-8.6100011765956871E-2</v>
      </c>
      <c r="AB265" s="27">
        <f t="shared" si="249"/>
        <v>12824.872200000002</v>
      </c>
      <c r="AC265" s="27">
        <f t="shared" ref="AC265" si="250">SUM(AC258:AC264)</f>
        <v>0</v>
      </c>
      <c r="AD265" s="27">
        <f t="shared" ref="AD265" si="251">SUM(AD258:AD264)</f>
        <v>0</v>
      </c>
      <c r="AE265" s="27">
        <f t="shared" si="249"/>
        <v>0</v>
      </c>
      <c r="AF265" s="27">
        <f t="shared" ref="AF265" si="252">SUM(AF258:AF264)</f>
        <v>0</v>
      </c>
    </row>
    <row r="266" spans="1:32" x14ac:dyDescent="0.2">
      <c r="A266"/>
      <c r="B266"/>
      <c r="C266"/>
      <c r="D266"/>
      <c r="E266"/>
      <c r="F266"/>
      <c r="G266"/>
      <c r="H266"/>
      <c r="I266"/>
      <c r="J266"/>
      <c r="K266"/>
      <c r="L266"/>
      <c r="M266"/>
      <c r="N266"/>
      <c r="O266"/>
      <c r="P266"/>
      <c r="Q266"/>
      <c r="R266"/>
      <c r="S266"/>
      <c r="T266"/>
      <c r="U266"/>
      <c r="V266"/>
      <c r="W266"/>
      <c r="X266"/>
      <c r="Y266"/>
      <c r="Z266"/>
      <c r="AA266"/>
      <c r="AB266"/>
      <c r="AC266"/>
      <c r="AD266"/>
      <c r="AE266"/>
      <c r="AF266"/>
    </row>
    <row r="267" spans="1:32" x14ac:dyDescent="0.2">
      <c r="A267" s="33">
        <f>A265+1</f>
        <v>179</v>
      </c>
      <c r="B267" s="20" t="s">
        <v>173</v>
      </c>
      <c r="G267" s="26">
        <f>SUM(G265:G266)</f>
        <v>1048137.7500000001</v>
      </c>
      <c r="H267" s="26">
        <f>SUM(H265:H266)</f>
        <v>-187836.26185972773</v>
      </c>
      <c r="I267" s="26">
        <f>SUM(I265:I266)</f>
        <v>860301.48814027233</v>
      </c>
      <c r="K267" s="26">
        <f>SUM(K265:K266)</f>
        <v>-20275.8465</v>
      </c>
      <c r="L267" s="26">
        <f t="shared" ref="L267:M267" si="253">SUM(L265:L266)</f>
        <v>-26179.389599999995</v>
      </c>
      <c r="M267" s="26">
        <f t="shared" si="253"/>
        <v>-12681.3141</v>
      </c>
      <c r="N267" s="26">
        <f>SUM(N265:N266)</f>
        <v>-3452.6855999999998</v>
      </c>
      <c r="O267" s="26">
        <f t="shared" ref="O267" si="254">SUM(O265:O266)</f>
        <v>-202829.99099999995</v>
      </c>
      <c r="P267" s="26">
        <f t="shared" ref="P267" si="255">SUM(P265:P266)</f>
        <v>-62186.798858234826</v>
      </c>
      <c r="Q267" s="26">
        <f t="shared" ref="Q267:AE267" si="256">SUM(Q265:Q266)</f>
        <v>-36108.684348508534</v>
      </c>
      <c r="R267" s="26">
        <f t="shared" si="256"/>
        <v>155686.85999999999</v>
      </c>
      <c r="S267" s="26">
        <f t="shared" si="256"/>
        <v>-1292.7778082710574</v>
      </c>
      <c r="T267" s="26">
        <f t="shared" si="256"/>
        <v>-36414.839999999997</v>
      </c>
      <c r="U267" s="26">
        <f t="shared" si="256"/>
        <v>93388.971455298393</v>
      </c>
      <c r="V267" s="26">
        <f t="shared" si="256"/>
        <v>-3448.4421999999995</v>
      </c>
      <c r="W267" s="26">
        <f>SUM(W265:W266)</f>
        <v>-47880</v>
      </c>
      <c r="X267" s="26">
        <f t="shared" si="256"/>
        <v>-30259.53</v>
      </c>
      <c r="Y267" s="26">
        <f t="shared" si="256"/>
        <v>15787.871399999998</v>
      </c>
      <c r="Z267" s="26">
        <f t="shared" si="256"/>
        <v>17485.549200000001</v>
      </c>
      <c r="AA267" s="26">
        <f t="shared" si="256"/>
        <v>-8.6100011765956871E-2</v>
      </c>
      <c r="AB267" s="26">
        <f t="shared" si="256"/>
        <v>12824.872200000002</v>
      </c>
      <c r="AC267" s="26">
        <f t="shared" ref="AC267" si="257">SUM(AC265:AC266)</f>
        <v>0</v>
      </c>
      <c r="AD267" s="26">
        <f t="shared" ref="AD267" si="258">SUM(AD265:AD266)</f>
        <v>0</v>
      </c>
      <c r="AE267" s="26">
        <f t="shared" si="256"/>
        <v>0</v>
      </c>
      <c r="AF267" s="26">
        <f t="shared" ref="AF267" si="259">SUM(AF265:AF266)</f>
        <v>0</v>
      </c>
    </row>
    <row r="268" spans="1:32" x14ac:dyDescent="0.2">
      <c r="A268" s="33"/>
      <c r="G268" s="26"/>
      <c r="I268" s="26"/>
    </row>
    <row r="269" spans="1:32" x14ac:dyDescent="0.2">
      <c r="A269" s="33">
        <f>A267+1</f>
        <v>180</v>
      </c>
      <c r="B269" s="20" t="s">
        <v>48</v>
      </c>
      <c r="G269" s="26">
        <f>G238-G243-G267</f>
        <v>8871274.6499999911</v>
      </c>
      <c r="H269" s="26">
        <f>H238-H243-H267</f>
        <v>-410494.5143378622</v>
      </c>
      <c r="I269" s="26">
        <f>I238-I243-I267</f>
        <v>8460780.135662159</v>
      </c>
      <c r="K269" s="26">
        <f>K238-K243-K267</f>
        <v>-76275.803499999995</v>
      </c>
      <c r="L269" s="26">
        <f t="shared" ref="L269:M269" si="260">L238-L243-L267</f>
        <v>-98484.370399999985</v>
      </c>
      <c r="M269" s="26">
        <f t="shared" si="260"/>
        <v>-47705.895900000003</v>
      </c>
      <c r="N269" s="26">
        <f>N238-N243-N267</f>
        <v>-12988.6744</v>
      </c>
      <c r="O269" s="26">
        <f t="shared" ref="O269" si="261">O238-O243-O267</f>
        <v>-763027.10899999982</v>
      </c>
      <c r="P269" s="26">
        <f>P238-P243-P267</f>
        <v>62186.798858234826</v>
      </c>
      <c r="Q269" s="26">
        <f>Q238-Q243-Q267</f>
        <v>-135837.43159677018</v>
      </c>
      <c r="R269" s="26">
        <f t="shared" ref="R269:AE269" si="262">R238-R243-R267</f>
        <v>585679.14</v>
      </c>
      <c r="S269" s="26">
        <f t="shared" si="262"/>
        <v>-4863.3069930196925</v>
      </c>
      <c r="T269" s="26">
        <f t="shared" si="262"/>
        <v>-136989.16</v>
      </c>
      <c r="U269" s="26">
        <f t="shared" si="262"/>
        <v>351320.41642707493</v>
      </c>
      <c r="V269" s="26">
        <f t="shared" si="262"/>
        <v>-12972.711133333332</v>
      </c>
      <c r="W269" s="26">
        <f>W238-W243-W267</f>
        <v>-180120</v>
      </c>
      <c r="X269" s="26">
        <f t="shared" si="262"/>
        <v>-113833.47</v>
      </c>
      <c r="Y269" s="26">
        <f t="shared" si="262"/>
        <v>59392.4686</v>
      </c>
      <c r="Z269" s="26">
        <f t="shared" si="262"/>
        <v>65778.97080000001</v>
      </c>
      <c r="AA269" s="26">
        <f t="shared" si="262"/>
        <v>-0.3239000442624092</v>
      </c>
      <c r="AB269" s="26">
        <f t="shared" si="262"/>
        <v>48245.947800000009</v>
      </c>
      <c r="AC269" s="26">
        <f t="shared" ref="AC269" si="263">AC238-AC243-AC267</f>
        <v>0</v>
      </c>
      <c r="AD269" s="26">
        <f t="shared" ref="AD269" si="264">AD238-AD243-AD267</f>
        <v>0</v>
      </c>
      <c r="AE269" s="26">
        <f t="shared" si="262"/>
        <v>0</v>
      </c>
      <c r="AF269" s="26">
        <f t="shared" ref="AF269" si="265">AF238-AF243-AF267</f>
        <v>0</v>
      </c>
    </row>
    <row r="270" spans="1:32" x14ac:dyDescent="0.2">
      <c r="A270" s="33"/>
      <c r="G270" s="26"/>
      <c r="I270" s="26"/>
    </row>
    <row r="271" spans="1:32" x14ac:dyDescent="0.2">
      <c r="A271" s="33">
        <f>A269+1</f>
        <v>181</v>
      </c>
      <c r="B271" s="20" t="s">
        <v>571</v>
      </c>
      <c r="G271" s="22">
        <v>0.21</v>
      </c>
      <c r="H271" s="22">
        <f>K271</f>
        <v>0.21</v>
      </c>
      <c r="I271" s="22">
        <f>G271</f>
        <v>0.21</v>
      </c>
      <c r="K271" s="22">
        <v>0.21</v>
      </c>
      <c r="L271" s="22">
        <v>0.21</v>
      </c>
      <c r="M271" s="22">
        <v>0.21</v>
      </c>
      <c r="N271" s="22">
        <v>0.21</v>
      </c>
      <c r="O271" s="22">
        <v>0.21</v>
      </c>
      <c r="P271" s="22">
        <v>0.21</v>
      </c>
      <c r="Q271" s="22">
        <v>0.21</v>
      </c>
      <c r="R271" s="22">
        <v>0.21</v>
      </c>
      <c r="S271" s="22">
        <v>0.21</v>
      </c>
      <c r="T271" s="22">
        <v>0.21</v>
      </c>
      <c r="U271" s="22">
        <v>0.21</v>
      </c>
      <c r="V271" s="22">
        <v>0.21</v>
      </c>
      <c r="W271" s="22">
        <v>0.21</v>
      </c>
      <c r="X271" s="22">
        <v>0.21</v>
      </c>
      <c r="Y271" s="22">
        <v>0.21</v>
      </c>
      <c r="Z271" s="22">
        <v>0.21</v>
      </c>
      <c r="AA271" s="22">
        <v>0.21</v>
      </c>
      <c r="AB271" s="22">
        <v>0.21</v>
      </c>
      <c r="AC271" s="22">
        <v>0.21</v>
      </c>
      <c r="AD271" s="22">
        <v>0.21</v>
      </c>
      <c r="AE271" s="22">
        <v>0.21</v>
      </c>
      <c r="AF271" s="22">
        <v>0.21</v>
      </c>
    </row>
    <row r="272" spans="1:32" x14ac:dyDescent="0.2">
      <c r="A272" s="33"/>
    </row>
    <row r="273" spans="1:20" x14ac:dyDescent="0.2">
      <c r="A273" s="33">
        <f>A271+1</f>
        <v>182</v>
      </c>
      <c r="B273" s="20" t="s">
        <v>10</v>
      </c>
      <c r="G273" s="233">
        <f>G269/G90</f>
        <v>4.9901765898108581E-2</v>
      </c>
      <c r="H273" s="110" t="s">
        <v>47</v>
      </c>
      <c r="I273" s="233">
        <f>I269/I90</f>
        <v>4.2632787644632832E-2</v>
      </c>
    </row>
    <row r="275" spans="1:20" x14ac:dyDescent="0.2">
      <c r="A275" s="20" t="s">
        <v>45</v>
      </c>
      <c r="G275" s="26"/>
    </row>
    <row r="276" spans="1:20" x14ac:dyDescent="0.2">
      <c r="A276" s="20" t="s">
        <v>846</v>
      </c>
      <c r="C276" s="19"/>
      <c r="G276" s="34"/>
      <c r="T276" s="20">
        <f>8695+137+13</f>
        <v>8845</v>
      </c>
    </row>
    <row r="277" spans="1:20" x14ac:dyDescent="0.2">
      <c r="A277" s="20" t="s">
        <v>1110</v>
      </c>
      <c r="C277" s="19"/>
    </row>
    <row r="278" spans="1:20" x14ac:dyDescent="0.2">
      <c r="A278" s="20" t="s">
        <v>860</v>
      </c>
      <c r="C278" s="19"/>
    </row>
    <row r="279" spans="1:20" x14ac:dyDescent="0.2">
      <c r="C279" s="19"/>
    </row>
    <row r="280" spans="1:20" x14ac:dyDescent="0.2">
      <c r="A280" s="20" t="s">
        <v>46</v>
      </c>
      <c r="G280" s="34"/>
    </row>
    <row r="281" spans="1:20" x14ac:dyDescent="0.2">
      <c r="A281" s="20" t="s">
        <v>847</v>
      </c>
      <c r="G281" s="34"/>
    </row>
    <row r="282" spans="1:20" x14ac:dyDescent="0.2">
      <c r="G282" s="26"/>
    </row>
    <row r="283" spans="1:20" x14ac:dyDescent="0.2">
      <c r="G283" s="26"/>
    </row>
    <row r="284" spans="1:20" x14ac:dyDescent="0.2">
      <c r="G284" s="26"/>
    </row>
    <row r="285" spans="1:20" x14ac:dyDescent="0.2">
      <c r="G285" s="26"/>
    </row>
  </sheetData>
  <mergeCells count="23">
    <mergeCell ref="V5:V7"/>
    <mergeCell ref="T5:T7"/>
    <mergeCell ref="N2:N3"/>
    <mergeCell ref="O2:O3"/>
    <mergeCell ref="C249:F249"/>
    <mergeCell ref="K2:K3"/>
    <mergeCell ref="G2:G3"/>
    <mergeCell ref="L2:L3"/>
    <mergeCell ref="M2:M3"/>
    <mergeCell ref="P2:P3"/>
    <mergeCell ref="Q2:Q3"/>
    <mergeCell ref="R2:R3"/>
    <mergeCell ref="S2:S3"/>
    <mergeCell ref="U2:U3"/>
    <mergeCell ref="AA2:AA3"/>
    <mergeCell ref="AB2:AB3"/>
    <mergeCell ref="AC2:AC3"/>
    <mergeCell ref="T2:T3"/>
    <mergeCell ref="V2:V3"/>
    <mergeCell ref="W2:W3"/>
    <mergeCell ref="X2:X3"/>
    <mergeCell ref="Y2:Y3"/>
    <mergeCell ref="Z2:Z3"/>
  </mergeCells>
  <phoneticPr fontId="21" type="noConversion"/>
  <pageMargins left="0.7" right="0.7" top="1.4357142857142857" bottom="0.75" header="0.3" footer="0.3"/>
  <pageSetup scale="69" fitToWidth="7" fitToHeight="7" pageOrder="overThenDown" orientation="landscape" cellComments="asDisplayed" useFirstPageNumber="1" r:id="rId1"/>
  <headerFooter alignWithMargins="0">
    <oddHeader>&amp;CRULE 20:10:13:98
STATEMENT O WORKPAPER - Tab &amp;A
Test Year Financials with Pro Formas
Test Year Ending December 31, 2025
Utility: MidAmerican Energy Company
Docket No. NG26-___
Individual Responsible: Stephen Stratton&amp;RPage &amp;P of &amp;N</oddHeader>
  </headerFooter>
  <rowBreaks count="5" manualBreakCount="5">
    <brk id="47" max="16383" man="1"/>
    <brk id="91" max="16383" man="1"/>
    <brk id="130" max="16383" man="1"/>
    <brk id="174" max="16383" man="1"/>
    <brk id="253" max="16383" man="1"/>
  </rowBreaks>
  <colBreaks count="2" manualBreakCount="2">
    <brk id="11" max="1048575" man="1"/>
    <brk id="26"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26BF7-4F96-42FF-8B2B-8FF370B7E421}">
  <sheetPr codeName="Sheet21"/>
  <dimension ref="A1:E40"/>
  <sheetViews>
    <sheetView view="pageLayout" zoomScaleNormal="100" workbookViewId="0"/>
  </sheetViews>
  <sheetFormatPr defaultRowHeight="12.75" x14ac:dyDescent="0.2"/>
  <cols>
    <col min="2" max="2" width="49" customWidth="1"/>
    <col min="3" max="3" width="18.85546875" customWidth="1"/>
    <col min="4" max="4" width="19.7109375" customWidth="1"/>
    <col min="5" max="5" width="15.28515625" customWidth="1"/>
  </cols>
  <sheetData>
    <row r="1" spans="1:5" ht="18" x14ac:dyDescent="0.25">
      <c r="A1" s="113" t="s">
        <v>868</v>
      </c>
    </row>
    <row r="2" spans="1:5" ht="18" x14ac:dyDescent="0.25">
      <c r="A2" s="113" t="s">
        <v>630</v>
      </c>
    </row>
    <row r="4" spans="1:5" ht="15" x14ac:dyDescent="0.25">
      <c r="A4" s="83"/>
      <c r="B4" s="66"/>
      <c r="C4" s="122"/>
    </row>
    <row r="5" spans="1:5" x14ac:dyDescent="0.2">
      <c r="A5" s="105" t="s">
        <v>24</v>
      </c>
      <c r="B5" s="105" t="s">
        <v>21</v>
      </c>
      <c r="C5" s="105" t="s">
        <v>174</v>
      </c>
      <c r="D5" s="10"/>
      <c r="E5" s="10"/>
    </row>
    <row r="6" spans="1:5" x14ac:dyDescent="0.2">
      <c r="A6" s="83"/>
      <c r="B6" s="83" t="s">
        <v>26</v>
      </c>
      <c r="C6" s="83" t="s">
        <v>27</v>
      </c>
    </row>
    <row r="7" spans="1:5" x14ac:dyDescent="0.2">
      <c r="A7" s="66"/>
      <c r="B7" s="66"/>
      <c r="C7" s="66"/>
    </row>
    <row r="8" spans="1:5" ht="15" x14ac:dyDescent="0.25">
      <c r="A8" s="71">
        <v>1</v>
      </c>
      <c r="B8" s="128" t="s">
        <v>735</v>
      </c>
      <c r="C8" s="116">
        <f>6154.07/2</f>
        <v>3077.0349999999999</v>
      </c>
      <c r="D8" s="160"/>
    </row>
    <row r="9" spans="1:5" ht="15" x14ac:dyDescent="0.25">
      <c r="A9" s="71">
        <f>A8+1</f>
        <v>2</v>
      </c>
      <c r="B9" s="123" t="s">
        <v>736</v>
      </c>
      <c r="C9" s="124">
        <f>'FUN-1 (Results)'!J27</f>
        <v>7.7824511513630873E-2</v>
      </c>
    </row>
    <row r="10" spans="1:5" ht="15" x14ac:dyDescent="0.25">
      <c r="A10" s="71">
        <f>A9+1</f>
        <v>3</v>
      </c>
      <c r="B10" s="123" t="s">
        <v>737</v>
      </c>
      <c r="C10" s="116">
        <f>ROUND(C8*C9,2)</f>
        <v>239.47</v>
      </c>
    </row>
    <row r="11" spans="1:5" ht="15" x14ac:dyDescent="0.25">
      <c r="A11" s="71">
        <f>A10+1</f>
        <v>4</v>
      </c>
      <c r="B11" s="123" t="s">
        <v>738</v>
      </c>
      <c r="C11" s="116">
        <f>ROUND(C8*0.1,2)</f>
        <v>307.7</v>
      </c>
    </row>
    <row r="12" spans="1:5" ht="15" x14ac:dyDescent="0.25">
      <c r="A12" s="71">
        <f>A11+1</f>
        <v>5</v>
      </c>
      <c r="B12" s="196" t="s">
        <v>1051</v>
      </c>
      <c r="C12" s="126">
        <f>ROUND(C8*0.017264,2)</f>
        <v>53.12</v>
      </c>
    </row>
    <row r="13" spans="1:5" ht="15.75" thickBot="1" x14ac:dyDescent="0.3">
      <c r="A13" s="71">
        <f>A12+1</f>
        <v>6</v>
      </c>
      <c r="B13" s="197" t="s">
        <v>1052</v>
      </c>
      <c r="C13" s="125">
        <f>SUM(C10:C12)</f>
        <v>600.29</v>
      </c>
    </row>
    <row r="14" spans="1:5" ht="15.75" thickTop="1" x14ac:dyDescent="0.25">
      <c r="A14" s="71"/>
      <c r="B14" s="123"/>
      <c r="C14" s="85"/>
    </row>
    <row r="15" spans="1:5" ht="15.75" thickBot="1" x14ac:dyDescent="0.3">
      <c r="A15" s="71">
        <v>7</v>
      </c>
      <c r="B15" s="475" t="s">
        <v>1057</v>
      </c>
      <c r="C15" s="125">
        <f>ROUND(C13/12,0)</f>
        <v>50</v>
      </c>
    </row>
    <row r="16" spans="1:5" ht="13.5" thickTop="1" x14ac:dyDescent="0.2"/>
    <row r="17" spans="1:5" x14ac:dyDescent="0.2">
      <c r="A17" t="s">
        <v>835</v>
      </c>
    </row>
    <row r="20" spans="1:5" ht="15" x14ac:dyDescent="0.2">
      <c r="A20" s="114" t="s">
        <v>744</v>
      </c>
    </row>
    <row r="23" spans="1:5" x14ac:dyDescent="0.2">
      <c r="A23" s="127" t="s">
        <v>24</v>
      </c>
      <c r="B23" s="127" t="s">
        <v>249</v>
      </c>
      <c r="C23" s="127" t="s">
        <v>175</v>
      </c>
      <c r="D23" s="127" t="s">
        <v>743</v>
      </c>
      <c r="E23" s="127" t="s">
        <v>740</v>
      </c>
    </row>
    <row r="24" spans="1:5" x14ac:dyDescent="0.2">
      <c r="B24" s="117" t="s">
        <v>26</v>
      </c>
      <c r="C24" s="117" t="s">
        <v>27</v>
      </c>
      <c r="D24" s="117" t="s">
        <v>28</v>
      </c>
      <c r="E24" s="117" t="s">
        <v>29</v>
      </c>
    </row>
    <row r="26" spans="1:5" x14ac:dyDescent="0.2">
      <c r="A26" s="14">
        <f>A15+1</f>
        <v>8</v>
      </c>
      <c r="B26" t="s">
        <v>669</v>
      </c>
      <c r="C26">
        <v>1</v>
      </c>
      <c r="D26">
        <f>+'Billing Determinants'!I12</f>
        <v>0</v>
      </c>
      <c r="E26" s="1">
        <f>D26*$C$15</f>
        <v>0</v>
      </c>
    </row>
    <row r="27" spans="1:5" x14ac:dyDescent="0.2">
      <c r="A27" s="14">
        <f>A26+1</f>
        <v>9</v>
      </c>
      <c r="B27" t="s">
        <v>667</v>
      </c>
      <c r="C27">
        <v>2</v>
      </c>
      <c r="D27">
        <f>+'Billing Determinants'!I16</f>
        <v>994</v>
      </c>
      <c r="E27" s="1">
        <f t="shared" ref="E27:E30" si="0">D27*$C$15</f>
        <v>49700</v>
      </c>
    </row>
    <row r="28" spans="1:5" x14ac:dyDescent="0.2">
      <c r="A28" s="14">
        <f t="shared" ref="A28:A30" si="1">A27+1</f>
        <v>10</v>
      </c>
      <c r="B28" t="s">
        <v>665</v>
      </c>
      <c r="C28">
        <v>3</v>
      </c>
      <c r="D28">
        <f>+'Billing Determinants'!I21</f>
        <v>243</v>
      </c>
      <c r="E28" s="1">
        <f t="shared" si="0"/>
        <v>12150</v>
      </c>
    </row>
    <row r="29" spans="1:5" x14ac:dyDescent="0.2">
      <c r="A29" s="14">
        <f t="shared" si="1"/>
        <v>11</v>
      </c>
      <c r="B29" t="s">
        <v>436</v>
      </c>
      <c r="C29">
        <v>1</v>
      </c>
      <c r="D29">
        <f>+'Billing Determinants'!I15</f>
        <v>0</v>
      </c>
      <c r="E29" s="1">
        <f t="shared" si="0"/>
        <v>0</v>
      </c>
    </row>
    <row r="30" spans="1:5" x14ac:dyDescent="0.2">
      <c r="A30" s="14">
        <f t="shared" si="1"/>
        <v>12</v>
      </c>
      <c r="B30" t="s">
        <v>434</v>
      </c>
      <c r="C30">
        <v>3</v>
      </c>
      <c r="D30">
        <f>+'Billing Determinants'!I22</f>
        <v>0</v>
      </c>
      <c r="E30" s="1">
        <f t="shared" si="0"/>
        <v>0</v>
      </c>
    </row>
    <row r="32" spans="1:5" x14ac:dyDescent="0.2">
      <c r="A32" t="s">
        <v>741</v>
      </c>
    </row>
    <row r="33" spans="1:3" x14ac:dyDescent="0.2">
      <c r="A33" t="s">
        <v>742</v>
      </c>
    </row>
    <row r="35" spans="1:3" x14ac:dyDescent="0.2">
      <c r="B35" s="127" t="s">
        <v>175</v>
      </c>
      <c r="C35" s="10" t="s">
        <v>740</v>
      </c>
    </row>
    <row r="36" spans="1:3" x14ac:dyDescent="0.2">
      <c r="B36" s="117" t="s">
        <v>26</v>
      </c>
      <c r="C36" s="117" t="s">
        <v>27</v>
      </c>
    </row>
    <row r="37" spans="1:3" x14ac:dyDescent="0.2">
      <c r="A37" s="14"/>
    </row>
    <row r="38" spans="1:3" x14ac:dyDescent="0.2">
      <c r="A38" s="14">
        <f>A30+1</f>
        <v>13</v>
      </c>
      <c r="B38">
        <v>1</v>
      </c>
      <c r="C38" s="3">
        <f>SUMIF($C$26:$C$30,B38,$E$26:$E$30)</f>
        <v>0</v>
      </c>
    </row>
    <row r="39" spans="1:3" x14ac:dyDescent="0.2">
      <c r="A39" s="14">
        <f>A38+1</f>
        <v>14</v>
      </c>
      <c r="B39">
        <v>2</v>
      </c>
      <c r="C39" s="3">
        <f t="shared" ref="C39:C40" si="2">SUMIF($C$26:$C$30,B39,$E$26:$E$30)</f>
        <v>49700</v>
      </c>
    </row>
    <row r="40" spans="1:3" x14ac:dyDescent="0.2">
      <c r="A40" s="14">
        <f>A39+1</f>
        <v>15</v>
      </c>
      <c r="B40">
        <v>3</v>
      </c>
      <c r="C40" s="3">
        <f t="shared" si="2"/>
        <v>12150</v>
      </c>
    </row>
  </sheetData>
  <pageMargins left="0.7" right="0.7" top="1.6780208333333333" bottom="0.75" header="0.3" footer="0.3"/>
  <pageSetup scale="89" orientation="landscape" r:id="rId1"/>
  <headerFooter>
    <oddHeader>&amp;CRULE 20:10:13:98
STATEMENT O WORKPAPER - Tab &amp;A
Interval Meter Rate Design
Test Year Ending December 31, 2025
Utility: MidAmerican Energy Company
Docket No. NG26-___
Individual Responsible: Stephen Stratton&amp;RPage &amp;P of &amp;N</oddHeader>
  </headerFooter>
  <rowBreaks count="1" manualBreakCount="1">
    <brk id="19" max="7"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D0048-A775-4E6F-AD2B-BC39A1C661A6}">
  <sheetPr codeName="Sheet22"/>
  <dimension ref="A1:N83"/>
  <sheetViews>
    <sheetView view="pageLayout" zoomScaleNormal="100" workbookViewId="0"/>
  </sheetViews>
  <sheetFormatPr defaultColWidth="9.140625" defaultRowHeight="12.75" x14ac:dyDescent="0.2"/>
  <cols>
    <col min="1" max="1" width="5.5703125" style="437" customWidth="1"/>
    <col min="2" max="2" width="54" style="437" customWidth="1"/>
    <col min="3" max="3" width="16.85546875" style="437" customWidth="1"/>
    <col min="4" max="4" width="19.42578125" style="437" customWidth="1"/>
    <col min="5" max="5" width="16.85546875" style="437" customWidth="1"/>
    <col min="6" max="6" width="18.42578125" style="437" customWidth="1"/>
    <col min="7" max="7" width="18.140625" style="437" customWidth="1"/>
    <col min="8" max="8" width="16.85546875" style="437" customWidth="1"/>
    <col min="9" max="9" width="16" style="438" customWidth="1"/>
    <col min="10" max="10" width="14" style="438" customWidth="1"/>
    <col min="11" max="11" width="14.7109375" style="438" customWidth="1"/>
    <col min="12" max="13" width="9.140625" style="438"/>
    <col min="14" max="14" width="10.7109375" style="438" bestFit="1" customWidth="1"/>
    <col min="15" max="16384" width="9.140625" style="438"/>
  </cols>
  <sheetData>
    <row r="1" spans="1:14" ht="18" x14ac:dyDescent="0.25">
      <c r="A1" s="113" t="s">
        <v>869</v>
      </c>
      <c r="B1" s="436"/>
      <c r="C1" s="436"/>
      <c r="D1" s="436"/>
      <c r="E1" s="436"/>
      <c r="F1" s="436"/>
      <c r="G1" s="436"/>
    </row>
    <row r="2" spans="1:14" ht="18" x14ac:dyDescent="0.25">
      <c r="A2" s="113" t="s">
        <v>870</v>
      </c>
    </row>
    <row r="3" spans="1:14" ht="18" x14ac:dyDescent="0.25">
      <c r="A3" s="113" t="s">
        <v>913</v>
      </c>
    </row>
    <row r="4" spans="1:14" ht="18" x14ac:dyDescent="0.25">
      <c r="A4" s="113"/>
      <c r="I4" s="4"/>
      <c r="J4" s="4"/>
      <c r="K4" s="4"/>
      <c r="L4" s="4"/>
      <c r="M4" s="4"/>
      <c r="N4" s="4"/>
    </row>
    <row r="5" spans="1:14" x14ac:dyDescent="0.2">
      <c r="I5" s="4"/>
      <c r="J5" s="4"/>
      <c r="K5" s="4"/>
      <c r="L5" s="4"/>
      <c r="M5" s="4"/>
      <c r="N5" s="4"/>
    </row>
    <row r="6" spans="1:14" x14ac:dyDescent="0.2">
      <c r="A6" s="439" t="s">
        <v>24</v>
      </c>
      <c r="B6" s="439" t="s">
        <v>21</v>
      </c>
      <c r="C6" s="439" t="s">
        <v>912</v>
      </c>
      <c r="D6" s="439" t="s">
        <v>914</v>
      </c>
      <c r="E6" s="439" t="s">
        <v>871</v>
      </c>
      <c r="F6" s="439" t="s">
        <v>872</v>
      </c>
      <c r="G6" s="439" t="s">
        <v>873</v>
      </c>
      <c r="I6" s="4"/>
      <c r="J6" s="4"/>
      <c r="K6" s="4"/>
      <c r="L6" s="4"/>
      <c r="M6" s="4"/>
      <c r="N6" s="4"/>
    </row>
    <row r="7" spans="1:14" x14ac:dyDescent="0.2">
      <c r="B7" s="440" t="s">
        <v>26</v>
      </c>
      <c r="C7" s="440" t="s">
        <v>27</v>
      </c>
      <c r="D7" s="440" t="s">
        <v>28</v>
      </c>
      <c r="E7" s="440" t="s">
        <v>29</v>
      </c>
      <c r="F7" s="440" t="s">
        <v>36</v>
      </c>
      <c r="G7" s="441" t="s">
        <v>30</v>
      </c>
      <c r="I7" s="4"/>
      <c r="J7" s="4"/>
      <c r="K7" s="4"/>
      <c r="L7" s="4"/>
      <c r="M7" s="4"/>
      <c r="N7" s="4"/>
    </row>
    <row r="8" spans="1:14" x14ac:dyDescent="0.2">
      <c r="I8" s="4"/>
      <c r="J8" s="4"/>
      <c r="K8" s="4"/>
      <c r="L8" s="4"/>
      <c r="M8" s="4"/>
      <c r="N8" s="4"/>
    </row>
    <row r="9" spans="1:14" x14ac:dyDescent="0.2">
      <c r="A9" s="440">
        <v>1</v>
      </c>
      <c r="B9" s="442">
        <v>2027</v>
      </c>
      <c r="I9" s="4"/>
      <c r="J9" s="4"/>
      <c r="K9" s="4"/>
      <c r="L9" s="4"/>
      <c r="M9" s="4"/>
      <c r="N9" s="4"/>
    </row>
    <row r="10" spans="1:14" x14ac:dyDescent="0.2">
      <c r="A10" s="440"/>
      <c r="C10" s="443"/>
      <c r="D10" s="443"/>
      <c r="E10" s="443"/>
      <c r="F10" s="443"/>
      <c r="G10" s="443"/>
      <c r="I10" s="4"/>
      <c r="J10" s="4"/>
      <c r="K10" s="4"/>
      <c r="L10" s="4"/>
      <c r="M10" s="4"/>
      <c r="N10" s="4"/>
    </row>
    <row r="11" spans="1:14" x14ac:dyDescent="0.2">
      <c r="A11" s="440">
        <f>+A9+1</f>
        <v>2</v>
      </c>
      <c r="B11" s="437" t="s">
        <v>874</v>
      </c>
      <c r="C11" s="444">
        <v>13.54</v>
      </c>
      <c r="D11" s="445">
        <v>0.22643920520175476</v>
      </c>
      <c r="E11" s="446">
        <f>ROUND(C11*(1+D11),2)</f>
        <v>16.61</v>
      </c>
      <c r="F11" s="155">
        <f>+'Billing Determinants'!H10/12</f>
        <v>146.33333333333334</v>
      </c>
      <c r="G11" s="447">
        <f>F11*E11*12</f>
        <v>29167.160000000003</v>
      </c>
      <c r="I11" s="4"/>
      <c r="J11" s="4"/>
      <c r="K11" s="4"/>
      <c r="L11" s="4"/>
      <c r="M11" s="4"/>
      <c r="N11" s="4"/>
    </row>
    <row r="12" spans="1:14" x14ac:dyDescent="0.2">
      <c r="A12" s="440">
        <f>+A11+1</f>
        <v>3</v>
      </c>
      <c r="B12" s="437" t="s">
        <v>875</v>
      </c>
      <c r="C12" s="398">
        <v>0.48875999999999997</v>
      </c>
      <c r="D12" s="445">
        <f>+D11</f>
        <v>0.22643920520175476</v>
      </c>
      <c r="E12" s="448">
        <f>ROUND(C12*(1+D12),5)</f>
        <v>0.59943000000000002</v>
      </c>
      <c r="F12" s="155">
        <f>+'Billing Determinants'!G10</f>
        <v>264653.67775176623</v>
      </c>
      <c r="G12" s="447">
        <f>F12*E12</f>
        <v>158641.35405474124</v>
      </c>
      <c r="I12" s="4"/>
      <c r="J12" s="4"/>
      <c r="K12" s="4"/>
      <c r="L12" s="4"/>
      <c r="M12" s="4"/>
      <c r="N12" s="4"/>
    </row>
    <row r="13" spans="1:14" x14ac:dyDescent="0.2">
      <c r="A13" s="440">
        <f>+A12+1</f>
        <v>4</v>
      </c>
      <c r="B13" s="449" t="s">
        <v>876</v>
      </c>
      <c r="G13" s="450">
        <f>SUM(G11:G12)</f>
        <v>187808.51405474124</v>
      </c>
      <c r="I13" s="4"/>
      <c r="J13" s="4"/>
      <c r="K13" s="4"/>
      <c r="L13" s="4"/>
      <c r="M13" s="4"/>
      <c r="N13" s="4"/>
    </row>
    <row r="14" spans="1:14" ht="13.5" thickBot="1" x14ac:dyDescent="0.25">
      <c r="A14" s="440"/>
      <c r="B14" s="449"/>
      <c r="G14" s="451"/>
      <c r="I14" s="171"/>
      <c r="J14" s="171"/>
      <c r="K14" s="6"/>
      <c r="L14" s="6"/>
      <c r="M14" s="4"/>
      <c r="N14" s="4"/>
    </row>
    <row r="15" spans="1:14" ht="13.5" thickBot="1" x14ac:dyDescent="0.25">
      <c r="A15" s="440">
        <f>+A13+1</f>
        <v>5</v>
      </c>
      <c r="B15" s="452" t="s">
        <v>877</v>
      </c>
      <c r="G15" s="453">
        <f>G13</f>
        <v>187808.51405474124</v>
      </c>
      <c r="I15" s="171"/>
      <c r="J15" s="171"/>
      <c r="K15" s="6"/>
      <c r="L15" s="6"/>
      <c r="M15" s="4"/>
      <c r="N15" s="4"/>
    </row>
    <row r="16" spans="1:14" x14ac:dyDescent="0.2">
      <c r="A16" s="440"/>
      <c r="I16" s="4"/>
      <c r="J16" s="4"/>
      <c r="K16" s="4"/>
      <c r="L16" s="4"/>
      <c r="M16" s="4"/>
      <c r="N16" s="4"/>
    </row>
    <row r="17" spans="1:14" x14ac:dyDescent="0.2">
      <c r="A17" s="440">
        <f>+A15+1</f>
        <v>6</v>
      </c>
      <c r="B17" s="437" t="s">
        <v>878</v>
      </c>
      <c r="C17" s="262">
        <f>+E56</f>
        <v>849.73039770330001</v>
      </c>
      <c r="D17" s="40"/>
      <c r="E17" s="262">
        <f>+H56</f>
        <v>1204.8501436803447</v>
      </c>
      <c r="F17" s="454">
        <f>+F11</f>
        <v>146.33333333333334</v>
      </c>
      <c r="G17" s="447">
        <f>F17*E17</f>
        <v>176309.73769189045</v>
      </c>
      <c r="I17" s="227"/>
      <c r="J17" s="455"/>
      <c r="K17" s="227"/>
      <c r="L17" s="4"/>
      <c r="M17" s="4"/>
      <c r="N17" s="4"/>
    </row>
    <row r="18" spans="1:14" x14ac:dyDescent="0.2">
      <c r="A18" s="440">
        <f>+A17+1</f>
        <v>7</v>
      </c>
      <c r="B18" s="437" t="s">
        <v>879</v>
      </c>
      <c r="C18" s="262">
        <v>78.599999999999994</v>
      </c>
      <c r="D18" s="40"/>
      <c r="E18" s="262">
        <f>+H57</f>
        <v>111.45</v>
      </c>
      <c r="F18" s="454">
        <f>+F17</f>
        <v>146.33333333333334</v>
      </c>
      <c r="G18" s="447">
        <f>F18*E18</f>
        <v>16308.850000000002</v>
      </c>
      <c r="I18" s="227"/>
      <c r="J18" s="455"/>
      <c r="K18" s="227"/>
      <c r="L18" s="4"/>
      <c r="M18" s="4"/>
      <c r="N18" s="4"/>
    </row>
    <row r="19" spans="1:14" x14ac:dyDescent="0.2">
      <c r="A19" s="440">
        <f>+A18+1</f>
        <v>8</v>
      </c>
      <c r="B19" s="449" t="s">
        <v>880</v>
      </c>
      <c r="E19" s="40"/>
      <c r="G19" s="450">
        <f>SUM(G17:G18)</f>
        <v>192618.58769189045</v>
      </c>
      <c r="H19" s="34"/>
      <c r="I19" s="456"/>
      <c r="J19" s="4"/>
      <c r="K19" s="456"/>
      <c r="L19" s="4"/>
      <c r="M19" s="4"/>
      <c r="N19" s="4"/>
    </row>
    <row r="20" spans="1:14" x14ac:dyDescent="0.2">
      <c r="A20" s="440"/>
      <c r="B20" s="449"/>
      <c r="G20" s="451"/>
      <c r="I20" s="4"/>
      <c r="J20" s="4"/>
      <c r="K20" s="4"/>
      <c r="L20" s="4"/>
      <c r="M20" s="4"/>
      <c r="N20" s="4"/>
    </row>
    <row r="21" spans="1:14" ht="13.5" thickBot="1" x14ac:dyDescent="0.25">
      <c r="A21" s="440"/>
      <c r="B21" s="449"/>
      <c r="G21" s="451"/>
      <c r="I21" s="4"/>
      <c r="J21" s="4"/>
      <c r="K21" s="4"/>
      <c r="L21" s="4"/>
      <c r="M21" s="4"/>
      <c r="N21" s="4"/>
    </row>
    <row r="22" spans="1:14" ht="13.5" thickBot="1" x14ac:dyDescent="0.25">
      <c r="A22" s="440">
        <f>+A19+1</f>
        <v>9</v>
      </c>
      <c r="B22" s="452" t="s">
        <v>882</v>
      </c>
      <c r="G22" s="453">
        <f>+G19</f>
        <v>192618.58769189045</v>
      </c>
      <c r="I22" s="4"/>
      <c r="J22" s="4"/>
      <c r="K22" s="4"/>
      <c r="L22" s="4"/>
      <c r="M22" s="4"/>
      <c r="N22" s="4"/>
    </row>
    <row r="23" spans="1:14" ht="13.5" thickBot="1" x14ac:dyDescent="0.25">
      <c r="A23" s="440"/>
      <c r="I23" s="4"/>
      <c r="J23" s="4"/>
      <c r="K23" s="4"/>
      <c r="L23" s="4"/>
      <c r="M23" s="4"/>
      <c r="N23" s="4"/>
    </row>
    <row r="24" spans="1:14" ht="13.5" thickBot="1" x14ac:dyDescent="0.25">
      <c r="A24" s="440">
        <f>+A22+1</f>
        <v>10</v>
      </c>
      <c r="B24" s="437" t="s">
        <v>881</v>
      </c>
      <c r="G24" s="453">
        <f>G22-G15</f>
        <v>4810.0736371492094</v>
      </c>
      <c r="I24" s="4"/>
      <c r="J24" s="4"/>
      <c r="K24" s="4"/>
      <c r="L24" s="4"/>
      <c r="M24" s="4"/>
      <c r="N24" s="4"/>
    </row>
    <row r="25" spans="1:14" x14ac:dyDescent="0.2">
      <c r="A25" s="440"/>
      <c r="I25" s="4"/>
      <c r="J25" s="4"/>
      <c r="K25" s="4"/>
      <c r="L25" s="4"/>
      <c r="M25" s="4"/>
      <c r="N25" s="4"/>
    </row>
    <row r="26" spans="1:14" x14ac:dyDescent="0.2">
      <c r="A26" s="440"/>
      <c r="I26" s="4"/>
      <c r="J26" s="4"/>
      <c r="K26" s="4"/>
      <c r="L26" s="4"/>
      <c r="M26" s="4"/>
      <c r="N26" s="4"/>
    </row>
    <row r="27" spans="1:14" ht="13.5" thickBot="1" x14ac:dyDescent="0.25">
      <c r="A27" s="440"/>
      <c r="I27" s="4"/>
      <c r="J27" s="4"/>
      <c r="K27" s="4"/>
      <c r="L27" s="4"/>
      <c r="M27" s="4"/>
      <c r="N27" s="4"/>
    </row>
    <row r="28" spans="1:14" ht="13.5" thickBot="1" x14ac:dyDescent="0.25">
      <c r="A28" s="440">
        <f>+A24+1</f>
        <v>11</v>
      </c>
      <c r="B28" s="442">
        <v>2028</v>
      </c>
      <c r="C28" s="440"/>
      <c r="D28" s="440"/>
      <c r="E28" s="457">
        <v>2.5600000000000001E-2</v>
      </c>
      <c r="F28" s="458" t="s">
        <v>1177</v>
      </c>
      <c r="G28" s="440"/>
      <c r="I28" s="459"/>
      <c r="J28" s="4"/>
      <c r="K28" s="4"/>
      <c r="L28" s="4"/>
      <c r="M28" s="4"/>
      <c r="N28" s="4"/>
    </row>
    <row r="29" spans="1:14" x14ac:dyDescent="0.2">
      <c r="A29" s="440"/>
      <c r="C29" s="443"/>
      <c r="D29" s="443"/>
      <c r="E29" s="443"/>
      <c r="F29" s="443"/>
      <c r="G29" s="443"/>
      <c r="I29" s="4"/>
      <c r="J29" s="4"/>
      <c r="K29" s="4"/>
      <c r="L29" s="4"/>
      <c r="M29" s="4"/>
      <c r="N29" s="4"/>
    </row>
    <row r="30" spans="1:14" x14ac:dyDescent="0.2">
      <c r="A30" s="440">
        <f>+A28+1</f>
        <v>12</v>
      </c>
      <c r="B30" s="437" t="s">
        <v>874</v>
      </c>
      <c r="C30" s="444">
        <v>14.59</v>
      </c>
      <c r="D30" s="226">
        <f>+E30/C30-1</f>
        <v>0.16792323509252904</v>
      </c>
      <c r="E30" s="460">
        <f>ROUND(E11*(1+E28),2)</f>
        <v>17.04</v>
      </c>
      <c r="F30" s="155">
        <f>+F11</f>
        <v>146.33333333333334</v>
      </c>
      <c r="G30" s="447">
        <f>F30*E30*12</f>
        <v>29922.239999999998</v>
      </c>
      <c r="H30" s="461"/>
      <c r="I30" s="462"/>
      <c r="J30" s="4"/>
      <c r="K30" s="4"/>
      <c r="L30" s="4"/>
      <c r="M30" s="4"/>
      <c r="N30" s="4"/>
    </row>
    <row r="31" spans="1:14" x14ac:dyDescent="0.2">
      <c r="A31" s="440">
        <f>+A30+1</f>
        <v>13</v>
      </c>
      <c r="B31" s="437" t="s">
        <v>875</v>
      </c>
      <c r="C31" s="463">
        <v>0.52671000000000001</v>
      </c>
      <c r="D31" s="226">
        <f>+E31/C31-1</f>
        <v>0.16711283248846609</v>
      </c>
      <c r="E31" s="464">
        <f>ROUND(+E12*(1+E28),5)-0.00005</f>
        <v>0.61473</v>
      </c>
      <c r="F31" s="155">
        <f>+F12</f>
        <v>264653.67775176623</v>
      </c>
      <c r="G31" s="447">
        <f>F31*E31</f>
        <v>162690.55532434327</v>
      </c>
      <c r="I31" s="462"/>
      <c r="J31" s="4"/>
      <c r="K31" s="4"/>
      <c r="L31" s="4"/>
      <c r="M31" s="4"/>
      <c r="N31" s="4"/>
    </row>
    <row r="32" spans="1:14" x14ac:dyDescent="0.2">
      <c r="A32" s="440">
        <f>+A31+1</f>
        <v>14</v>
      </c>
      <c r="B32" s="449" t="s">
        <v>876</v>
      </c>
      <c r="G32" s="450">
        <f>SUM(G30:G31)</f>
        <v>192612.79532434326</v>
      </c>
      <c r="I32" s="4"/>
      <c r="J32" s="4"/>
      <c r="K32" s="4"/>
      <c r="L32" s="4"/>
      <c r="M32" s="4"/>
      <c r="N32" s="4"/>
    </row>
    <row r="33" spans="1:14" ht="13.5" thickBot="1" x14ac:dyDescent="0.25">
      <c r="A33" s="440"/>
      <c r="B33" s="449"/>
      <c r="G33" s="451"/>
      <c r="I33" s="4"/>
      <c r="J33" s="4"/>
      <c r="K33" s="4"/>
      <c r="L33" s="4"/>
      <c r="M33" s="4"/>
      <c r="N33" s="4"/>
    </row>
    <row r="34" spans="1:14" ht="13.5" thickBot="1" x14ac:dyDescent="0.25">
      <c r="A34" s="440">
        <f>+A32+1</f>
        <v>15</v>
      </c>
      <c r="B34" s="452" t="s">
        <v>877</v>
      </c>
      <c r="G34" s="453">
        <f>G32</f>
        <v>192612.79532434326</v>
      </c>
      <c r="H34" s="262"/>
      <c r="I34" s="4"/>
      <c r="J34" s="4"/>
      <c r="K34" s="4"/>
      <c r="L34" s="4"/>
      <c r="M34" s="4"/>
      <c r="N34" s="4"/>
    </row>
    <row r="35" spans="1:14" x14ac:dyDescent="0.2">
      <c r="A35" s="440"/>
      <c r="I35" s="465"/>
      <c r="J35" s="4"/>
      <c r="K35" s="4"/>
      <c r="L35" s="4"/>
      <c r="M35" s="4"/>
      <c r="N35" s="4"/>
    </row>
    <row r="36" spans="1:14" x14ac:dyDescent="0.2">
      <c r="A36" s="440">
        <f>+A34+1</f>
        <v>16</v>
      </c>
      <c r="B36" s="437" t="s">
        <v>878</v>
      </c>
      <c r="C36" s="262">
        <f>+C17</f>
        <v>849.73039770330001</v>
      </c>
      <c r="D36" s="40"/>
      <c r="E36" s="262">
        <f>+E17</f>
        <v>1204.8501436803447</v>
      </c>
      <c r="F36" s="454">
        <f>+F30</f>
        <v>146.33333333333334</v>
      </c>
      <c r="G36" s="447">
        <f>F36*E36</f>
        <v>176309.73769189045</v>
      </c>
      <c r="I36" s="4"/>
      <c r="J36" s="4"/>
      <c r="K36" s="4"/>
      <c r="L36" s="4"/>
      <c r="M36" s="4"/>
      <c r="N36" s="4"/>
    </row>
    <row r="37" spans="1:14" x14ac:dyDescent="0.2">
      <c r="A37" s="440">
        <f>+A36+1</f>
        <v>17</v>
      </c>
      <c r="B37" s="437" t="s">
        <v>879</v>
      </c>
      <c r="C37" s="262">
        <f>+C18</f>
        <v>78.599999999999994</v>
      </c>
      <c r="D37" s="40"/>
      <c r="E37" s="262">
        <f>+E18</f>
        <v>111.45</v>
      </c>
      <c r="F37" s="454">
        <f>+F36</f>
        <v>146.33333333333334</v>
      </c>
      <c r="G37" s="447">
        <f>F37*E37</f>
        <v>16308.850000000002</v>
      </c>
      <c r="I37" s="4"/>
      <c r="J37" s="4"/>
      <c r="K37" s="4"/>
      <c r="L37" s="4"/>
      <c r="M37" s="4"/>
      <c r="N37" s="4"/>
    </row>
    <row r="38" spans="1:14" x14ac:dyDescent="0.2">
      <c r="A38" s="440">
        <f>+A37+1</f>
        <v>18</v>
      </c>
      <c r="B38" s="449" t="s">
        <v>880</v>
      </c>
      <c r="G38" s="450">
        <f>SUM(G36:G37)</f>
        <v>192618.58769189045</v>
      </c>
      <c r="I38" s="4"/>
      <c r="J38" s="4"/>
      <c r="K38" s="4"/>
      <c r="L38" s="4"/>
      <c r="M38" s="4"/>
      <c r="N38" s="4"/>
    </row>
    <row r="39" spans="1:14" x14ac:dyDescent="0.2">
      <c r="A39" s="440"/>
      <c r="B39" s="449"/>
      <c r="G39" s="451"/>
      <c r="I39" s="4"/>
      <c r="J39" s="4"/>
      <c r="K39" s="4"/>
      <c r="L39" s="4"/>
      <c r="M39" s="4"/>
      <c r="N39" s="4"/>
    </row>
    <row r="40" spans="1:14" ht="13.5" thickBot="1" x14ac:dyDescent="0.25">
      <c r="A40" s="440"/>
      <c r="B40" s="449"/>
      <c r="G40" s="451"/>
      <c r="I40" s="4"/>
      <c r="J40" s="4"/>
      <c r="K40" s="4"/>
      <c r="L40" s="4"/>
      <c r="M40" s="4"/>
      <c r="N40" s="4"/>
    </row>
    <row r="41" spans="1:14" ht="13.5" thickBot="1" x14ac:dyDescent="0.25">
      <c r="A41" s="440">
        <f>+A38+1</f>
        <v>19</v>
      </c>
      <c r="B41" s="452" t="s">
        <v>882</v>
      </c>
      <c r="G41" s="453">
        <f>+G38</f>
        <v>192618.58769189045</v>
      </c>
      <c r="I41" s="4"/>
      <c r="J41" s="4"/>
      <c r="K41" s="4"/>
      <c r="L41" s="4"/>
      <c r="M41" s="4"/>
      <c r="N41" s="4"/>
    </row>
    <row r="42" spans="1:14" ht="13.5" thickBot="1" x14ac:dyDescent="0.25">
      <c r="A42" s="440"/>
      <c r="I42" s="4"/>
      <c r="J42" s="4"/>
      <c r="K42" s="4"/>
      <c r="L42" s="4"/>
      <c r="M42" s="4"/>
      <c r="N42" s="4"/>
    </row>
    <row r="43" spans="1:14" ht="13.5" thickBot="1" x14ac:dyDescent="0.25">
      <c r="A43" s="440">
        <f>+A41+1</f>
        <v>20</v>
      </c>
      <c r="B43" s="437" t="s">
        <v>881</v>
      </c>
      <c r="G43" s="453">
        <f>G41-G34</f>
        <v>5.7923675471975002</v>
      </c>
      <c r="I43" s="4"/>
      <c r="J43" s="4"/>
      <c r="K43" s="4"/>
      <c r="L43" s="4"/>
      <c r="M43" s="4"/>
      <c r="N43" s="4"/>
    </row>
    <row r="44" spans="1:14" x14ac:dyDescent="0.2">
      <c r="A44" s="440"/>
      <c r="I44" s="4"/>
      <c r="J44" s="4"/>
      <c r="K44" s="4"/>
      <c r="L44" s="4"/>
      <c r="M44" s="4"/>
      <c r="N44" s="4"/>
    </row>
    <row r="45" spans="1:14" x14ac:dyDescent="0.2">
      <c r="A45" s="452"/>
      <c r="B45" s="449"/>
      <c r="G45" s="451"/>
      <c r="I45" s="4"/>
      <c r="J45" s="4"/>
      <c r="K45" s="4"/>
      <c r="L45" s="4"/>
      <c r="M45" s="4"/>
      <c r="N45" s="4"/>
    </row>
    <row r="46" spans="1:14" x14ac:dyDescent="0.2">
      <c r="A46" s="452"/>
      <c r="B46" s="449"/>
      <c r="G46" s="451"/>
    </row>
    <row r="47" spans="1:14" x14ac:dyDescent="0.2">
      <c r="A47" s="452"/>
      <c r="B47" s="452"/>
      <c r="C47" s="508" t="s">
        <v>1060</v>
      </c>
      <c r="D47" s="508" t="s">
        <v>1061</v>
      </c>
      <c r="E47" s="508" t="s">
        <v>1108</v>
      </c>
      <c r="F47" s="508" t="s">
        <v>1085</v>
      </c>
      <c r="G47" s="508" t="s">
        <v>1081</v>
      </c>
      <c r="H47" s="508" t="s">
        <v>1082</v>
      </c>
    </row>
    <row r="48" spans="1:14" ht="12.75" customHeight="1" x14ac:dyDescent="0.2">
      <c r="A48" s="452"/>
      <c r="C48" s="508"/>
      <c r="D48" s="508"/>
      <c r="E48" s="508"/>
      <c r="F48" s="508"/>
      <c r="G48" s="508"/>
      <c r="H48" s="508"/>
    </row>
    <row r="49" spans="1:9" x14ac:dyDescent="0.2">
      <c r="A49" s="452"/>
      <c r="C49" s="508"/>
      <c r="D49" s="508"/>
      <c r="E49" s="508"/>
      <c r="F49" s="508"/>
      <c r="G49" s="508"/>
      <c r="H49" s="508"/>
    </row>
    <row r="50" spans="1:9" x14ac:dyDescent="0.2">
      <c r="A50" s="452"/>
      <c r="C50" s="509"/>
      <c r="D50" s="509"/>
      <c r="E50" s="509"/>
      <c r="F50" s="509"/>
      <c r="G50" s="509"/>
      <c r="H50" s="509"/>
    </row>
    <row r="51" spans="1:9" x14ac:dyDescent="0.2">
      <c r="A51" s="440">
        <f>+A43+1</f>
        <v>21</v>
      </c>
      <c r="B51" s="437" t="s">
        <v>376</v>
      </c>
      <c r="C51" s="262">
        <v>6.57</v>
      </c>
      <c r="D51" s="228">
        <v>0.20054026999999999</v>
      </c>
      <c r="E51" s="262">
        <f>+C51*(1+D51)</f>
        <v>7.8875495739000012</v>
      </c>
      <c r="F51" s="461">
        <f>+E51</f>
        <v>7.8875495739000012</v>
      </c>
      <c r="G51" s="228">
        <f>+'CLS1-1 (Class COS)'!C25</f>
        <v>0.22700800735643489</v>
      </c>
      <c r="H51" s="262">
        <f>+F51*(1+G51)</f>
        <v>9.6780864855961379</v>
      </c>
    </row>
    <row r="52" spans="1:9" x14ac:dyDescent="0.2">
      <c r="A52" s="440">
        <f>+A51+1</f>
        <v>22</v>
      </c>
      <c r="B52" s="437" t="s">
        <v>18</v>
      </c>
      <c r="C52" s="262">
        <v>12.09</v>
      </c>
      <c r="D52" s="228">
        <v>0.20054026999999999</v>
      </c>
      <c r="E52" s="262">
        <f t="shared" ref="E52:E55" si="0">+C52*(1+D52)</f>
        <v>14.5145318643</v>
      </c>
      <c r="F52" s="461">
        <f t="shared" ref="F52:F54" si="1">+E52</f>
        <v>14.5145318643</v>
      </c>
      <c r="G52" s="228">
        <f>+G51</f>
        <v>0.22700800735643489</v>
      </c>
      <c r="H52" s="262">
        <f t="shared" ref="H52:H54" si="2">+F52*(1+G52)</f>
        <v>17.809446820526222</v>
      </c>
    </row>
    <row r="53" spans="1:9" x14ac:dyDescent="0.2">
      <c r="A53" s="440">
        <f t="shared" ref="A53:A58" si="3">+A52+1</f>
        <v>23</v>
      </c>
      <c r="B53" s="437" t="s">
        <v>275</v>
      </c>
      <c r="C53" s="262">
        <v>32.729999999999997</v>
      </c>
      <c r="D53" s="228">
        <v>0.20054026999999999</v>
      </c>
      <c r="E53" s="262">
        <f t="shared" si="0"/>
        <v>39.293683037099996</v>
      </c>
      <c r="F53" s="461">
        <f t="shared" si="1"/>
        <v>39.293683037099996</v>
      </c>
      <c r="G53" s="228">
        <f t="shared" ref="G53:G54" si="4">+G52</f>
        <v>0.22700800735643489</v>
      </c>
      <c r="H53" s="262">
        <f t="shared" si="2"/>
        <v>48.213663725047411</v>
      </c>
    </row>
    <row r="54" spans="1:9" x14ac:dyDescent="0.2">
      <c r="A54" s="440">
        <f t="shared" si="3"/>
        <v>24</v>
      </c>
      <c r="B54" s="452" t="s">
        <v>1058</v>
      </c>
      <c r="C54" s="262">
        <v>1.9</v>
      </c>
      <c r="D54" s="228">
        <v>0.20054026999999999</v>
      </c>
      <c r="E54" s="262">
        <f t="shared" si="0"/>
        <v>2.281026513</v>
      </c>
      <c r="F54" s="461">
        <f t="shared" si="1"/>
        <v>2.281026513</v>
      </c>
      <c r="G54" s="228">
        <f t="shared" si="4"/>
        <v>0.22700800735643489</v>
      </c>
      <c r="H54" s="262">
        <f t="shared" si="2"/>
        <v>2.7988377964433271</v>
      </c>
    </row>
    <row r="55" spans="1:9" x14ac:dyDescent="0.2">
      <c r="A55" s="440">
        <f t="shared" si="3"/>
        <v>25</v>
      </c>
      <c r="B55" s="437" t="s">
        <v>1107</v>
      </c>
      <c r="C55" s="229">
        <f>462+192.5</f>
        <v>654.5</v>
      </c>
      <c r="D55" s="228">
        <v>0.20054026999999999</v>
      </c>
      <c r="E55" s="229">
        <f t="shared" si="0"/>
        <v>785.75360671500005</v>
      </c>
      <c r="F55" s="229">
        <f>+H77</f>
        <v>1126.3501088527316</v>
      </c>
      <c r="G55" s="228"/>
      <c r="H55" s="229">
        <f>+F55</f>
        <v>1126.3501088527316</v>
      </c>
    </row>
    <row r="56" spans="1:9" x14ac:dyDescent="0.2">
      <c r="A56" s="440">
        <f t="shared" si="3"/>
        <v>26</v>
      </c>
      <c r="B56" s="437" t="s">
        <v>286</v>
      </c>
      <c r="C56" s="262">
        <f>SUM(C51:C55)</f>
        <v>707.79</v>
      </c>
      <c r="E56" s="262">
        <f>SUM(E51:E55)</f>
        <v>849.73039770330001</v>
      </c>
      <c r="F56" s="262">
        <f>SUM(F51:F55)</f>
        <v>1190.3268998410317</v>
      </c>
      <c r="H56" s="262">
        <f>SUM(H51:H55)</f>
        <v>1204.8501436803447</v>
      </c>
    </row>
    <row r="57" spans="1:9" x14ac:dyDescent="0.2">
      <c r="A57" s="440">
        <f t="shared" si="3"/>
        <v>27</v>
      </c>
      <c r="B57" s="437" t="s">
        <v>1059</v>
      </c>
      <c r="C57" s="229">
        <f>ROUND(C56*0.0925,2)</f>
        <v>65.47</v>
      </c>
      <c r="E57" s="229">
        <f>ROUND(E56*0.0925,2)</f>
        <v>78.599999999999994</v>
      </c>
      <c r="F57" s="229">
        <f>ROUND(F56*0.0925,2)</f>
        <v>110.11</v>
      </c>
      <c r="H57" s="229">
        <f>ROUND(H56*0.0925,2)</f>
        <v>111.45</v>
      </c>
    </row>
    <row r="58" spans="1:9" ht="13.5" thickBot="1" x14ac:dyDescent="0.25">
      <c r="A58" s="440">
        <f t="shared" si="3"/>
        <v>28</v>
      </c>
      <c r="B58" s="437" t="s">
        <v>177</v>
      </c>
      <c r="C58" s="466">
        <f>SUM(C56:C57)</f>
        <v>773.26</v>
      </c>
      <c r="E58" s="466">
        <f>SUM(E56:E57)</f>
        <v>928.33039770330004</v>
      </c>
      <c r="F58" s="466">
        <f>SUM(F56:F57)</f>
        <v>1300.4368998410316</v>
      </c>
      <c r="H58" s="466">
        <f>SUM(H56:H57)</f>
        <v>1316.3001436803447</v>
      </c>
      <c r="I58" s="467"/>
    </row>
    <row r="59" spans="1:9" ht="13.5" thickTop="1" x14ac:dyDescent="0.2">
      <c r="A59" s="452"/>
      <c r="B59" s="442"/>
      <c r="C59" s="440"/>
      <c r="D59" s="440"/>
      <c r="E59" s="440"/>
      <c r="F59" s="440"/>
      <c r="G59" s="440"/>
    </row>
    <row r="60" spans="1:9" x14ac:dyDescent="0.2">
      <c r="A60" s="452"/>
      <c r="C60" s="443"/>
      <c r="D60" s="443"/>
      <c r="E60" s="443"/>
      <c r="F60" s="468"/>
      <c r="G60" s="443"/>
      <c r="H60" s="461"/>
    </row>
    <row r="61" spans="1:9" x14ac:dyDescent="0.2">
      <c r="A61" s="452"/>
      <c r="B61" s="449"/>
      <c r="G61" s="451"/>
    </row>
    <row r="62" spans="1:9" x14ac:dyDescent="0.2">
      <c r="A62" s="452"/>
      <c r="B62" s="469" t="s">
        <v>1106</v>
      </c>
      <c r="G62" s="451"/>
    </row>
    <row r="63" spans="1:9" x14ac:dyDescent="0.2">
      <c r="A63" s="452"/>
      <c r="B63" s="437" t="s">
        <v>1086</v>
      </c>
      <c r="C63" s="440" t="s">
        <v>1087</v>
      </c>
      <c r="D63" s="440" t="s">
        <v>1088</v>
      </c>
      <c r="E63" s="440" t="s">
        <v>1089</v>
      </c>
      <c r="F63" s="440" t="s">
        <v>1090</v>
      </c>
      <c r="G63" s="440" t="s">
        <v>1091</v>
      </c>
      <c r="H63" s="440" t="s">
        <v>1092</v>
      </c>
    </row>
    <row r="64" spans="1:9" x14ac:dyDescent="0.2">
      <c r="A64" s="440">
        <f>+A58+1</f>
        <v>29</v>
      </c>
      <c r="B64" s="437" t="s">
        <v>1093</v>
      </c>
      <c r="C64" s="470">
        <v>77.33055555555552</v>
      </c>
      <c r="D64" s="262">
        <v>45.26</v>
      </c>
      <c r="E64" s="262">
        <v>30.745117999999998</v>
      </c>
      <c r="F64" s="262">
        <f>SUM(D64:E64)</f>
        <v>76.005117999999996</v>
      </c>
      <c r="G64" s="262">
        <f>+F64*C64</f>
        <v>5877.5180000055525</v>
      </c>
      <c r="H64" s="262">
        <f>+G64*12</f>
        <v>70530.216000066634</v>
      </c>
    </row>
    <row r="65" spans="1:8" x14ac:dyDescent="0.2">
      <c r="A65" s="440">
        <f>+A64+1</f>
        <v>30</v>
      </c>
      <c r="B65" s="437" t="s">
        <v>1094</v>
      </c>
      <c r="C65" s="470">
        <v>6.1800925925925938</v>
      </c>
      <c r="D65" s="262">
        <v>45.26</v>
      </c>
      <c r="E65" s="262">
        <v>30.745117999999998</v>
      </c>
      <c r="F65" s="262">
        <f t="shared" ref="F65:F72" si="5">SUM(D65:E65)</f>
        <v>76.005117999999996</v>
      </c>
      <c r="G65" s="262">
        <f t="shared" ref="G65:G72" si="6">+F65*C65</f>
        <v>469.71866675092599</v>
      </c>
      <c r="H65" s="262">
        <f t="shared" ref="H65:H73" si="7">+G65*12</f>
        <v>5636.6240010111123</v>
      </c>
    </row>
    <row r="66" spans="1:8" x14ac:dyDescent="0.2">
      <c r="A66" s="440">
        <f t="shared" ref="A66:A74" si="8">+A65+1</f>
        <v>31</v>
      </c>
      <c r="B66" s="449" t="s">
        <v>1095</v>
      </c>
      <c r="C66" s="470">
        <v>3.8125</v>
      </c>
      <c r="D66" s="262">
        <v>45.26</v>
      </c>
      <c r="E66" s="262">
        <v>31.306341999999997</v>
      </c>
      <c r="F66" s="262">
        <f t="shared" si="5"/>
        <v>76.566341999999992</v>
      </c>
      <c r="G66" s="262">
        <f t="shared" si="6"/>
        <v>291.90917887499995</v>
      </c>
      <c r="H66" s="262">
        <f t="shared" si="7"/>
        <v>3502.9101464999994</v>
      </c>
    </row>
    <row r="67" spans="1:8" x14ac:dyDescent="0.2">
      <c r="A67" s="440">
        <f t="shared" si="8"/>
        <v>32</v>
      </c>
      <c r="B67" s="449" t="s">
        <v>1096</v>
      </c>
      <c r="C67" s="470">
        <v>1</v>
      </c>
      <c r="D67" s="262">
        <v>55.168269230769234</v>
      </c>
      <c r="E67" s="262">
        <v>38.159891826923079</v>
      </c>
      <c r="F67" s="262">
        <f t="shared" si="5"/>
        <v>93.328161057692313</v>
      </c>
      <c r="G67" s="262">
        <f t="shared" si="6"/>
        <v>93.328161057692313</v>
      </c>
      <c r="H67" s="262">
        <f t="shared" si="7"/>
        <v>1119.9379326923076</v>
      </c>
    </row>
    <row r="68" spans="1:8" x14ac:dyDescent="0.2">
      <c r="A68" s="440">
        <f t="shared" si="8"/>
        <v>33</v>
      </c>
      <c r="B68" s="449" t="s">
        <v>1097</v>
      </c>
      <c r="C68" s="470">
        <v>8</v>
      </c>
      <c r="D68" s="262">
        <v>27.32</v>
      </c>
      <c r="E68" s="262">
        <v>18.558475999999999</v>
      </c>
      <c r="F68" s="262">
        <f t="shared" si="5"/>
        <v>45.878475999999999</v>
      </c>
      <c r="G68" s="262">
        <f t="shared" si="6"/>
        <v>367.02780799999999</v>
      </c>
      <c r="H68" s="262">
        <f t="shared" si="7"/>
        <v>4404.3336959999997</v>
      </c>
    </row>
    <row r="69" spans="1:8" x14ac:dyDescent="0.2">
      <c r="A69" s="440">
        <f t="shared" si="8"/>
        <v>34</v>
      </c>
      <c r="B69" s="452" t="s">
        <v>1098</v>
      </c>
      <c r="C69" s="470">
        <v>16</v>
      </c>
      <c r="D69" s="262">
        <v>31.544999999999998</v>
      </c>
      <c r="E69" s="262">
        <v>21.819676499999996</v>
      </c>
      <c r="F69" s="262">
        <f t="shared" si="5"/>
        <v>53.364676499999995</v>
      </c>
      <c r="G69" s="262">
        <f t="shared" si="6"/>
        <v>853.83482399999991</v>
      </c>
      <c r="H69" s="262">
        <f t="shared" si="7"/>
        <v>10246.017887999998</v>
      </c>
    </row>
    <row r="70" spans="1:8" x14ac:dyDescent="0.2">
      <c r="A70" s="440">
        <f t="shared" si="8"/>
        <v>35</v>
      </c>
      <c r="B70" s="437" t="s">
        <v>1099</v>
      </c>
      <c r="C70" s="470">
        <v>4</v>
      </c>
      <c r="D70" s="262">
        <v>63.47596153846154</v>
      </c>
      <c r="E70" s="262">
        <v>43.906322596153849</v>
      </c>
      <c r="F70" s="262">
        <f t="shared" si="5"/>
        <v>107.38228413461539</v>
      </c>
      <c r="G70" s="262">
        <f t="shared" si="6"/>
        <v>429.52913653846156</v>
      </c>
      <c r="H70" s="262">
        <f t="shared" si="7"/>
        <v>5154.3496384615391</v>
      </c>
    </row>
    <row r="71" spans="1:8" x14ac:dyDescent="0.2">
      <c r="A71" s="440">
        <f t="shared" si="8"/>
        <v>36</v>
      </c>
      <c r="B71" s="437" t="s">
        <v>1100</v>
      </c>
      <c r="C71" s="470">
        <v>39.5</v>
      </c>
      <c r="D71" s="262">
        <v>51.72</v>
      </c>
      <c r="E71" s="262">
        <v>35.133395999999998</v>
      </c>
      <c r="F71" s="262">
        <f t="shared" si="5"/>
        <v>86.853396000000004</v>
      </c>
      <c r="G71" s="262">
        <f t="shared" si="6"/>
        <v>3430.7091420000002</v>
      </c>
      <c r="H71" s="262">
        <f t="shared" si="7"/>
        <v>41168.509704000004</v>
      </c>
    </row>
    <row r="72" spans="1:8" x14ac:dyDescent="0.2">
      <c r="A72" s="440">
        <f t="shared" si="8"/>
        <v>37</v>
      </c>
      <c r="B72" s="437" t="s">
        <v>1101</v>
      </c>
      <c r="C72" s="470">
        <v>12</v>
      </c>
      <c r="D72" s="262">
        <v>36.29</v>
      </c>
      <c r="E72" s="262">
        <v>25.101792999999997</v>
      </c>
      <c r="F72" s="262">
        <f t="shared" si="5"/>
        <v>61.391792999999993</v>
      </c>
      <c r="G72" s="262">
        <f t="shared" si="6"/>
        <v>736.70151599999986</v>
      </c>
      <c r="H72" s="262">
        <f t="shared" si="7"/>
        <v>8840.4181919999974</v>
      </c>
    </row>
    <row r="73" spans="1:8" x14ac:dyDescent="0.2">
      <c r="A73" s="440">
        <f t="shared" si="8"/>
        <v>38</v>
      </c>
      <c r="B73" s="437" t="s">
        <v>1102</v>
      </c>
      <c r="D73" s="262"/>
      <c r="E73" s="262"/>
      <c r="F73" s="262"/>
      <c r="G73" s="229">
        <f>36000*0.76/12</f>
        <v>2280</v>
      </c>
      <c r="H73" s="229">
        <f t="shared" si="7"/>
        <v>27360</v>
      </c>
    </row>
    <row r="74" spans="1:8" x14ac:dyDescent="0.2">
      <c r="A74" s="440">
        <f t="shared" si="8"/>
        <v>39</v>
      </c>
      <c r="B74" s="437" t="s">
        <v>1103</v>
      </c>
      <c r="D74" s="262"/>
      <c r="E74" s="262"/>
      <c r="F74" s="262"/>
      <c r="G74" s="262">
        <f>SUM(G64:G73)</f>
        <v>14830.276433227631</v>
      </c>
      <c r="H74" s="262">
        <f>SUM(H64:H73)</f>
        <v>177963.31719873159</v>
      </c>
    </row>
    <row r="75" spans="1:8" x14ac:dyDescent="0.2">
      <c r="A75" s="452"/>
      <c r="B75" s="442"/>
      <c r="C75" s="440"/>
      <c r="D75" s="471"/>
      <c r="E75" s="471"/>
      <c r="F75" s="471"/>
      <c r="G75" s="471"/>
      <c r="H75" s="262"/>
    </row>
    <row r="76" spans="1:8" x14ac:dyDescent="0.2">
      <c r="A76" s="440">
        <f>+A74+1</f>
        <v>40</v>
      </c>
      <c r="B76" s="437" t="s">
        <v>1104</v>
      </c>
      <c r="C76" s="472"/>
      <c r="D76" s="393"/>
      <c r="E76" s="393"/>
      <c r="F76" s="227"/>
      <c r="G76" s="262"/>
      <c r="H76" s="49">
        <v>158</v>
      </c>
    </row>
    <row r="77" spans="1:8" ht="13.5" thickBot="1" x14ac:dyDescent="0.25">
      <c r="A77" s="440">
        <f>+A76+1</f>
        <v>41</v>
      </c>
      <c r="B77" s="449" t="s">
        <v>1105</v>
      </c>
      <c r="D77" s="262"/>
      <c r="E77" s="262"/>
      <c r="F77" s="262"/>
      <c r="G77" s="393"/>
      <c r="H77" s="473">
        <f>+H74/H76</f>
        <v>1126.3501088527316</v>
      </c>
    </row>
    <row r="78" spans="1:8" ht="13.5" thickTop="1" x14ac:dyDescent="0.2">
      <c r="A78" s="452"/>
      <c r="B78" s="449"/>
      <c r="G78" s="451"/>
    </row>
    <row r="81" spans="2:2" x14ac:dyDescent="0.2">
      <c r="B81" s="437" t="s">
        <v>1048</v>
      </c>
    </row>
    <row r="82" spans="2:2" x14ac:dyDescent="0.2">
      <c r="B82" s="437" t="s">
        <v>1046</v>
      </c>
    </row>
    <row r="83" spans="2:2" x14ac:dyDescent="0.2">
      <c r="B83" s="437" t="s">
        <v>1047</v>
      </c>
    </row>
  </sheetData>
  <mergeCells count="6">
    <mergeCell ref="H47:H50"/>
    <mergeCell ref="C47:C50"/>
    <mergeCell ref="D47:D50"/>
    <mergeCell ref="E47:E50"/>
    <mergeCell ref="F47:F50"/>
    <mergeCell ref="G47:G50"/>
  </mergeCells>
  <pageMargins left="0.7" right="0.7" top="1.4522727272727274" bottom="0.75" header="0.3" footer="0.3"/>
  <pageSetup scale="71" orientation="landscape" r:id="rId1"/>
  <headerFooter>
    <oddHeader>&amp;CRULE 20:10:13:98
STATEMENT O WORKPAPER - Tab &amp;A
Farm Tap Rate Design/Phase-in
Test Year Ending December 31, 2025
Utility: MidAmerican Energy Company
Docket No. NG26-___
Individual Responsible: Stephen Stratton&amp;RPage &amp;P of &amp;N</oddHeader>
  </headerFooter>
  <rowBreaks count="1" manualBreakCount="1">
    <brk id="73"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F278"/>
  <sheetViews>
    <sheetView view="pageLayout" zoomScaleNormal="90" workbookViewId="0"/>
  </sheetViews>
  <sheetFormatPr defaultColWidth="9.140625" defaultRowHeight="12.75" x14ac:dyDescent="0.2"/>
  <cols>
    <col min="1" max="1" width="5.85546875" style="20" customWidth="1"/>
    <col min="2" max="2" width="6" style="36" customWidth="1"/>
    <col min="3" max="3" width="14" style="20" customWidth="1"/>
    <col min="4" max="6" width="3.28515625" style="20" customWidth="1"/>
    <col min="7" max="7" width="37.140625" style="20" customWidth="1"/>
    <col min="8" max="8" width="18.140625" style="20" customWidth="1"/>
    <col min="9" max="9" width="17" style="20" bestFit="1" customWidth="1"/>
    <col min="10" max="10" width="16.28515625" style="20" bestFit="1" customWidth="1"/>
    <col min="11" max="11" width="15.28515625" style="20" bestFit="1" customWidth="1"/>
    <col min="12" max="12" width="16.28515625" style="20" bestFit="1" customWidth="1"/>
    <col min="13" max="13" width="15.28515625" style="20" bestFit="1" customWidth="1"/>
    <col min="14" max="14" width="14.5703125" style="20" bestFit="1" customWidth="1"/>
    <col min="15" max="16" width="14.28515625" style="20" bestFit="1" customWidth="1"/>
    <col min="17" max="18" width="15.7109375" style="20" customWidth="1"/>
    <col min="19" max="19" width="16.7109375" style="20" bestFit="1" customWidth="1"/>
    <col min="20" max="20" width="18.140625" style="20" customWidth="1"/>
    <col min="21" max="21" width="14.5703125" style="20" customWidth="1"/>
    <col min="22" max="16384" width="9.140625" style="20"/>
  </cols>
  <sheetData>
    <row r="1" spans="1:21" ht="18" x14ac:dyDescent="0.25">
      <c r="A1" s="134" t="s">
        <v>845</v>
      </c>
      <c r="B1" s="20"/>
      <c r="D1" s="36"/>
    </row>
    <row r="2" spans="1:21" x14ac:dyDescent="0.2">
      <c r="B2" s="20"/>
      <c r="D2" s="36"/>
      <c r="H2" s="239" t="s">
        <v>404</v>
      </c>
      <c r="Q2" s="272" t="s">
        <v>713</v>
      </c>
      <c r="R2" s="272" t="s">
        <v>714</v>
      </c>
    </row>
    <row r="3" spans="1:21" x14ac:dyDescent="0.2">
      <c r="B3" s="36" t="s">
        <v>193</v>
      </c>
      <c r="C3" s="33"/>
      <c r="H3" s="239" t="s">
        <v>20</v>
      </c>
      <c r="I3" s="13"/>
      <c r="J3" s="13" t="s">
        <v>303</v>
      </c>
      <c r="K3" s="13" t="s">
        <v>303</v>
      </c>
      <c r="L3" s="13"/>
      <c r="M3" s="13"/>
      <c r="N3" s="13"/>
      <c r="O3" s="13" t="s">
        <v>60</v>
      </c>
      <c r="P3" s="13" t="s">
        <v>22</v>
      </c>
      <c r="Q3" s="13" t="s">
        <v>374</v>
      </c>
      <c r="R3" s="13" t="s">
        <v>374</v>
      </c>
      <c r="S3" s="13" t="s">
        <v>492</v>
      </c>
      <c r="T3" s="239"/>
      <c r="U3" s="239"/>
    </row>
    <row r="4" spans="1:21" x14ac:dyDescent="0.2">
      <c r="A4" s="23" t="s">
        <v>24</v>
      </c>
      <c r="B4" s="38" t="s">
        <v>192</v>
      </c>
      <c r="C4" s="35" t="s">
        <v>152</v>
      </c>
      <c r="D4" s="23" t="s">
        <v>21</v>
      </c>
      <c r="E4" s="23"/>
      <c r="F4" s="23"/>
      <c r="G4" s="23"/>
      <c r="H4" s="268" t="s">
        <v>23</v>
      </c>
      <c r="I4" s="12" t="s">
        <v>302</v>
      </c>
      <c r="J4" s="12" t="s">
        <v>304</v>
      </c>
      <c r="K4" s="12" t="s">
        <v>305</v>
      </c>
      <c r="L4" s="12" t="s">
        <v>19</v>
      </c>
      <c r="M4" s="12" t="s">
        <v>18</v>
      </c>
      <c r="N4" s="12" t="s">
        <v>306</v>
      </c>
      <c r="O4" s="12" t="s">
        <v>18</v>
      </c>
      <c r="P4" s="12" t="s">
        <v>250</v>
      </c>
      <c r="Q4" s="12" t="s">
        <v>375</v>
      </c>
      <c r="R4" s="12" t="s">
        <v>375</v>
      </c>
      <c r="S4" s="12" t="s">
        <v>493</v>
      </c>
      <c r="T4" s="268" t="s">
        <v>17</v>
      </c>
      <c r="U4" s="269"/>
    </row>
    <row r="5" spans="1:21" x14ac:dyDescent="0.2">
      <c r="B5" s="36" t="s">
        <v>26</v>
      </c>
      <c r="C5" s="36" t="s">
        <v>27</v>
      </c>
      <c r="D5" s="36" t="s">
        <v>28</v>
      </c>
      <c r="E5" s="36" t="s">
        <v>29</v>
      </c>
      <c r="F5" s="36" t="s">
        <v>36</v>
      </c>
      <c r="G5" s="36"/>
      <c r="H5" s="36" t="s">
        <v>30</v>
      </c>
      <c r="I5" s="36" t="s">
        <v>31</v>
      </c>
      <c r="J5" s="36" t="s">
        <v>32</v>
      </c>
      <c r="K5" s="36" t="s">
        <v>33</v>
      </c>
      <c r="L5" s="36" t="s">
        <v>34</v>
      </c>
      <c r="M5" s="36" t="s">
        <v>35</v>
      </c>
      <c r="N5" s="36" t="s">
        <v>157</v>
      </c>
      <c r="O5" s="36" t="s">
        <v>158</v>
      </c>
      <c r="P5" s="36" t="s">
        <v>159</v>
      </c>
      <c r="Q5" s="36" t="s">
        <v>160</v>
      </c>
      <c r="R5" s="36" t="s">
        <v>161</v>
      </c>
      <c r="S5" s="36" t="s">
        <v>162</v>
      </c>
      <c r="T5" s="259" t="s">
        <v>248</v>
      </c>
    </row>
    <row r="6" spans="1:21" x14ac:dyDescent="0.2">
      <c r="B6" s="20"/>
      <c r="D6" s="36"/>
    </row>
    <row r="7" spans="1:21" ht="18" x14ac:dyDescent="0.25">
      <c r="A7" s="32" t="s">
        <v>178</v>
      </c>
      <c r="B7" s="20"/>
      <c r="C7" s="32"/>
    </row>
    <row r="8" spans="1:21" x14ac:dyDescent="0.2">
      <c r="C8" s="33"/>
    </row>
    <row r="9" spans="1:21" x14ac:dyDescent="0.2">
      <c r="C9" s="36"/>
      <c r="D9" s="33" t="s">
        <v>464</v>
      </c>
    </row>
    <row r="10" spans="1:21" x14ac:dyDescent="0.2">
      <c r="A10" s="33">
        <v>1</v>
      </c>
      <c r="B10" s="36">
        <v>1.1000000000000001</v>
      </c>
      <c r="C10" s="243">
        <v>304</v>
      </c>
      <c r="D10" s="33"/>
      <c r="E10" s="20" t="s">
        <v>136</v>
      </c>
      <c r="H10" s="34">
        <f>'FUN-2 (Test Year)'!$I$13</f>
        <v>0</v>
      </c>
      <c r="I10" s="34">
        <f t="shared" ref="I10:I15" si="0">INDEX(AlocTable,MATCH($B10,AlocList),3)*$H10</f>
        <v>0</v>
      </c>
      <c r="J10" s="34">
        <f t="shared" ref="J10:J15" si="1">INDEX(AlocTable,MATCH($B10,AlocList),4)*$H10</f>
        <v>0</v>
      </c>
      <c r="K10" s="34">
        <f t="shared" ref="K10:K15" si="2">INDEX(AlocTable,MATCH($B10,AlocList),5)*$H10</f>
        <v>0</v>
      </c>
      <c r="L10" s="34">
        <f t="shared" ref="L10:L15" si="3">INDEX(AlocTable,MATCH($B10,AlocList),6)*$H10</f>
        <v>0</v>
      </c>
      <c r="M10" s="34">
        <f t="shared" ref="M10:M15" si="4">INDEX(AlocTable,MATCH($B10,AlocList),7)*$H10</f>
        <v>0</v>
      </c>
      <c r="N10" s="34">
        <f t="shared" ref="N10:N15" si="5">INDEX(AlocTable,MATCH($B10,AlocList),8)*$H10</f>
        <v>0</v>
      </c>
      <c r="O10" s="34">
        <f t="shared" ref="O10:O15" si="6">INDEX(AlocTable,MATCH($B10,AlocList),9)*$H10</f>
        <v>0</v>
      </c>
      <c r="P10" s="34">
        <f t="shared" ref="P10:P15" si="7">INDEX(AlocTable,MATCH($B10,AlocList),10)*$H10</f>
        <v>0</v>
      </c>
      <c r="Q10" s="34">
        <f t="shared" ref="Q10:Q15" si="8">INDEX(AlocTable,MATCH($B10,AlocList),11)*$H10</f>
        <v>0</v>
      </c>
      <c r="R10" s="34">
        <f t="shared" ref="R10:R15" si="9">INDEX(AlocTable,MATCH($B10,AlocList),12)*$H10</f>
        <v>0</v>
      </c>
      <c r="S10" s="34">
        <f t="shared" ref="S10:S15" si="10">INDEX(AlocTable,MATCH($B10,AlocList),13)*$H10</f>
        <v>0</v>
      </c>
      <c r="T10" s="26">
        <f>SUM(I10:S10)-H10</f>
        <v>0</v>
      </c>
    </row>
    <row r="11" spans="1:21" x14ac:dyDescent="0.2">
      <c r="A11" s="33">
        <f>+A10+1</f>
        <v>2</v>
      </c>
      <c r="B11" s="36">
        <v>1.1000000000000001</v>
      </c>
      <c r="C11" s="243">
        <v>305</v>
      </c>
      <c r="D11" s="33"/>
      <c r="E11" s="20" t="s">
        <v>309</v>
      </c>
      <c r="H11" s="34">
        <f>'FUN-2 (Test Year)'!I14</f>
        <v>0</v>
      </c>
      <c r="I11" s="34">
        <f t="shared" si="0"/>
        <v>0</v>
      </c>
      <c r="J11" s="34">
        <f t="shared" si="1"/>
        <v>0</v>
      </c>
      <c r="K11" s="34">
        <f t="shared" si="2"/>
        <v>0</v>
      </c>
      <c r="L11" s="34">
        <f t="shared" si="3"/>
        <v>0</v>
      </c>
      <c r="M11" s="34">
        <f t="shared" si="4"/>
        <v>0</v>
      </c>
      <c r="N11" s="34">
        <f t="shared" si="5"/>
        <v>0</v>
      </c>
      <c r="O11" s="34">
        <f t="shared" si="6"/>
        <v>0</v>
      </c>
      <c r="P11" s="34">
        <f t="shared" si="7"/>
        <v>0</v>
      </c>
      <c r="Q11" s="34">
        <f t="shared" si="8"/>
        <v>0</v>
      </c>
      <c r="R11" s="34">
        <f t="shared" si="9"/>
        <v>0</v>
      </c>
      <c r="S11" s="34">
        <f t="shared" si="10"/>
        <v>0</v>
      </c>
      <c r="T11" s="26">
        <f t="shared" ref="T11:T16" si="11">SUM(I11:S11)-H11</f>
        <v>0</v>
      </c>
    </row>
    <row r="12" spans="1:21" x14ac:dyDescent="0.2">
      <c r="A12" s="33">
        <f>+A11+1</f>
        <v>3</v>
      </c>
      <c r="B12" s="36">
        <v>1.1000000000000001</v>
      </c>
      <c r="C12" s="243">
        <v>306</v>
      </c>
      <c r="D12" s="33"/>
      <c r="E12" s="20" t="s">
        <v>310</v>
      </c>
      <c r="H12" s="34">
        <f>'FUN-2 (Test Year)'!I15</f>
        <v>0</v>
      </c>
      <c r="I12" s="34">
        <f t="shared" si="0"/>
        <v>0</v>
      </c>
      <c r="J12" s="34">
        <f t="shared" si="1"/>
        <v>0</v>
      </c>
      <c r="K12" s="34">
        <f t="shared" si="2"/>
        <v>0</v>
      </c>
      <c r="L12" s="34">
        <f t="shared" si="3"/>
        <v>0</v>
      </c>
      <c r="M12" s="34">
        <f t="shared" si="4"/>
        <v>0</v>
      </c>
      <c r="N12" s="34">
        <f t="shared" si="5"/>
        <v>0</v>
      </c>
      <c r="O12" s="34">
        <f t="shared" si="6"/>
        <v>0</v>
      </c>
      <c r="P12" s="34">
        <f t="shared" si="7"/>
        <v>0</v>
      </c>
      <c r="Q12" s="34">
        <f t="shared" si="8"/>
        <v>0</v>
      </c>
      <c r="R12" s="34">
        <f t="shared" si="9"/>
        <v>0</v>
      </c>
      <c r="S12" s="34">
        <f t="shared" si="10"/>
        <v>0</v>
      </c>
      <c r="T12" s="26">
        <f t="shared" ref="T12:T13" si="12">SUM(I12:S12)-H12</f>
        <v>0</v>
      </c>
    </row>
    <row r="13" spans="1:21" x14ac:dyDescent="0.2">
      <c r="A13" s="33">
        <f>+A12+1</f>
        <v>4</v>
      </c>
      <c r="B13" s="36">
        <v>1.1000000000000001</v>
      </c>
      <c r="C13" s="243">
        <v>307</v>
      </c>
      <c r="D13" s="33"/>
      <c r="E13" s="20" t="s">
        <v>311</v>
      </c>
      <c r="H13" s="34">
        <f>'FUN-2 (Test Year)'!I16</f>
        <v>0</v>
      </c>
      <c r="I13" s="34">
        <f t="shared" si="0"/>
        <v>0</v>
      </c>
      <c r="J13" s="34">
        <f t="shared" si="1"/>
        <v>0</v>
      </c>
      <c r="K13" s="34">
        <f t="shared" si="2"/>
        <v>0</v>
      </c>
      <c r="L13" s="34">
        <f t="shared" si="3"/>
        <v>0</v>
      </c>
      <c r="M13" s="34">
        <f t="shared" si="4"/>
        <v>0</v>
      </c>
      <c r="N13" s="34">
        <f t="shared" si="5"/>
        <v>0</v>
      </c>
      <c r="O13" s="34">
        <f t="shared" si="6"/>
        <v>0</v>
      </c>
      <c r="P13" s="34">
        <f t="shared" si="7"/>
        <v>0</v>
      </c>
      <c r="Q13" s="34">
        <f t="shared" si="8"/>
        <v>0</v>
      </c>
      <c r="R13" s="34">
        <f t="shared" si="9"/>
        <v>0</v>
      </c>
      <c r="S13" s="34">
        <f t="shared" si="10"/>
        <v>0</v>
      </c>
      <c r="T13" s="26">
        <f t="shared" si="12"/>
        <v>0</v>
      </c>
    </row>
    <row r="14" spans="1:21" x14ac:dyDescent="0.2">
      <c r="A14" s="33">
        <f t="shared" ref="A14:A16" si="13">+A13+1</f>
        <v>5</v>
      </c>
      <c r="B14" s="36">
        <v>1.1000000000000001</v>
      </c>
      <c r="C14" s="243">
        <v>311</v>
      </c>
      <c r="D14" s="33"/>
      <c r="E14" s="20" t="s">
        <v>140</v>
      </c>
      <c r="H14" s="34">
        <f>'FUN-2 (Test Year)'!I17</f>
        <v>0</v>
      </c>
      <c r="I14" s="34">
        <f t="shared" si="0"/>
        <v>0</v>
      </c>
      <c r="J14" s="34">
        <f t="shared" si="1"/>
        <v>0</v>
      </c>
      <c r="K14" s="34">
        <f t="shared" si="2"/>
        <v>0</v>
      </c>
      <c r="L14" s="34">
        <f t="shared" si="3"/>
        <v>0</v>
      </c>
      <c r="M14" s="34">
        <f t="shared" si="4"/>
        <v>0</v>
      </c>
      <c r="N14" s="34">
        <f t="shared" si="5"/>
        <v>0</v>
      </c>
      <c r="O14" s="34">
        <f t="shared" si="6"/>
        <v>0</v>
      </c>
      <c r="P14" s="34">
        <f t="shared" si="7"/>
        <v>0</v>
      </c>
      <c r="Q14" s="34">
        <f t="shared" si="8"/>
        <v>0</v>
      </c>
      <c r="R14" s="34">
        <f t="shared" si="9"/>
        <v>0</v>
      </c>
      <c r="S14" s="34">
        <f t="shared" si="10"/>
        <v>0</v>
      </c>
      <c r="T14" s="26">
        <f t="shared" si="11"/>
        <v>0</v>
      </c>
    </row>
    <row r="15" spans="1:21" x14ac:dyDescent="0.2">
      <c r="A15" s="35">
        <f t="shared" si="13"/>
        <v>6</v>
      </c>
      <c r="B15" s="38">
        <v>1.1000000000000001</v>
      </c>
      <c r="C15" s="245">
        <v>320</v>
      </c>
      <c r="D15" s="35"/>
      <c r="E15" s="23" t="s">
        <v>139</v>
      </c>
      <c r="F15" s="23"/>
      <c r="G15" s="23"/>
      <c r="H15" s="9">
        <f>'FUN-2 (Test Year)'!I18</f>
        <v>0</v>
      </c>
      <c r="I15" s="9">
        <f t="shared" si="0"/>
        <v>0</v>
      </c>
      <c r="J15" s="9">
        <f t="shared" si="1"/>
        <v>0</v>
      </c>
      <c r="K15" s="9">
        <f t="shared" si="2"/>
        <v>0</v>
      </c>
      <c r="L15" s="9">
        <f t="shared" si="3"/>
        <v>0</v>
      </c>
      <c r="M15" s="9">
        <f t="shared" si="4"/>
        <v>0</v>
      </c>
      <c r="N15" s="9">
        <f t="shared" si="5"/>
        <v>0</v>
      </c>
      <c r="O15" s="9">
        <f t="shared" si="6"/>
        <v>0</v>
      </c>
      <c r="P15" s="9">
        <f t="shared" si="7"/>
        <v>0</v>
      </c>
      <c r="Q15" s="9">
        <f t="shared" si="8"/>
        <v>0</v>
      </c>
      <c r="R15" s="9">
        <f t="shared" si="9"/>
        <v>0</v>
      </c>
      <c r="S15" s="9">
        <f t="shared" si="10"/>
        <v>0</v>
      </c>
      <c r="T15" s="246">
        <f t="shared" si="11"/>
        <v>0</v>
      </c>
    </row>
    <row r="16" spans="1:21" x14ac:dyDescent="0.2">
      <c r="A16" s="33">
        <f t="shared" si="13"/>
        <v>7</v>
      </c>
      <c r="C16" s="33" t="s">
        <v>191</v>
      </c>
      <c r="D16" s="33" t="s">
        <v>884</v>
      </c>
      <c r="H16" s="34">
        <f t="shared" ref="H16:P16" si="14">SUM(H10:H15)</f>
        <v>0</v>
      </c>
      <c r="I16" s="34">
        <f t="shared" si="14"/>
        <v>0</v>
      </c>
      <c r="J16" s="34">
        <f t="shared" si="14"/>
        <v>0</v>
      </c>
      <c r="K16" s="34">
        <f t="shared" si="14"/>
        <v>0</v>
      </c>
      <c r="L16" s="34">
        <f t="shared" si="14"/>
        <v>0</v>
      </c>
      <c r="M16" s="34">
        <f t="shared" si="14"/>
        <v>0</v>
      </c>
      <c r="N16" s="34">
        <f t="shared" si="14"/>
        <v>0</v>
      </c>
      <c r="O16" s="34">
        <f t="shared" si="14"/>
        <v>0</v>
      </c>
      <c r="P16" s="34">
        <f t="shared" si="14"/>
        <v>0</v>
      </c>
      <c r="Q16" s="34">
        <f t="shared" ref="Q16:S16" si="15">SUM(Q10:Q15)</f>
        <v>0</v>
      </c>
      <c r="R16" s="34">
        <f t="shared" si="15"/>
        <v>0</v>
      </c>
      <c r="S16" s="34">
        <f t="shared" si="15"/>
        <v>0</v>
      </c>
      <c r="T16" s="26">
        <f t="shared" si="11"/>
        <v>0</v>
      </c>
    </row>
    <row r="17" spans="1:20" x14ac:dyDescent="0.2">
      <c r="A17" s="33"/>
      <c r="C17" s="33"/>
      <c r="H17" s="34"/>
      <c r="T17" s="26"/>
    </row>
    <row r="18" spans="1:20" x14ac:dyDescent="0.2">
      <c r="A18" s="33"/>
      <c r="C18" s="33"/>
      <c r="D18" s="20" t="s">
        <v>312</v>
      </c>
      <c r="H18" s="34"/>
      <c r="T18" s="26"/>
    </row>
    <row r="19" spans="1:20" x14ac:dyDescent="0.2">
      <c r="A19" s="33">
        <f>+A16+1</f>
        <v>8</v>
      </c>
      <c r="B19" s="36">
        <v>1.1000000000000001</v>
      </c>
      <c r="C19" s="33">
        <v>360</v>
      </c>
      <c r="E19" s="20" t="s">
        <v>136</v>
      </c>
      <c r="H19" s="34">
        <f>'FUN-2 (Test Year)'!I22</f>
        <v>31573.760000000002</v>
      </c>
      <c r="I19" s="34">
        <f t="shared" ref="I19:I27" si="16">INDEX(AlocTable,MATCH($B19,AlocList),3)*$H19</f>
        <v>31573.760000000002</v>
      </c>
      <c r="J19" s="34">
        <f t="shared" ref="J19:J27" si="17">INDEX(AlocTable,MATCH($B19,AlocList),4)*$H19</f>
        <v>0</v>
      </c>
      <c r="K19" s="34">
        <f t="shared" ref="K19:K27" si="18">INDEX(AlocTable,MATCH($B19,AlocList),5)*$H19</f>
        <v>0</v>
      </c>
      <c r="L19" s="34">
        <f t="shared" ref="L19:L27" si="19">INDEX(AlocTable,MATCH($B19,AlocList),6)*$H19</f>
        <v>0</v>
      </c>
      <c r="M19" s="34">
        <f t="shared" ref="M19:M27" si="20">INDEX(AlocTable,MATCH($B19,AlocList),7)*$H19</f>
        <v>0</v>
      </c>
      <c r="N19" s="34">
        <f t="shared" ref="N19:N27" si="21">INDEX(AlocTable,MATCH($B19,AlocList),8)*$H19</f>
        <v>0</v>
      </c>
      <c r="O19" s="34">
        <f t="shared" ref="O19:O27" si="22">INDEX(AlocTable,MATCH($B19,AlocList),9)*$H19</f>
        <v>0</v>
      </c>
      <c r="P19" s="34">
        <f t="shared" ref="P19:P27" si="23">INDEX(AlocTable,MATCH($B19,AlocList),10)*$H19</f>
        <v>0</v>
      </c>
      <c r="Q19" s="34">
        <f t="shared" ref="Q19:Q27" si="24">INDEX(AlocTable,MATCH($B19,AlocList),11)*$H19</f>
        <v>0</v>
      </c>
      <c r="R19" s="34">
        <f t="shared" ref="R19:R27" si="25">INDEX(AlocTable,MATCH($B19,AlocList),12)*$H19</f>
        <v>0</v>
      </c>
      <c r="S19" s="34">
        <f t="shared" ref="S19:S27" si="26">INDEX(AlocTable,MATCH($B19,AlocList),13)*$H19</f>
        <v>0</v>
      </c>
      <c r="T19" s="26">
        <f t="shared" ref="T19:T26" si="27">SUM(I19:S19)-H19</f>
        <v>0</v>
      </c>
    </row>
    <row r="20" spans="1:20" x14ac:dyDescent="0.2">
      <c r="A20" s="33">
        <f>+A19+1</f>
        <v>9</v>
      </c>
      <c r="B20" s="36">
        <v>1.1000000000000001</v>
      </c>
      <c r="C20" s="33">
        <v>361</v>
      </c>
      <c r="E20" s="20" t="s">
        <v>309</v>
      </c>
      <c r="H20" s="34">
        <f>'FUN-2 (Test Year)'!I23</f>
        <v>1168793.48</v>
      </c>
      <c r="I20" s="34">
        <f t="shared" si="16"/>
        <v>1168793.48</v>
      </c>
      <c r="J20" s="34">
        <f t="shared" si="17"/>
        <v>0</v>
      </c>
      <c r="K20" s="34">
        <f t="shared" si="18"/>
        <v>0</v>
      </c>
      <c r="L20" s="34">
        <f t="shared" si="19"/>
        <v>0</v>
      </c>
      <c r="M20" s="34">
        <f t="shared" si="20"/>
        <v>0</v>
      </c>
      <c r="N20" s="34">
        <f t="shared" si="21"/>
        <v>0</v>
      </c>
      <c r="O20" s="34">
        <f t="shared" si="22"/>
        <v>0</v>
      </c>
      <c r="P20" s="34">
        <f t="shared" si="23"/>
        <v>0</v>
      </c>
      <c r="Q20" s="34">
        <f t="shared" si="24"/>
        <v>0</v>
      </c>
      <c r="R20" s="34">
        <f t="shared" si="25"/>
        <v>0</v>
      </c>
      <c r="S20" s="34">
        <f t="shared" si="26"/>
        <v>0</v>
      </c>
      <c r="T20" s="26">
        <f t="shared" si="27"/>
        <v>0</v>
      </c>
    </row>
    <row r="21" spans="1:20" x14ac:dyDescent="0.2">
      <c r="A21" s="33">
        <f t="shared" ref="A21:A28" si="28">+A20+1</f>
        <v>10</v>
      </c>
      <c r="B21" s="36">
        <v>1.1000000000000001</v>
      </c>
      <c r="C21" s="33">
        <v>362</v>
      </c>
      <c r="E21" s="20" t="s">
        <v>313</v>
      </c>
      <c r="H21" s="34">
        <f>'FUN-2 (Test Year)'!I24</f>
        <v>1403733.84</v>
      </c>
      <c r="I21" s="34">
        <f t="shared" si="16"/>
        <v>1403733.84</v>
      </c>
      <c r="J21" s="34">
        <f t="shared" si="17"/>
        <v>0</v>
      </c>
      <c r="K21" s="34">
        <f t="shared" si="18"/>
        <v>0</v>
      </c>
      <c r="L21" s="34">
        <f t="shared" si="19"/>
        <v>0</v>
      </c>
      <c r="M21" s="34">
        <f t="shared" si="20"/>
        <v>0</v>
      </c>
      <c r="N21" s="34">
        <f t="shared" si="21"/>
        <v>0</v>
      </c>
      <c r="O21" s="34">
        <f t="shared" si="22"/>
        <v>0</v>
      </c>
      <c r="P21" s="34">
        <f t="shared" si="23"/>
        <v>0</v>
      </c>
      <c r="Q21" s="34">
        <f t="shared" si="24"/>
        <v>0</v>
      </c>
      <c r="R21" s="34">
        <f t="shared" si="25"/>
        <v>0</v>
      </c>
      <c r="S21" s="34">
        <f t="shared" si="26"/>
        <v>0</v>
      </c>
      <c r="T21" s="26">
        <f t="shared" si="27"/>
        <v>0</v>
      </c>
    </row>
    <row r="22" spans="1:20" x14ac:dyDescent="0.2">
      <c r="A22" s="33">
        <f t="shared" si="28"/>
        <v>11</v>
      </c>
      <c r="B22" s="36">
        <v>1.1000000000000001</v>
      </c>
      <c r="C22" s="33">
        <v>363</v>
      </c>
      <c r="E22" s="20" t="s">
        <v>314</v>
      </c>
      <c r="H22" s="34">
        <f>'FUN-2 (Test Year)'!I25</f>
        <v>458568.54</v>
      </c>
      <c r="I22" s="34">
        <f t="shared" si="16"/>
        <v>458568.54</v>
      </c>
      <c r="J22" s="34">
        <f t="shared" si="17"/>
        <v>0</v>
      </c>
      <c r="K22" s="34">
        <f t="shared" si="18"/>
        <v>0</v>
      </c>
      <c r="L22" s="34">
        <f t="shared" si="19"/>
        <v>0</v>
      </c>
      <c r="M22" s="34">
        <f t="shared" si="20"/>
        <v>0</v>
      </c>
      <c r="N22" s="34">
        <f t="shared" si="21"/>
        <v>0</v>
      </c>
      <c r="O22" s="34">
        <f t="shared" si="22"/>
        <v>0</v>
      </c>
      <c r="P22" s="34">
        <f t="shared" si="23"/>
        <v>0</v>
      </c>
      <c r="Q22" s="34">
        <f t="shared" si="24"/>
        <v>0</v>
      </c>
      <c r="R22" s="34">
        <f t="shared" si="25"/>
        <v>0</v>
      </c>
      <c r="S22" s="34">
        <f t="shared" si="26"/>
        <v>0</v>
      </c>
      <c r="T22" s="26">
        <f t="shared" si="27"/>
        <v>0</v>
      </c>
    </row>
    <row r="23" spans="1:20" x14ac:dyDescent="0.2">
      <c r="A23" s="33">
        <f t="shared" si="28"/>
        <v>12</v>
      </c>
      <c r="B23" s="36">
        <v>1.1000000000000001</v>
      </c>
      <c r="C23" s="33">
        <v>363.1</v>
      </c>
      <c r="E23" s="20" t="s">
        <v>317</v>
      </c>
      <c r="H23" s="34">
        <f>'FUN-2 (Test Year)'!I26</f>
        <v>909431.96</v>
      </c>
      <c r="I23" s="34">
        <f t="shared" si="16"/>
        <v>909431.96</v>
      </c>
      <c r="J23" s="34">
        <f t="shared" si="17"/>
        <v>0</v>
      </c>
      <c r="K23" s="34">
        <f t="shared" si="18"/>
        <v>0</v>
      </c>
      <c r="L23" s="34">
        <f t="shared" si="19"/>
        <v>0</v>
      </c>
      <c r="M23" s="34">
        <f t="shared" si="20"/>
        <v>0</v>
      </c>
      <c r="N23" s="34">
        <f t="shared" si="21"/>
        <v>0</v>
      </c>
      <c r="O23" s="34">
        <f t="shared" si="22"/>
        <v>0</v>
      </c>
      <c r="P23" s="34">
        <f t="shared" si="23"/>
        <v>0</v>
      </c>
      <c r="Q23" s="34">
        <f t="shared" si="24"/>
        <v>0</v>
      </c>
      <c r="R23" s="34">
        <f t="shared" si="25"/>
        <v>0</v>
      </c>
      <c r="S23" s="34">
        <f t="shared" si="26"/>
        <v>0</v>
      </c>
      <c r="T23" s="26">
        <f t="shared" si="27"/>
        <v>0</v>
      </c>
    </row>
    <row r="24" spans="1:20" x14ac:dyDescent="0.2">
      <c r="A24" s="33">
        <f t="shared" si="28"/>
        <v>13</v>
      </c>
      <c r="B24" s="36">
        <v>1.1000000000000001</v>
      </c>
      <c r="C24" s="33">
        <v>363.2</v>
      </c>
      <c r="E24" s="20" t="s">
        <v>315</v>
      </c>
      <c r="H24" s="34">
        <f>'FUN-2 (Test Year)'!I27</f>
        <v>276163.69</v>
      </c>
      <c r="I24" s="34">
        <f t="shared" si="16"/>
        <v>276163.69</v>
      </c>
      <c r="J24" s="34">
        <f t="shared" si="17"/>
        <v>0</v>
      </c>
      <c r="K24" s="34">
        <f t="shared" si="18"/>
        <v>0</v>
      </c>
      <c r="L24" s="34">
        <f t="shared" si="19"/>
        <v>0</v>
      </c>
      <c r="M24" s="34">
        <f t="shared" si="20"/>
        <v>0</v>
      </c>
      <c r="N24" s="34">
        <f t="shared" si="21"/>
        <v>0</v>
      </c>
      <c r="O24" s="34">
        <f t="shared" si="22"/>
        <v>0</v>
      </c>
      <c r="P24" s="34">
        <f t="shared" si="23"/>
        <v>0</v>
      </c>
      <c r="Q24" s="34">
        <f t="shared" si="24"/>
        <v>0</v>
      </c>
      <c r="R24" s="34">
        <f t="shared" si="25"/>
        <v>0</v>
      </c>
      <c r="S24" s="34">
        <f t="shared" si="26"/>
        <v>0</v>
      </c>
      <c r="T24" s="26">
        <f t="shared" si="27"/>
        <v>0</v>
      </c>
    </row>
    <row r="25" spans="1:20" x14ac:dyDescent="0.2">
      <c r="A25" s="33">
        <f t="shared" si="28"/>
        <v>14</v>
      </c>
      <c r="B25" s="36">
        <v>1.1000000000000001</v>
      </c>
      <c r="C25" s="33">
        <v>363.3</v>
      </c>
      <c r="E25" s="20" t="s">
        <v>316</v>
      </c>
      <c r="H25" s="34">
        <f>'FUN-2 (Test Year)'!I28</f>
        <v>352814.62</v>
      </c>
      <c r="I25" s="34">
        <f t="shared" si="16"/>
        <v>352814.62</v>
      </c>
      <c r="J25" s="34">
        <f t="shared" si="17"/>
        <v>0</v>
      </c>
      <c r="K25" s="34">
        <f t="shared" si="18"/>
        <v>0</v>
      </c>
      <c r="L25" s="34">
        <f t="shared" si="19"/>
        <v>0</v>
      </c>
      <c r="M25" s="34">
        <f t="shared" si="20"/>
        <v>0</v>
      </c>
      <c r="N25" s="34">
        <f t="shared" si="21"/>
        <v>0</v>
      </c>
      <c r="O25" s="34">
        <f t="shared" si="22"/>
        <v>0</v>
      </c>
      <c r="P25" s="34">
        <f t="shared" si="23"/>
        <v>0</v>
      </c>
      <c r="Q25" s="34">
        <f t="shared" si="24"/>
        <v>0</v>
      </c>
      <c r="R25" s="34">
        <f t="shared" si="25"/>
        <v>0</v>
      </c>
      <c r="S25" s="34">
        <f t="shared" si="26"/>
        <v>0</v>
      </c>
      <c r="T25" s="26">
        <f t="shared" si="27"/>
        <v>0</v>
      </c>
    </row>
    <row r="26" spans="1:20" x14ac:dyDescent="0.2">
      <c r="A26" s="33">
        <f t="shared" si="28"/>
        <v>15</v>
      </c>
      <c r="B26" s="36">
        <v>1.1000000000000001</v>
      </c>
      <c r="C26" s="33">
        <v>363.4</v>
      </c>
      <c r="E26" s="20" t="s">
        <v>318</v>
      </c>
      <c r="H26" s="34">
        <f>'FUN-2 (Test Year)'!I29</f>
        <v>0</v>
      </c>
      <c r="I26" s="34">
        <f t="shared" si="16"/>
        <v>0</v>
      </c>
      <c r="J26" s="34">
        <f t="shared" si="17"/>
        <v>0</v>
      </c>
      <c r="K26" s="34">
        <f t="shared" si="18"/>
        <v>0</v>
      </c>
      <c r="L26" s="34">
        <f t="shared" si="19"/>
        <v>0</v>
      </c>
      <c r="M26" s="34">
        <f t="shared" si="20"/>
        <v>0</v>
      </c>
      <c r="N26" s="34">
        <f t="shared" si="21"/>
        <v>0</v>
      </c>
      <c r="O26" s="34">
        <f t="shared" si="22"/>
        <v>0</v>
      </c>
      <c r="P26" s="34">
        <f t="shared" si="23"/>
        <v>0</v>
      </c>
      <c r="Q26" s="34">
        <f t="shared" si="24"/>
        <v>0</v>
      </c>
      <c r="R26" s="34">
        <f t="shared" si="25"/>
        <v>0</v>
      </c>
      <c r="S26" s="34">
        <f t="shared" si="26"/>
        <v>0</v>
      </c>
      <c r="T26" s="26">
        <f t="shared" si="27"/>
        <v>0</v>
      </c>
    </row>
    <row r="27" spans="1:20" x14ac:dyDescent="0.2">
      <c r="A27" s="35">
        <f t="shared" si="28"/>
        <v>16</v>
      </c>
      <c r="B27" s="38">
        <v>1.1000000000000001</v>
      </c>
      <c r="C27" s="35">
        <v>363.5</v>
      </c>
      <c r="D27" s="23"/>
      <c r="E27" s="23" t="s">
        <v>319</v>
      </c>
      <c r="F27" s="23"/>
      <c r="G27" s="23"/>
      <c r="H27" s="9">
        <f>'FUN-2 (Test Year)'!I30</f>
        <v>2090856.46</v>
      </c>
      <c r="I27" s="9">
        <f t="shared" si="16"/>
        <v>2090856.46</v>
      </c>
      <c r="J27" s="9">
        <f t="shared" si="17"/>
        <v>0</v>
      </c>
      <c r="K27" s="9">
        <f t="shared" si="18"/>
        <v>0</v>
      </c>
      <c r="L27" s="9">
        <f t="shared" si="19"/>
        <v>0</v>
      </c>
      <c r="M27" s="9">
        <f t="shared" si="20"/>
        <v>0</v>
      </c>
      <c r="N27" s="9">
        <f t="shared" si="21"/>
        <v>0</v>
      </c>
      <c r="O27" s="9">
        <f t="shared" si="22"/>
        <v>0</v>
      </c>
      <c r="P27" s="9">
        <f t="shared" si="23"/>
        <v>0</v>
      </c>
      <c r="Q27" s="9">
        <f t="shared" si="24"/>
        <v>0</v>
      </c>
      <c r="R27" s="9">
        <f t="shared" si="25"/>
        <v>0</v>
      </c>
      <c r="S27" s="9">
        <f t="shared" si="26"/>
        <v>0</v>
      </c>
      <c r="T27" s="246">
        <f t="shared" ref="T27" si="29">SUM(I27:S27)-H27</f>
        <v>0</v>
      </c>
    </row>
    <row r="28" spans="1:20" x14ac:dyDescent="0.2">
      <c r="A28" s="33">
        <f t="shared" si="28"/>
        <v>17</v>
      </c>
      <c r="C28" s="33"/>
      <c r="D28" s="33" t="s">
        <v>320</v>
      </c>
      <c r="H28" s="34">
        <f>SUM(H19:H27)</f>
        <v>6691936.3500000006</v>
      </c>
      <c r="I28" s="34">
        <f t="shared" ref="I28:T28" si="30">SUM(I19:I27)</f>
        <v>6691936.3500000006</v>
      </c>
      <c r="J28" s="34">
        <f t="shared" si="30"/>
        <v>0</v>
      </c>
      <c r="K28" s="34">
        <f t="shared" si="30"/>
        <v>0</v>
      </c>
      <c r="L28" s="34">
        <f t="shared" si="30"/>
        <v>0</v>
      </c>
      <c r="M28" s="34">
        <f t="shared" si="30"/>
        <v>0</v>
      </c>
      <c r="N28" s="34">
        <f t="shared" si="30"/>
        <v>0</v>
      </c>
      <c r="O28" s="34">
        <f t="shared" si="30"/>
        <v>0</v>
      </c>
      <c r="P28" s="34">
        <f t="shared" si="30"/>
        <v>0</v>
      </c>
      <c r="Q28" s="34">
        <f t="shared" ref="Q28:R28" si="31">SUM(Q19:Q27)</f>
        <v>0</v>
      </c>
      <c r="R28" s="34">
        <f t="shared" si="31"/>
        <v>0</v>
      </c>
      <c r="S28" s="34">
        <f t="shared" si="30"/>
        <v>0</v>
      </c>
      <c r="T28" s="34">
        <f t="shared" si="30"/>
        <v>0</v>
      </c>
    </row>
    <row r="29" spans="1:20" x14ac:dyDescent="0.2">
      <c r="A29" s="33"/>
      <c r="C29" s="33"/>
      <c r="H29" s="34"/>
      <c r="T29" s="26"/>
    </row>
    <row r="30" spans="1:20" x14ac:dyDescent="0.2">
      <c r="A30" s="33"/>
      <c r="C30" s="33"/>
      <c r="D30" s="20" t="s">
        <v>137</v>
      </c>
      <c r="H30" s="34"/>
      <c r="T30" s="26"/>
    </row>
    <row r="31" spans="1:20" x14ac:dyDescent="0.2">
      <c r="A31" s="33">
        <f>+A28+1</f>
        <v>18</v>
      </c>
      <c r="B31" s="36">
        <v>1.2</v>
      </c>
      <c r="C31" s="33">
        <v>374</v>
      </c>
      <c r="E31" s="20" t="s">
        <v>136</v>
      </c>
      <c r="H31" s="34">
        <f>'FUN-2 (Test Year)'!I34</f>
        <v>373581.45</v>
      </c>
      <c r="I31" s="34">
        <f>INDEX(AlocTable,MATCH($B31,AlocList),3)*$H31</f>
        <v>0</v>
      </c>
      <c r="J31" s="34">
        <f>INDEX(AlocTable,MATCH($B31,AlocList),4)*$H31</f>
        <v>89570.285864541569</v>
      </c>
      <c r="K31" s="34">
        <f>INDEX(AlocTable,MATCH($B31,AlocList),5)*$H31</f>
        <v>284011.16413545841</v>
      </c>
      <c r="L31" s="34">
        <f>INDEX(AlocTable,MATCH($B31,AlocList),6)*$H31</f>
        <v>0</v>
      </c>
      <c r="M31" s="34">
        <f>INDEX(AlocTable,MATCH($B31,AlocList),7)*$H31</f>
        <v>0</v>
      </c>
      <c r="N31" s="34">
        <f>INDEX(AlocTable,MATCH($B31,AlocList),8)*$H31</f>
        <v>0</v>
      </c>
      <c r="O31" s="34">
        <f>INDEX(AlocTable,MATCH($B31,AlocList),9)*$H31</f>
        <v>0</v>
      </c>
      <c r="P31" s="34">
        <f>INDEX(AlocTable,MATCH($B31,AlocList),10)*$H31</f>
        <v>0</v>
      </c>
      <c r="Q31" s="34">
        <f t="shared" ref="Q31:Q42" si="32">INDEX(AlocTable,MATCH($B31,AlocList),11)*$H31</f>
        <v>0</v>
      </c>
      <c r="R31" s="34">
        <f t="shared" ref="R31:R42" si="33">INDEX(AlocTable,MATCH($B31,AlocList),12)*$H31</f>
        <v>0</v>
      </c>
      <c r="S31" s="34">
        <f t="shared" ref="S31:S42" si="34">INDEX(AlocTable,MATCH($B31,AlocList),13)*$H31</f>
        <v>0</v>
      </c>
      <c r="T31" s="26">
        <f t="shared" ref="T31" si="35">SUM(I31:S31)-H31</f>
        <v>0</v>
      </c>
    </row>
    <row r="32" spans="1:20" x14ac:dyDescent="0.2">
      <c r="A32" s="33">
        <f>+A31+1</f>
        <v>19</v>
      </c>
      <c r="B32" s="36">
        <v>1.2</v>
      </c>
      <c r="C32" s="33">
        <v>375</v>
      </c>
      <c r="E32" s="20" t="s">
        <v>135</v>
      </c>
      <c r="H32" s="34">
        <f>'FUN-2 (Test Year)'!I35</f>
        <v>60038.57</v>
      </c>
      <c r="I32" s="34">
        <f>INDEX(AlocTable,MATCH($B32,AlocList),3)*$H32</f>
        <v>0</v>
      </c>
      <c r="J32" s="34">
        <f>INDEX(AlocTable,MATCH($B32,AlocList),4)*$H32</f>
        <v>14394.911411683554</v>
      </c>
      <c r="K32" s="34">
        <f>INDEX(AlocTable,MATCH($B32,AlocList),5)*$H32</f>
        <v>45643.658588316444</v>
      </c>
      <c r="L32" s="34">
        <f>INDEX(AlocTable,MATCH($B32,AlocList),6)*$H32</f>
        <v>0</v>
      </c>
      <c r="M32" s="34">
        <f>INDEX(AlocTable,MATCH($B32,AlocList),7)*$H32</f>
        <v>0</v>
      </c>
      <c r="N32" s="34">
        <f>INDEX(AlocTable,MATCH($B32,AlocList),8)*$H32</f>
        <v>0</v>
      </c>
      <c r="O32" s="34">
        <f>INDEX(AlocTable,MATCH($B32,AlocList),9)*$H32</f>
        <v>0</v>
      </c>
      <c r="P32" s="34">
        <f>INDEX(AlocTable,MATCH($B32,AlocList),10)*$H32</f>
        <v>0</v>
      </c>
      <c r="Q32" s="34">
        <f t="shared" si="32"/>
        <v>0</v>
      </c>
      <c r="R32" s="34">
        <f t="shared" si="33"/>
        <v>0</v>
      </c>
      <c r="S32" s="34">
        <f t="shared" si="34"/>
        <v>0</v>
      </c>
      <c r="T32" s="26">
        <f t="shared" ref="T32:T34" si="36">SUM(I32:S32)-H32</f>
        <v>0</v>
      </c>
    </row>
    <row r="33" spans="1:20" x14ac:dyDescent="0.2">
      <c r="A33" s="33">
        <f t="shared" ref="A33:A43" si="37">+A32+1</f>
        <v>20</v>
      </c>
      <c r="B33" s="36">
        <v>1.2</v>
      </c>
      <c r="C33" s="33">
        <v>376</v>
      </c>
      <c r="E33" s="20" t="s">
        <v>303</v>
      </c>
      <c r="H33" s="34">
        <f>'FUN-2 (Test Year)'!I36</f>
        <v>139736127.44</v>
      </c>
      <c r="I33" s="34">
        <f>INDEX(AlocTable,MATCH($B33,AlocList),3)*$H33</f>
        <v>0</v>
      </c>
      <c r="J33" s="34">
        <f>INDEX(AlocTable,MATCH($B33,AlocList),4)*$H33</f>
        <v>33503282.565033168</v>
      </c>
      <c r="K33" s="34">
        <f>INDEX(AlocTable,MATCH($B33,AlocList),5)*$H33</f>
        <v>106232844.87496683</v>
      </c>
      <c r="L33" s="34">
        <f>INDEX(AlocTable,MATCH($B33,AlocList),6)*$H33</f>
        <v>0</v>
      </c>
      <c r="M33" s="34">
        <f>INDEX(AlocTable,MATCH($B33,AlocList),7)*$H33</f>
        <v>0</v>
      </c>
      <c r="N33" s="34">
        <f>INDEX(AlocTable,MATCH($B33,AlocList),8)*$H33</f>
        <v>0</v>
      </c>
      <c r="O33" s="34">
        <f>INDEX(AlocTable,MATCH($B33,AlocList),9)*$H33</f>
        <v>0</v>
      </c>
      <c r="P33" s="34">
        <f>INDEX(AlocTable,MATCH($B33,AlocList),10)*$H33</f>
        <v>0</v>
      </c>
      <c r="Q33" s="34">
        <f t="shared" si="32"/>
        <v>0</v>
      </c>
      <c r="R33" s="34">
        <f t="shared" si="33"/>
        <v>0</v>
      </c>
      <c r="S33" s="34">
        <f t="shared" si="34"/>
        <v>0</v>
      </c>
      <c r="T33" s="26">
        <f t="shared" si="36"/>
        <v>0</v>
      </c>
    </row>
    <row r="34" spans="1:20" x14ac:dyDescent="0.2">
      <c r="A34" s="33">
        <f t="shared" si="37"/>
        <v>21</v>
      </c>
      <c r="B34" s="36">
        <v>1.2</v>
      </c>
      <c r="C34" s="33">
        <v>377</v>
      </c>
      <c r="E34" s="20" t="s">
        <v>321</v>
      </c>
      <c r="H34" s="34">
        <f>'FUN-2 (Test Year)'!I37</f>
        <v>0</v>
      </c>
      <c r="I34" s="34">
        <f>INDEX(AlocTable,MATCH($B34,AlocList),3)*$H34</f>
        <v>0</v>
      </c>
      <c r="J34" s="34">
        <f>INDEX(AlocTable,MATCH($B34,AlocList),4)*$H34</f>
        <v>0</v>
      </c>
      <c r="K34" s="34">
        <f>INDEX(AlocTable,MATCH($B34,AlocList),5)*$H34</f>
        <v>0</v>
      </c>
      <c r="L34" s="34">
        <f>INDEX(AlocTable,MATCH($B34,AlocList),6)*$H34</f>
        <v>0</v>
      </c>
      <c r="M34" s="34">
        <f>INDEX(AlocTable,MATCH($B34,AlocList),7)*$H34</f>
        <v>0</v>
      </c>
      <c r="N34" s="34">
        <f>INDEX(AlocTable,MATCH($B34,AlocList),8)*$H34</f>
        <v>0</v>
      </c>
      <c r="O34" s="34">
        <f>INDEX(AlocTable,MATCH($B34,AlocList),9)*$H34</f>
        <v>0</v>
      </c>
      <c r="P34" s="34">
        <f>INDEX(AlocTable,MATCH($B34,AlocList),10)*$H34</f>
        <v>0</v>
      </c>
      <c r="Q34" s="34">
        <f t="shared" si="32"/>
        <v>0</v>
      </c>
      <c r="R34" s="34">
        <f t="shared" si="33"/>
        <v>0</v>
      </c>
      <c r="S34" s="34">
        <f t="shared" si="34"/>
        <v>0</v>
      </c>
      <c r="T34" s="26">
        <f t="shared" si="36"/>
        <v>0</v>
      </c>
    </row>
    <row r="35" spans="1:20" x14ac:dyDescent="0.2">
      <c r="A35" s="33">
        <f t="shared" si="37"/>
        <v>22</v>
      </c>
      <c r="B35" s="36">
        <v>1.2</v>
      </c>
      <c r="C35" s="33">
        <v>378</v>
      </c>
      <c r="E35" s="20" t="s">
        <v>322</v>
      </c>
      <c r="H35" s="34">
        <f>'FUN-2 (Test Year)'!I38</f>
        <v>6010898.7799999993</v>
      </c>
      <c r="I35" s="34">
        <f t="shared" ref="I35:I42" si="38">INDEX(AlocTable,MATCH($B35,AlocList),3)*$H35</f>
        <v>0</v>
      </c>
      <c r="J35" s="34">
        <f t="shared" ref="J35:J42" si="39">INDEX(AlocTable,MATCH($B35,AlocList),4)*$H35</f>
        <v>1441179.4858321366</v>
      </c>
      <c r="K35" s="34">
        <f t="shared" ref="K35:K42" si="40">INDEX(AlocTable,MATCH($B35,AlocList),5)*$H35</f>
        <v>4569719.2941678623</v>
      </c>
      <c r="L35" s="34">
        <f t="shared" ref="L35:L42" si="41">INDEX(AlocTable,MATCH($B35,AlocList),6)*$H35</f>
        <v>0</v>
      </c>
      <c r="M35" s="34">
        <f t="shared" ref="M35:M42" si="42">INDEX(AlocTable,MATCH($B35,AlocList),7)*$H35</f>
        <v>0</v>
      </c>
      <c r="N35" s="34">
        <f t="shared" ref="N35:N42" si="43">INDEX(AlocTable,MATCH($B35,AlocList),8)*$H35</f>
        <v>0</v>
      </c>
      <c r="O35" s="34">
        <f t="shared" ref="O35:O42" si="44">INDEX(AlocTable,MATCH($B35,AlocList),9)*$H35</f>
        <v>0</v>
      </c>
      <c r="P35" s="34">
        <f t="shared" ref="P35:P42" si="45">INDEX(AlocTable,MATCH($B35,AlocList),10)*$H35</f>
        <v>0</v>
      </c>
      <c r="Q35" s="34">
        <f t="shared" si="32"/>
        <v>0</v>
      </c>
      <c r="R35" s="34">
        <f t="shared" si="33"/>
        <v>0</v>
      </c>
      <c r="S35" s="34">
        <f t="shared" si="34"/>
        <v>0</v>
      </c>
      <c r="T35" s="26">
        <f t="shared" ref="T35:T43" si="46">SUM(I35:S35)-H35</f>
        <v>0</v>
      </c>
    </row>
    <row r="36" spans="1:20" x14ac:dyDescent="0.2">
      <c r="A36" s="33">
        <f t="shared" si="37"/>
        <v>23</v>
      </c>
      <c r="B36" s="36">
        <v>1.2</v>
      </c>
      <c r="C36" s="33">
        <v>379</v>
      </c>
      <c r="E36" s="20" t="s">
        <v>323</v>
      </c>
      <c r="H36" s="34">
        <f>'FUN-2 (Test Year)'!I39</f>
        <v>2991677.27</v>
      </c>
      <c r="I36" s="34">
        <f t="shared" si="38"/>
        <v>0</v>
      </c>
      <c r="J36" s="34">
        <f t="shared" si="39"/>
        <v>717287.72477421269</v>
      </c>
      <c r="K36" s="34">
        <f t="shared" si="40"/>
        <v>2274389.5452257874</v>
      </c>
      <c r="L36" s="34">
        <f t="shared" si="41"/>
        <v>0</v>
      </c>
      <c r="M36" s="34">
        <f t="shared" si="42"/>
        <v>0</v>
      </c>
      <c r="N36" s="34">
        <f t="shared" si="43"/>
        <v>0</v>
      </c>
      <c r="O36" s="34">
        <f t="shared" si="44"/>
        <v>0</v>
      </c>
      <c r="P36" s="34">
        <f t="shared" si="45"/>
        <v>0</v>
      </c>
      <c r="Q36" s="34">
        <f t="shared" si="32"/>
        <v>0</v>
      </c>
      <c r="R36" s="34">
        <f t="shared" si="33"/>
        <v>0</v>
      </c>
      <c r="S36" s="34">
        <f t="shared" si="34"/>
        <v>0</v>
      </c>
      <c r="T36" s="26">
        <f t="shared" si="46"/>
        <v>0</v>
      </c>
    </row>
    <row r="37" spans="1:20" x14ac:dyDescent="0.2">
      <c r="A37" s="33">
        <f t="shared" si="37"/>
        <v>24</v>
      </c>
      <c r="B37" s="36">
        <v>1.3</v>
      </c>
      <c r="C37" s="33">
        <v>380</v>
      </c>
      <c r="E37" s="20" t="s">
        <v>19</v>
      </c>
      <c r="H37" s="34">
        <f>'FUN-2 (Test Year)'!I40</f>
        <v>98062374.800000012</v>
      </c>
      <c r="I37" s="34">
        <f t="shared" si="38"/>
        <v>0</v>
      </c>
      <c r="J37" s="34">
        <f t="shared" si="39"/>
        <v>0</v>
      </c>
      <c r="K37" s="34">
        <f t="shared" si="40"/>
        <v>0</v>
      </c>
      <c r="L37" s="34">
        <f t="shared" si="41"/>
        <v>98062374.800000012</v>
      </c>
      <c r="M37" s="34">
        <f t="shared" si="42"/>
        <v>0</v>
      </c>
      <c r="N37" s="34">
        <f t="shared" si="43"/>
        <v>0</v>
      </c>
      <c r="O37" s="34">
        <f t="shared" si="44"/>
        <v>0</v>
      </c>
      <c r="P37" s="34">
        <f t="shared" si="45"/>
        <v>0</v>
      </c>
      <c r="Q37" s="34">
        <f t="shared" si="32"/>
        <v>0</v>
      </c>
      <c r="R37" s="34">
        <f t="shared" si="33"/>
        <v>0</v>
      </c>
      <c r="S37" s="34">
        <f t="shared" si="34"/>
        <v>0</v>
      </c>
      <c r="T37" s="26">
        <f t="shared" si="46"/>
        <v>0</v>
      </c>
    </row>
    <row r="38" spans="1:20" x14ac:dyDescent="0.2">
      <c r="A38" s="33">
        <f t="shared" si="37"/>
        <v>25</v>
      </c>
      <c r="B38" s="36">
        <v>1.4</v>
      </c>
      <c r="C38" s="33">
        <v>381</v>
      </c>
      <c r="E38" s="20" t="s">
        <v>18</v>
      </c>
      <c r="H38" s="34">
        <f>'FUN-2 (Test Year)'!I41</f>
        <v>52019356.390000001</v>
      </c>
      <c r="I38" s="34">
        <f t="shared" si="38"/>
        <v>0</v>
      </c>
      <c r="J38" s="34">
        <f t="shared" si="39"/>
        <v>0</v>
      </c>
      <c r="K38" s="34">
        <f t="shared" si="40"/>
        <v>0</v>
      </c>
      <c r="L38" s="34">
        <f t="shared" si="41"/>
        <v>0</v>
      </c>
      <c r="M38" s="34">
        <f t="shared" si="42"/>
        <v>52019356.390000001</v>
      </c>
      <c r="N38" s="34">
        <f t="shared" si="43"/>
        <v>0</v>
      </c>
      <c r="O38" s="34">
        <f t="shared" si="44"/>
        <v>0</v>
      </c>
      <c r="P38" s="34">
        <f t="shared" si="45"/>
        <v>0</v>
      </c>
      <c r="Q38" s="34">
        <f t="shared" si="32"/>
        <v>0</v>
      </c>
      <c r="R38" s="34">
        <f t="shared" si="33"/>
        <v>0</v>
      </c>
      <c r="S38" s="34">
        <f t="shared" si="34"/>
        <v>0</v>
      </c>
      <c r="T38" s="26">
        <f t="shared" si="46"/>
        <v>0</v>
      </c>
    </row>
    <row r="39" spans="1:20" x14ac:dyDescent="0.2">
      <c r="A39" s="33">
        <f t="shared" si="37"/>
        <v>26</v>
      </c>
      <c r="B39" s="36">
        <v>1.4</v>
      </c>
      <c r="C39" s="33">
        <v>382</v>
      </c>
      <c r="E39" s="20" t="s">
        <v>324</v>
      </c>
      <c r="H39" s="34">
        <f>'FUN-2 (Test Year)'!I42</f>
        <v>0</v>
      </c>
      <c r="I39" s="34">
        <f t="shared" si="38"/>
        <v>0</v>
      </c>
      <c r="J39" s="34">
        <f t="shared" si="39"/>
        <v>0</v>
      </c>
      <c r="K39" s="34">
        <f t="shared" si="40"/>
        <v>0</v>
      </c>
      <c r="L39" s="34">
        <f t="shared" si="41"/>
        <v>0</v>
      </c>
      <c r="M39" s="34">
        <f t="shared" si="42"/>
        <v>0</v>
      </c>
      <c r="N39" s="34">
        <f t="shared" si="43"/>
        <v>0</v>
      </c>
      <c r="O39" s="34">
        <f t="shared" si="44"/>
        <v>0</v>
      </c>
      <c r="P39" s="34">
        <f t="shared" si="45"/>
        <v>0</v>
      </c>
      <c r="Q39" s="34">
        <f t="shared" si="32"/>
        <v>0</v>
      </c>
      <c r="R39" s="34">
        <f t="shared" si="33"/>
        <v>0</v>
      </c>
      <c r="S39" s="34">
        <f t="shared" si="34"/>
        <v>0</v>
      </c>
      <c r="T39" s="26">
        <f t="shared" ref="T39" si="47">SUM(I39:S39)-H39</f>
        <v>0</v>
      </c>
    </row>
    <row r="40" spans="1:20" x14ac:dyDescent="0.2">
      <c r="A40" s="33">
        <f t="shared" si="37"/>
        <v>27</v>
      </c>
      <c r="B40" s="36">
        <v>1.5</v>
      </c>
      <c r="C40" s="33">
        <v>383</v>
      </c>
      <c r="E40" s="20" t="s">
        <v>325</v>
      </c>
      <c r="H40" s="34">
        <f>'FUN-2 (Test Year)'!I43</f>
        <v>6774855.9900000002</v>
      </c>
      <c r="I40" s="34">
        <f t="shared" si="38"/>
        <v>0</v>
      </c>
      <c r="J40" s="34">
        <f t="shared" si="39"/>
        <v>0</v>
      </c>
      <c r="K40" s="34">
        <f t="shared" si="40"/>
        <v>0</v>
      </c>
      <c r="L40" s="34">
        <f t="shared" si="41"/>
        <v>0</v>
      </c>
      <c r="M40" s="34">
        <f t="shared" si="42"/>
        <v>0</v>
      </c>
      <c r="N40" s="34">
        <f t="shared" si="43"/>
        <v>6774855.9900000002</v>
      </c>
      <c r="O40" s="34">
        <f t="shared" si="44"/>
        <v>0</v>
      </c>
      <c r="P40" s="34">
        <f t="shared" si="45"/>
        <v>0</v>
      </c>
      <c r="Q40" s="34">
        <f t="shared" si="32"/>
        <v>0</v>
      </c>
      <c r="R40" s="34">
        <f t="shared" si="33"/>
        <v>0</v>
      </c>
      <c r="S40" s="34">
        <f t="shared" si="34"/>
        <v>0</v>
      </c>
      <c r="T40" s="26">
        <f t="shared" si="46"/>
        <v>0</v>
      </c>
    </row>
    <row r="41" spans="1:20" x14ac:dyDescent="0.2">
      <c r="A41" s="33">
        <f t="shared" si="37"/>
        <v>28</v>
      </c>
      <c r="B41" s="36">
        <v>1.5</v>
      </c>
      <c r="C41" s="33">
        <v>384</v>
      </c>
      <c r="E41" s="20" t="s">
        <v>326</v>
      </c>
      <c r="H41" s="34">
        <f>'FUN-2 (Test Year)'!I44</f>
        <v>0</v>
      </c>
      <c r="I41" s="34">
        <f t="shared" si="38"/>
        <v>0</v>
      </c>
      <c r="J41" s="34">
        <f t="shared" si="39"/>
        <v>0</v>
      </c>
      <c r="K41" s="34">
        <f t="shared" si="40"/>
        <v>0</v>
      </c>
      <c r="L41" s="34">
        <f t="shared" si="41"/>
        <v>0</v>
      </c>
      <c r="M41" s="34">
        <f t="shared" si="42"/>
        <v>0</v>
      </c>
      <c r="N41" s="34">
        <f t="shared" si="43"/>
        <v>0</v>
      </c>
      <c r="O41" s="34">
        <f t="shared" si="44"/>
        <v>0</v>
      </c>
      <c r="P41" s="34">
        <f t="shared" si="45"/>
        <v>0</v>
      </c>
      <c r="Q41" s="34">
        <f t="shared" si="32"/>
        <v>0</v>
      </c>
      <c r="R41" s="34">
        <f t="shared" si="33"/>
        <v>0</v>
      </c>
      <c r="S41" s="34">
        <f t="shared" si="34"/>
        <v>0</v>
      </c>
      <c r="T41" s="26">
        <f t="shared" si="46"/>
        <v>0</v>
      </c>
    </row>
    <row r="42" spans="1:20" x14ac:dyDescent="0.2">
      <c r="A42" s="35">
        <f t="shared" si="37"/>
        <v>29</v>
      </c>
      <c r="B42" s="38">
        <v>1.6</v>
      </c>
      <c r="C42" s="35">
        <v>385</v>
      </c>
      <c r="D42" s="23"/>
      <c r="E42" s="23" t="s">
        <v>327</v>
      </c>
      <c r="F42" s="23"/>
      <c r="G42" s="23"/>
      <c r="H42" s="9">
        <f>'FUN-2 (Test Year)'!I45</f>
        <v>271663.01</v>
      </c>
      <c r="I42" s="9">
        <f t="shared" si="38"/>
        <v>0</v>
      </c>
      <c r="J42" s="9">
        <f t="shared" si="39"/>
        <v>0</v>
      </c>
      <c r="K42" s="9">
        <f t="shared" si="40"/>
        <v>0</v>
      </c>
      <c r="L42" s="9">
        <f t="shared" si="41"/>
        <v>0</v>
      </c>
      <c r="M42" s="9">
        <f t="shared" si="42"/>
        <v>0</v>
      </c>
      <c r="N42" s="9">
        <f t="shared" si="43"/>
        <v>0</v>
      </c>
      <c r="O42" s="9">
        <f t="shared" si="44"/>
        <v>271663.01</v>
      </c>
      <c r="P42" s="9">
        <f t="shared" si="45"/>
        <v>0</v>
      </c>
      <c r="Q42" s="9">
        <f t="shared" si="32"/>
        <v>0</v>
      </c>
      <c r="R42" s="9">
        <f t="shared" si="33"/>
        <v>0</v>
      </c>
      <c r="S42" s="9">
        <f t="shared" si="34"/>
        <v>0</v>
      </c>
      <c r="T42" s="246">
        <f t="shared" si="46"/>
        <v>0</v>
      </c>
    </row>
    <row r="43" spans="1:20" x14ac:dyDescent="0.2">
      <c r="A43" s="33">
        <f t="shared" si="37"/>
        <v>30</v>
      </c>
      <c r="C43" s="33"/>
      <c r="D43" s="33" t="s">
        <v>190</v>
      </c>
      <c r="H43" s="34">
        <f t="shared" ref="H43:S43" si="48">SUM(H31:H42)</f>
        <v>306300573.70000005</v>
      </c>
      <c r="I43" s="34">
        <f t="shared" si="48"/>
        <v>0</v>
      </c>
      <c r="J43" s="34">
        <f t="shared" si="48"/>
        <v>35765714.972915746</v>
      </c>
      <c r="K43" s="34">
        <f t="shared" si="48"/>
        <v>113406608.53708425</v>
      </c>
      <c r="L43" s="34">
        <f t="shared" si="48"/>
        <v>98062374.800000012</v>
      </c>
      <c r="M43" s="34">
        <f t="shared" si="48"/>
        <v>52019356.390000001</v>
      </c>
      <c r="N43" s="34">
        <f t="shared" si="48"/>
        <v>6774855.9900000002</v>
      </c>
      <c r="O43" s="34">
        <f t="shared" si="48"/>
        <v>271663.01</v>
      </c>
      <c r="P43" s="34">
        <f t="shared" si="48"/>
        <v>0</v>
      </c>
      <c r="Q43" s="34">
        <f t="shared" ref="Q43:R43" si="49">SUM(Q31:Q42)</f>
        <v>0</v>
      </c>
      <c r="R43" s="34">
        <f t="shared" si="49"/>
        <v>0</v>
      </c>
      <c r="S43" s="34">
        <f t="shared" si="48"/>
        <v>0</v>
      </c>
      <c r="T43" s="26">
        <f t="shared" si="46"/>
        <v>0</v>
      </c>
    </row>
    <row r="44" spans="1:20" x14ac:dyDescent="0.2">
      <c r="A44" s="33"/>
      <c r="C44" s="33"/>
      <c r="H44" s="26"/>
      <c r="I44" s="34"/>
      <c r="J44" s="34"/>
      <c r="K44" s="34"/>
      <c r="L44" s="34"/>
      <c r="M44" s="40"/>
      <c r="N44" s="34"/>
      <c r="O44" s="34"/>
      <c r="P44" s="34"/>
      <c r="Q44" s="34"/>
      <c r="R44" s="34"/>
      <c r="S44" s="34"/>
      <c r="T44" s="26"/>
    </row>
    <row r="45" spans="1:20" x14ac:dyDescent="0.2">
      <c r="A45" s="33"/>
      <c r="C45" s="33"/>
      <c r="D45" s="20" t="s">
        <v>133</v>
      </c>
      <c r="H45" s="34"/>
      <c r="T45" s="26"/>
    </row>
    <row r="46" spans="1:20" x14ac:dyDescent="0.2">
      <c r="A46" s="35">
        <f>+A43+1</f>
        <v>31</v>
      </c>
      <c r="B46" s="38">
        <v>40</v>
      </c>
      <c r="C46" s="35" t="s">
        <v>118</v>
      </c>
      <c r="D46" s="23"/>
      <c r="E46" s="23" t="s">
        <v>133</v>
      </c>
      <c r="F46" s="23"/>
      <c r="G46" s="23"/>
      <c r="H46" s="9">
        <f>'FUN-2 (Test Year)'!I49</f>
        <v>20694136.850000001</v>
      </c>
      <c r="I46" s="9">
        <f>INDEX(AlocTable,MATCH($B46,AlocList),3)*$H46</f>
        <v>591104.12543464196</v>
      </c>
      <c r="J46" s="9">
        <f>INDEX(AlocTable,MATCH($B46,AlocList),4)*$H46</f>
        <v>1687940.2074109102</v>
      </c>
      <c r="K46" s="9">
        <f>INDEX(AlocTable,MATCH($B46,AlocList),5)*$H46</f>
        <v>5352152.8782749902</v>
      </c>
      <c r="L46" s="9">
        <f>INDEX(AlocTable,MATCH($B46,AlocList),6)*$H46</f>
        <v>4682451.6848464822</v>
      </c>
      <c r="M46" s="9">
        <f>INDEX(AlocTable,MATCH($B46,AlocList),7)*$H46</f>
        <v>2876524.8019462214</v>
      </c>
      <c r="N46" s="9">
        <f>INDEX(AlocTable,MATCH($B46,AlocList),8)*$H46</f>
        <v>219410.60856688779</v>
      </c>
      <c r="O46" s="9">
        <f>INDEX(AlocTable,MATCH($B46,AlocList),9)*$H46</f>
        <v>2818.973847815771</v>
      </c>
      <c r="P46" s="9">
        <f>INDEX(AlocTable,MATCH($B46,AlocList),10)*$H46</f>
        <v>4694335.5163247027</v>
      </c>
      <c r="Q46" s="9">
        <f>INDEX(AlocTable,MATCH($B46,AlocList),11)*$H46</f>
        <v>95557.289640972856</v>
      </c>
      <c r="R46" s="9">
        <f>INDEX(AlocTable,MATCH($B46,AlocList),12)*$H46</f>
        <v>147752.01507946709</v>
      </c>
      <c r="S46" s="9">
        <f>INDEX(AlocTable,MATCH($B46,AlocList),13)*$H46</f>
        <v>344088.74862690817</v>
      </c>
      <c r="T46" s="246">
        <f t="shared" ref="T46:T47" si="50">SUM(I46:S46)-H46</f>
        <v>0</v>
      </c>
    </row>
    <row r="47" spans="1:20" x14ac:dyDescent="0.2">
      <c r="A47" s="33">
        <f>+A46+1</f>
        <v>32</v>
      </c>
      <c r="C47" s="33"/>
      <c r="D47" s="33" t="s">
        <v>189</v>
      </c>
      <c r="H47" s="34">
        <f t="shared" ref="H47:S47" si="51">SUM(H46:H46)</f>
        <v>20694136.850000001</v>
      </c>
      <c r="I47" s="34">
        <f t="shared" si="51"/>
        <v>591104.12543464196</v>
      </c>
      <c r="J47" s="34">
        <f t="shared" si="51"/>
        <v>1687940.2074109102</v>
      </c>
      <c r="K47" s="34">
        <f t="shared" si="51"/>
        <v>5352152.8782749902</v>
      </c>
      <c r="L47" s="34">
        <f t="shared" si="51"/>
        <v>4682451.6848464822</v>
      </c>
      <c r="M47" s="34">
        <f t="shared" si="51"/>
        <v>2876524.8019462214</v>
      </c>
      <c r="N47" s="34">
        <f t="shared" si="51"/>
        <v>219410.60856688779</v>
      </c>
      <c r="O47" s="34">
        <f t="shared" si="51"/>
        <v>2818.973847815771</v>
      </c>
      <c r="P47" s="34">
        <f t="shared" si="51"/>
        <v>4694335.5163247027</v>
      </c>
      <c r="Q47" s="34">
        <f t="shared" ref="Q47:R47" si="52">SUM(Q46:Q46)</f>
        <v>95557.289640972856</v>
      </c>
      <c r="R47" s="34">
        <f t="shared" si="52"/>
        <v>147752.01507946709</v>
      </c>
      <c r="S47" s="34">
        <f t="shared" si="51"/>
        <v>344088.74862690817</v>
      </c>
      <c r="T47" s="26">
        <f t="shared" si="50"/>
        <v>0</v>
      </c>
    </row>
    <row r="48" spans="1:20" x14ac:dyDescent="0.2">
      <c r="A48" s="33"/>
      <c r="C48" s="33"/>
      <c r="H48" s="270"/>
      <c r="T48" s="26"/>
    </row>
    <row r="49" spans="1:20" x14ac:dyDescent="0.2">
      <c r="A49" s="33"/>
      <c r="C49" s="33"/>
      <c r="D49" s="20" t="s">
        <v>131</v>
      </c>
      <c r="H49" s="34"/>
      <c r="I49" s="34"/>
      <c r="J49" s="34"/>
      <c r="K49" s="34"/>
      <c r="L49" s="34"/>
      <c r="M49" s="34"/>
      <c r="N49" s="34"/>
      <c r="O49" s="34"/>
      <c r="P49" s="34"/>
      <c r="Q49" s="34"/>
      <c r="R49" s="34"/>
      <c r="S49" s="34"/>
      <c r="T49" s="26"/>
    </row>
    <row r="50" spans="1:20" x14ac:dyDescent="0.2">
      <c r="A50" s="35">
        <f>+A47+1</f>
        <v>33</v>
      </c>
      <c r="B50" s="38">
        <v>40</v>
      </c>
      <c r="C50" s="35" t="s">
        <v>119</v>
      </c>
      <c r="D50" s="23"/>
      <c r="E50" s="23" t="s">
        <v>131</v>
      </c>
      <c r="F50" s="23"/>
      <c r="G50" s="23"/>
      <c r="H50" s="9">
        <f>'FUN-2 (Test Year)'!$I$53</f>
        <v>15279958.16</v>
      </c>
      <c r="I50" s="9">
        <f>INDEX(AlocTable,MATCH($B50,AlocList),3)*$H50</f>
        <v>436454.36242704274</v>
      </c>
      <c r="J50" s="9">
        <f>INDEX(AlocTable,MATCH($B50,AlocList),4)*$H50</f>
        <v>1246326.7220454486</v>
      </c>
      <c r="K50" s="9">
        <f>INDEX(AlocTable,MATCH($B50,AlocList),5)*$H50</f>
        <v>3951876.4488099637</v>
      </c>
      <c r="L50" s="9">
        <f>INDEX(AlocTable,MATCH($B50,AlocList),6)*$H50</f>
        <v>3457388.2616745019</v>
      </c>
      <c r="M50" s="9">
        <f>INDEX(AlocTable,MATCH($B50,AlocList),7)*$H50</f>
        <v>2123943.5565026016</v>
      </c>
      <c r="N50" s="9">
        <f>INDEX(AlocTable,MATCH($B50,AlocList),8)*$H50</f>
        <v>162006.51146086256</v>
      </c>
      <c r="O50" s="9">
        <f>INDEX(AlocTable,MATCH($B50,AlocList),9)*$H50</f>
        <v>2081.4495797034988</v>
      </c>
      <c r="P50" s="9">
        <f>INDEX(AlocTable,MATCH($B50,AlocList),10)*$H50</f>
        <v>3466162.9425942181</v>
      </c>
      <c r="Q50" s="9">
        <f>INDEX(AlocTable,MATCH($B50,AlocList),11)*$H50</f>
        <v>70556.766787645305</v>
      </c>
      <c r="R50" s="9">
        <f>INDEX(AlocTable,MATCH($B50,AlocList),12)*$H50</f>
        <v>109095.85767380995</v>
      </c>
      <c r="S50" s="9">
        <f>INDEX(AlocTable,MATCH($B50,AlocList),13)*$H50</f>
        <v>254065.28044420047</v>
      </c>
      <c r="T50" s="246">
        <f t="shared" ref="T50:T51" si="53">SUM(I50:S50)-H50</f>
        <v>0</v>
      </c>
    </row>
    <row r="51" spans="1:20" x14ac:dyDescent="0.2">
      <c r="A51" s="33">
        <f>+A50+1</f>
        <v>34</v>
      </c>
      <c r="C51" s="33"/>
      <c r="D51" s="33" t="s">
        <v>188</v>
      </c>
      <c r="H51" s="34">
        <f t="shared" ref="H51:S51" si="54">SUM(H50:H50)</f>
        <v>15279958.16</v>
      </c>
      <c r="I51" s="34">
        <f t="shared" si="54"/>
        <v>436454.36242704274</v>
      </c>
      <c r="J51" s="34">
        <f t="shared" si="54"/>
        <v>1246326.7220454486</v>
      </c>
      <c r="K51" s="34">
        <f t="shared" si="54"/>
        <v>3951876.4488099637</v>
      </c>
      <c r="L51" s="34">
        <f t="shared" si="54"/>
        <v>3457388.2616745019</v>
      </c>
      <c r="M51" s="34">
        <f t="shared" si="54"/>
        <v>2123943.5565026016</v>
      </c>
      <c r="N51" s="34">
        <f t="shared" si="54"/>
        <v>162006.51146086256</v>
      </c>
      <c r="O51" s="34">
        <f t="shared" si="54"/>
        <v>2081.4495797034988</v>
      </c>
      <c r="P51" s="34">
        <f t="shared" si="54"/>
        <v>3466162.9425942181</v>
      </c>
      <c r="Q51" s="34">
        <f t="shared" ref="Q51:R51" si="55">SUM(Q50:Q50)</f>
        <v>70556.766787645305</v>
      </c>
      <c r="R51" s="34">
        <f t="shared" si="55"/>
        <v>109095.85767380995</v>
      </c>
      <c r="S51" s="34">
        <f t="shared" si="54"/>
        <v>254065.28044420047</v>
      </c>
      <c r="T51" s="26">
        <f t="shared" si="53"/>
        <v>0</v>
      </c>
    </row>
    <row r="52" spans="1:20" x14ac:dyDescent="0.2">
      <c r="A52" s="33"/>
      <c r="C52" s="33"/>
      <c r="H52" s="34"/>
      <c r="I52" s="34"/>
      <c r="J52" s="34"/>
      <c r="K52" s="34"/>
      <c r="L52" s="34"/>
      <c r="M52" s="34"/>
      <c r="N52" s="34"/>
      <c r="O52" s="34"/>
      <c r="P52" s="34"/>
      <c r="Q52" s="34"/>
      <c r="R52" s="34"/>
      <c r="S52" s="34"/>
      <c r="T52" s="26"/>
    </row>
    <row r="53" spans="1:20" x14ac:dyDescent="0.2">
      <c r="A53" s="33">
        <f>+A51+1</f>
        <v>35</v>
      </c>
      <c r="B53" s="255"/>
      <c r="C53" s="252"/>
      <c r="D53" s="42" t="s">
        <v>561</v>
      </c>
      <c r="E53" s="42"/>
      <c r="F53" s="42"/>
      <c r="G53" s="42"/>
      <c r="H53" s="41">
        <f>H16+H28+H43+H47+H51</f>
        <v>348966605.06000012</v>
      </c>
      <c r="I53" s="41">
        <f t="shared" ref="I53:S53" si="56">I16+I28+I43+I47+I51</f>
        <v>7719494.8378616851</v>
      </c>
      <c r="J53" s="41">
        <f t="shared" si="56"/>
        <v>38699981.902372107</v>
      </c>
      <c r="K53" s="41">
        <f t="shared" si="56"/>
        <v>122710637.86416921</v>
      </c>
      <c r="L53" s="41">
        <f t="shared" si="56"/>
        <v>106202214.746521</v>
      </c>
      <c r="M53" s="41">
        <f t="shared" si="56"/>
        <v>57019824.748448826</v>
      </c>
      <c r="N53" s="41">
        <f t="shared" si="56"/>
        <v>7156273.11002775</v>
      </c>
      <c r="O53" s="41">
        <f t="shared" si="56"/>
        <v>276563.43342751928</v>
      </c>
      <c r="P53" s="41">
        <f t="shared" si="56"/>
        <v>8160498.4589189207</v>
      </c>
      <c r="Q53" s="41">
        <f t="shared" ref="Q53:R53" si="57">Q16+Q28+Q43+Q47+Q51</f>
        <v>166114.05642861815</v>
      </c>
      <c r="R53" s="41">
        <f t="shared" si="57"/>
        <v>256847.87275327704</v>
      </c>
      <c r="S53" s="41">
        <f t="shared" si="56"/>
        <v>598154.02907110867</v>
      </c>
      <c r="T53" s="249">
        <f>SUM(I53:S53)-H53</f>
        <v>0</v>
      </c>
    </row>
    <row r="54" spans="1:20" x14ac:dyDescent="0.2">
      <c r="A54" s="33"/>
      <c r="H54" s="26"/>
      <c r="T54" s="26"/>
    </row>
    <row r="55" spans="1:20" x14ac:dyDescent="0.2">
      <c r="A55" s="33"/>
      <c r="C55" s="33"/>
      <c r="D55" s="20" t="s">
        <v>129</v>
      </c>
      <c r="T55" s="26"/>
    </row>
    <row r="56" spans="1:20" x14ac:dyDescent="0.2">
      <c r="A56" s="33"/>
      <c r="C56" s="33"/>
      <c r="T56" s="26"/>
    </row>
    <row r="57" spans="1:20" x14ac:dyDescent="0.2">
      <c r="A57" s="33">
        <f>+A53+1</f>
        <v>36</v>
      </c>
      <c r="B57" s="36">
        <v>1.1000000000000001</v>
      </c>
      <c r="F57" s="20" t="s">
        <v>127</v>
      </c>
      <c r="H57" s="34">
        <f>'FUN-2 (Test Year)'!I61</f>
        <v>1001000</v>
      </c>
      <c r="I57" s="34">
        <f>INDEX(AlocTable,MATCH($B57,AlocList),3)*$H57</f>
        <v>1001000</v>
      </c>
      <c r="J57" s="34">
        <f>INDEX(AlocTable,MATCH($B57,AlocList),4)*$H57</f>
        <v>0</v>
      </c>
      <c r="K57" s="34">
        <f>INDEX(AlocTable,MATCH($B57,AlocList),5)*$H57</f>
        <v>0</v>
      </c>
      <c r="L57" s="34">
        <f>INDEX(AlocTable,MATCH($B57,AlocList),6)*$H57</f>
        <v>0</v>
      </c>
      <c r="M57" s="34">
        <f>INDEX(AlocTable,MATCH($B57,AlocList),7)*$H57</f>
        <v>0</v>
      </c>
      <c r="N57" s="34">
        <f>INDEX(AlocTable,MATCH($B57,AlocList),8)*$H57</f>
        <v>0</v>
      </c>
      <c r="O57" s="34">
        <f>INDEX(AlocTable,MATCH($B57,AlocList),9)*$H57</f>
        <v>0</v>
      </c>
      <c r="P57" s="34">
        <f>INDEX(AlocTable,MATCH($B57,AlocList),10)*$H57</f>
        <v>0</v>
      </c>
      <c r="Q57" s="34">
        <f>INDEX(AlocTable,MATCH($B57,AlocList),11)*$H57</f>
        <v>0</v>
      </c>
      <c r="R57" s="34">
        <f>INDEX(AlocTable,MATCH($B57,AlocList),12)*$H57</f>
        <v>0</v>
      </c>
      <c r="S57" s="34">
        <f>INDEX(AlocTable,MATCH($B57,AlocList),13)*$H57</f>
        <v>0</v>
      </c>
      <c r="T57" s="26">
        <f t="shared" ref="T57:T62" si="58">SUM(I57:S57)-H57</f>
        <v>0</v>
      </c>
    </row>
    <row r="58" spans="1:20" x14ac:dyDescent="0.2">
      <c r="A58" s="33">
        <f>+A57+1</f>
        <v>37</v>
      </c>
      <c r="B58" s="36">
        <v>46</v>
      </c>
      <c r="C58" s="33"/>
      <c r="F58" s="20" t="s">
        <v>126</v>
      </c>
      <c r="H58" s="34">
        <f>'FUN-2 (Test Year)'!I62</f>
        <v>2642000</v>
      </c>
      <c r="I58" s="34">
        <f>INDEX(AlocTable,MATCH($B58,AlocList),3)*$H58</f>
        <v>57664.258114184428</v>
      </c>
      <c r="J58" s="34">
        <f>INDEX(AlocTable,MATCH($B58,AlocList),4)*$H58</f>
        <v>296543.3525905438</v>
      </c>
      <c r="K58" s="34">
        <f>INDEX(AlocTable,MATCH($B58,AlocList),5)*$H58</f>
        <v>940285.29632295284</v>
      </c>
      <c r="L58" s="34">
        <f>INDEX(AlocTable,MATCH($B58,AlocList),6)*$H58</f>
        <v>813493.24012451014</v>
      </c>
      <c r="M58" s="34">
        <f>INDEX(AlocTable,MATCH($B58,AlocList),7)*$H58</f>
        <v>434644.05740091327</v>
      </c>
      <c r="N58" s="34">
        <f>INDEX(AlocTable,MATCH($B58,AlocList),8)*$H58</f>
        <v>55377.859812746712</v>
      </c>
      <c r="O58" s="34">
        <f>INDEX(AlocTable,MATCH($B58,AlocList),9)*$H58</f>
        <v>2173.2406977113865</v>
      </c>
      <c r="P58" s="34">
        <f>INDEX(AlocTable,MATCH($B58,AlocList),10)*$H58</f>
        <v>37167.90752447056</v>
      </c>
      <c r="Q58" s="34">
        <f>INDEX(AlocTable,MATCH($B58,AlocList),11)*$H58</f>
        <v>756.58514230900198</v>
      </c>
      <c r="R58" s="34">
        <f>INDEX(AlocTable,MATCH($B58,AlocList),12)*$H58</f>
        <v>1169.8425078332132</v>
      </c>
      <c r="S58" s="34">
        <f>INDEX(AlocTable,MATCH($B58,AlocList),13)*$H58</f>
        <v>2724.3597618238737</v>
      </c>
      <c r="T58" s="26">
        <f t="shared" si="58"/>
        <v>0</v>
      </c>
    </row>
    <row r="59" spans="1:20" x14ac:dyDescent="0.2">
      <c r="A59" s="33">
        <f t="shared" ref="A59:A62" si="59">+A58+1</f>
        <v>38</v>
      </c>
      <c r="B59" s="36">
        <v>39</v>
      </c>
      <c r="C59" s="248"/>
      <c r="F59" s="20" t="s">
        <v>124</v>
      </c>
      <c r="H59" s="34">
        <f>'FUN-2 (Test Year)'!I63</f>
        <v>26000</v>
      </c>
      <c r="I59" s="34">
        <f>INDEX(AlocTable,MATCH($B59,AlocList),3)*$H59</f>
        <v>575.14634029206024</v>
      </c>
      <c r="J59" s="34">
        <f>INDEX(AlocTable,MATCH($B59,AlocList),4)*$H59</f>
        <v>2883.3691100289448</v>
      </c>
      <c r="K59" s="34">
        <f>INDEX(AlocTable,MATCH($B59,AlocList),5)*$H59</f>
        <v>9142.6415542537088</v>
      </c>
      <c r="L59" s="34">
        <f>INDEX(AlocTable,MATCH($B59,AlocList),6)*$H59</f>
        <v>7912.6699901120473</v>
      </c>
      <c r="M59" s="34">
        <f>INDEX(AlocTable,MATCH($B59,AlocList),7)*$H59</f>
        <v>4248.301762871467</v>
      </c>
      <c r="N59" s="34">
        <f>INDEX(AlocTable,MATCH($B59,AlocList),8)*$H59</f>
        <v>533.18311311975094</v>
      </c>
      <c r="O59" s="34">
        <f>INDEX(AlocTable,MATCH($B59,AlocList),9)*$H59</f>
        <v>20.605551261500125</v>
      </c>
      <c r="P59" s="34">
        <f>INDEX(AlocTable,MATCH($B59,AlocList),10)*$H59</f>
        <v>608.00362228188465</v>
      </c>
      <c r="Q59" s="34">
        <f>INDEX(AlocTable,MATCH($B59,AlocList),11)*$H59</f>
        <v>12.376443489202881</v>
      </c>
      <c r="R59" s="34">
        <f>INDEX(AlocTable,MATCH($B59,AlocList),12)*$H59</f>
        <v>19.13662967961362</v>
      </c>
      <c r="S59" s="34">
        <f>INDEX(AlocTable,MATCH($B59,AlocList),13)*$H59</f>
        <v>44.565882609812668</v>
      </c>
      <c r="T59" s="26">
        <f t="shared" si="58"/>
        <v>0</v>
      </c>
    </row>
    <row r="60" spans="1:20" x14ac:dyDescent="0.2">
      <c r="A60" s="33">
        <f t="shared" si="59"/>
        <v>39</v>
      </c>
      <c r="B60" s="36">
        <v>42</v>
      </c>
      <c r="F60" s="20" t="s">
        <v>125</v>
      </c>
      <c r="H60" s="34">
        <f>'FUN-2 (Test Year)'!I64</f>
        <v>-2358000</v>
      </c>
      <c r="I60" s="34">
        <f>INDEX(AlocTable,MATCH($B60,AlocList),3)*$H60</f>
        <v>-58686.441790396704</v>
      </c>
      <c r="J60" s="34">
        <f>INDEX(AlocTable,MATCH($B60,AlocList),4)*$H60</f>
        <v>-216450.57284907269</v>
      </c>
      <c r="K60" s="34">
        <f>INDEX(AlocTable,MATCH($B60,AlocList),5)*$H60</f>
        <v>-686325.58866252343</v>
      </c>
      <c r="L60" s="34">
        <f>INDEX(AlocTable,MATCH($B60,AlocList),6)*$H60</f>
        <v>-598450.09453257488</v>
      </c>
      <c r="M60" s="34">
        <f>INDEX(AlocTable,MATCH($B60,AlocList),7)*$H60</f>
        <v>-380391.96711060125</v>
      </c>
      <c r="N60" s="34">
        <f>INDEX(AlocTable,MATCH($B60,AlocList),8)*$H60</f>
        <v>-38495.950401594302</v>
      </c>
      <c r="O60" s="34">
        <f>INDEX(AlocTable,MATCH($B60,AlocList),9)*$H60</f>
        <v>-935.47050152263819</v>
      </c>
      <c r="P60" s="34">
        <f>INDEX(AlocTable,MATCH($B60,AlocList),10)*$H60</f>
        <v>-335116.164645963</v>
      </c>
      <c r="Q60" s="34">
        <f>INDEX(AlocTable,MATCH($B60,AlocList),11)*$H60</f>
        <v>-6053.0339551473771</v>
      </c>
      <c r="R60" s="34">
        <f>INDEX(AlocTable,MATCH($B60,AlocList),12)*$H60</f>
        <v>-9359.2855927339406</v>
      </c>
      <c r="S60" s="34">
        <f>INDEX(AlocTable,MATCH($B60,AlocList),13)*$H60</f>
        <v>-27735.429957869484</v>
      </c>
      <c r="T60" s="26">
        <f t="shared" si="58"/>
        <v>0</v>
      </c>
    </row>
    <row r="61" spans="1:20" x14ac:dyDescent="0.2">
      <c r="A61" s="35">
        <f t="shared" si="59"/>
        <v>40</v>
      </c>
      <c r="B61" s="38">
        <v>41</v>
      </c>
      <c r="C61" s="35"/>
      <c r="D61" s="23"/>
      <c r="E61" s="23"/>
      <c r="F61" s="23" t="s">
        <v>328</v>
      </c>
      <c r="G61" s="23"/>
      <c r="H61" s="9">
        <f>'FUN-2 (Test Year)'!I65</f>
        <v>-240000</v>
      </c>
      <c r="I61" s="9">
        <f>INDEX(AlocTable,MATCH($B61,AlocList),3)*$H61</f>
        <v>-6780.1655541707096</v>
      </c>
      <c r="J61" s="9">
        <f>INDEX(AlocTable,MATCH($B61,AlocList),4)*$H61</f>
        <v>-20275.136898479206</v>
      </c>
      <c r="K61" s="9">
        <f>INDEX(AlocTable,MATCH($B61,AlocList),5)*$H61</f>
        <v>-64288.789278302924</v>
      </c>
      <c r="L61" s="9">
        <f>INDEX(AlocTable,MATCH($B61,AlocList),6)*$H61</f>
        <v>-56237.68261870851</v>
      </c>
      <c r="M61" s="9">
        <f>INDEX(AlocTable,MATCH($B61,AlocList),7)*$H61</f>
        <v>-36509.203181575176</v>
      </c>
      <c r="N61" s="9">
        <f>INDEX(AlocTable,MATCH($B61,AlocList),8)*$H61</f>
        <v>-3145.6624543289154</v>
      </c>
      <c r="O61" s="9">
        <f>INDEX(AlocTable,MATCH($B61,AlocList),9)*$H61</f>
        <v>-50.5423024262589</v>
      </c>
      <c r="P61" s="9">
        <f>INDEX(AlocTable,MATCH($B61,AlocList),10)*$H61</f>
        <v>-46522.651777592255</v>
      </c>
      <c r="Q61" s="9">
        <f>INDEX(AlocTable,MATCH($B61,AlocList),11)*$H61</f>
        <v>-935.0446997770016</v>
      </c>
      <c r="R61" s="9">
        <f>INDEX(AlocTable,MATCH($B61,AlocList),12)*$H61</f>
        <v>-1445.7791666182795</v>
      </c>
      <c r="S61" s="9">
        <f>INDEX(AlocTable,MATCH($B61,AlocList),13)*$H61</f>
        <v>-3809.34206802075</v>
      </c>
      <c r="T61" s="246">
        <f t="shared" si="58"/>
        <v>0</v>
      </c>
    </row>
    <row r="62" spans="1:20" x14ac:dyDescent="0.2">
      <c r="A62" s="33">
        <f t="shared" si="59"/>
        <v>41</v>
      </c>
      <c r="C62" s="33"/>
      <c r="H62" s="34">
        <f t="shared" ref="H62:S62" si="60">SUM(H57:H61)</f>
        <v>1071000</v>
      </c>
      <c r="I62" s="34">
        <f t="shared" si="60"/>
        <v>993772.79710990901</v>
      </c>
      <c r="J62" s="34">
        <f t="shared" si="60"/>
        <v>62701.011953020861</v>
      </c>
      <c r="K62" s="34">
        <f t="shared" si="60"/>
        <v>198813.55993638025</v>
      </c>
      <c r="L62" s="34">
        <f t="shared" si="60"/>
        <v>166718.13296333881</v>
      </c>
      <c r="M62" s="34">
        <f t="shared" si="60"/>
        <v>21991.188871608283</v>
      </c>
      <c r="N62" s="34">
        <f t="shared" si="60"/>
        <v>14269.43006994325</v>
      </c>
      <c r="O62" s="34">
        <f t="shared" si="60"/>
        <v>1207.8334450239897</v>
      </c>
      <c r="P62" s="34">
        <f t="shared" si="60"/>
        <v>-343862.90527680283</v>
      </c>
      <c r="Q62" s="34">
        <f t="shared" ref="Q62:R62" si="61">SUM(Q57:Q61)</f>
        <v>-6219.1170691261741</v>
      </c>
      <c r="R62" s="34">
        <f t="shared" si="61"/>
        <v>-9616.0856218393928</v>
      </c>
      <c r="S62" s="34">
        <f t="shared" si="60"/>
        <v>-28775.846381456548</v>
      </c>
      <c r="T62" s="26">
        <f t="shared" si="58"/>
        <v>0</v>
      </c>
    </row>
    <row r="63" spans="1:20" x14ac:dyDescent="0.2">
      <c r="A63" s="33"/>
      <c r="C63" s="33"/>
      <c r="H63" s="34"/>
      <c r="I63" s="34"/>
      <c r="J63" s="34"/>
      <c r="K63" s="34"/>
      <c r="L63" s="34"/>
      <c r="M63" s="34"/>
      <c r="N63" s="34"/>
      <c r="O63" s="34"/>
      <c r="P63" s="34"/>
      <c r="Q63" s="34"/>
      <c r="R63" s="34"/>
      <c r="S63" s="34"/>
      <c r="T63" s="26"/>
    </row>
    <row r="64" spans="1:20" x14ac:dyDescent="0.2">
      <c r="A64" s="33">
        <f>+A62+1</f>
        <v>42</v>
      </c>
      <c r="C64" s="33"/>
      <c r="D64" s="42" t="s">
        <v>122</v>
      </c>
      <c r="E64" s="42"/>
      <c r="F64" s="42"/>
      <c r="G64" s="42"/>
      <c r="H64" s="41">
        <f t="shared" ref="H64:S64" si="62">SUM(H57:H61)</f>
        <v>1071000</v>
      </c>
      <c r="I64" s="41">
        <f t="shared" si="62"/>
        <v>993772.79710990901</v>
      </c>
      <c r="J64" s="41">
        <f t="shared" si="62"/>
        <v>62701.011953020861</v>
      </c>
      <c r="K64" s="41">
        <f t="shared" si="62"/>
        <v>198813.55993638025</v>
      </c>
      <c r="L64" s="41">
        <f t="shared" si="62"/>
        <v>166718.13296333881</v>
      </c>
      <c r="M64" s="41">
        <f t="shared" si="62"/>
        <v>21991.188871608283</v>
      </c>
      <c r="N64" s="41">
        <f t="shared" si="62"/>
        <v>14269.43006994325</v>
      </c>
      <c r="O64" s="41">
        <f t="shared" si="62"/>
        <v>1207.8334450239897</v>
      </c>
      <c r="P64" s="41">
        <f t="shared" si="62"/>
        <v>-343862.90527680283</v>
      </c>
      <c r="Q64" s="41">
        <f t="shared" ref="Q64:R64" si="63">SUM(Q57:Q61)</f>
        <v>-6219.1170691261741</v>
      </c>
      <c r="R64" s="41">
        <f t="shared" si="63"/>
        <v>-9616.0856218393928</v>
      </c>
      <c r="S64" s="41">
        <f t="shared" si="62"/>
        <v>-28775.846381456548</v>
      </c>
      <c r="T64" s="26">
        <f>SUM(I64:S64)-H64</f>
        <v>0</v>
      </c>
    </row>
    <row r="65" spans="1:20" x14ac:dyDescent="0.2">
      <c r="A65" s="33"/>
      <c r="C65" s="33"/>
      <c r="H65" s="26"/>
      <c r="T65" s="26"/>
    </row>
    <row r="66" spans="1:20" x14ac:dyDescent="0.2">
      <c r="A66" s="33"/>
      <c r="C66" s="33"/>
      <c r="D66" s="20" t="s">
        <v>121</v>
      </c>
      <c r="H66" s="34"/>
      <c r="T66" s="26"/>
    </row>
    <row r="67" spans="1:20" x14ac:dyDescent="0.2">
      <c r="A67" s="33"/>
      <c r="C67" s="33"/>
      <c r="H67" s="34"/>
      <c r="T67" s="26"/>
    </row>
    <row r="68" spans="1:20" x14ac:dyDescent="0.2">
      <c r="A68" s="33"/>
      <c r="C68" s="33"/>
      <c r="E68" s="20" t="s">
        <v>120</v>
      </c>
      <c r="H68" s="34"/>
      <c r="T68" s="26"/>
    </row>
    <row r="69" spans="1:20" x14ac:dyDescent="0.2">
      <c r="A69" s="33">
        <f>+A64+1</f>
        <v>43</v>
      </c>
      <c r="B69" s="36">
        <v>1.1000000000000001</v>
      </c>
      <c r="C69" s="20" t="s">
        <v>187</v>
      </c>
      <c r="F69" s="20" t="s">
        <v>329</v>
      </c>
      <c r="H69" s="34">
        <f>'FUN-2 (Test Year)'!I73</f>
        <v>0</v>
      </c>
      <c r="I69" s="34">
        <f t="shared" ref="I69:I73" si="64">INDEX(AlocTable,MATCH($B69,AlocList),3)*$H69</f>
        <v>0</v>
      </c>
      <c r="J69" s="34">
        <f t="shared" ref="J69:J73" si="65">INDEX(AlocTable,MATCH($B69,AlocList),4)*$H69</f>
        <v>0</v>
      </c>
      <c r="K69" s="34">
        <f t="shared" ref="K69:K73" si="66">INDEX(AlocTable,MATCH($B69,AlocList),5)*$H69</f>
        <v>0</v>
      </c>
      <c r="L69" s="34">
        <f t="shared" ref="L69:L73" si="67">INDEX(AlocTable,MATCH($B69,AlocList),6)*$H69</f>
        <v>0</v>
      </c>
      <c r="M69" s="34">
        <f t="shared" ref="M69:M73" si="68">INDEX(AlocTable,MATCH($B69,AlocList),7)*$H69</f>
        <v>0</v>
      </c>
      <c r="N69" s="34">
        <f t="shared" ref="N69:N73" si="69">INDEX(AlocTable,MATCH($B69,AlocList),8)*$H69</f>
        <v>0</v>
      </c>
      <c r="O69" s="34">
        <f t="shared" ref="O69:O73" si="70">INDEX(AlocTable,MATCH($B69,AlocList),9)*$H69</f>
        <v>0</v>
      </c>
      <c r="P69" s="34">
        <f t="shared" ref="P69:P73" si="71">INDEX(AlocTable,MATCH($B69,AlocList),10)*$H69</f>
        <v>0</v>
      </c>
      <c r="Q69" s="34">
        <f>INDEX(AlocTable,MATCH($B69,AlocList),11)*$H69</f>
        <v>0</v>
      </c>
      <c r="R69" s="34">
        <f>INDEX(AlocTable,MATCH($B69,AlocList),12)*$H69</f>
        <v>0</v>
      </c>
      <c r="S69" s="34">
        <f>INDEX(AlocTable,MATCH($B69,AlocList),13)*$H69</f>
        <v>0</v>
      </c>
      <c r="T69" s="26">
        <f t="shared" ref="T69:T74" si="72">SUM(I69:S69)-H69</f>
        <v>0</v>
      </c>
    </row>
    <row r="70" spans="1:20" x14ac:dyDescent="0.2">
      <c r="A70" s="33">
        <f>+A69+1</f>
        <v>44</v>
      </c>
      <c r="B70" s="36">
        <v>1.1000000000000001</v>
      </c>
      <c r="C70" s="20" t="s">
        <v>187</v>
      </c>
      <c r="F70" s="20" t="s">
        <v>312</v>
      </c>
      <c r="H70" s="34">
        <f>'FUN-2 (Test Year)'!I74</f>
        <v>-3430777.0684615392</v>
      </c>
      <c r="I70" s="34">
        <f t="shared" si="64"/>
        <v>-3430777.0684615392</v>
      </c>
      <c r="J70" s="34">
        <f t="shared" si="65"/>
        <v>0</v>
      </c>
      <c r="K70" s="34">
        <f t="shared" si="66"/>
        <v>0</v>
      </c>
      <c r="L70" s="34">
        <f t="shared" si="67"/>
        <v>0</v>
      </c>
      <c r="M70" s="34">
        <f t="shared" si="68"/>
        <v>0</v>
      </c>
      <c r="N70" s="34">
        <f t="shared" si="69"/>
        <v>0</v>
      </c>
      <c r="O70" s="34">
        <f t="shared" si="70"/>
        <v>0</v>
      </c>
      <c r="P70" s="34">
        <f t="shared" si="71"/>
        <v>0</v>
      </c>
      <c r="Q70" s="34">
        <f>INDEX(AlocTable,MATCH($B70,AlocList),11)*$H70</f>
        <v>0</v>
      </c>
      <c r="R70" s="34">
        <f>INDEX(AlocTable,MATCH($B70,AlocList),12)*$H70</f>
        <v>0</v>
      </c>
      <c r="S70" s="34">
        <f>INDEX(AlocTable,MATCH($B70,AlocList),13)*$H70</f>
        <v>0</v>
      </c>
      <c r="T70" s="26">
        <f t="shared" si="72"/>
        <v>0</v>
      </c>
    </row>
    <row r="71" spans="1:20" x14ac:dyDescent="0.2">
      <c r="A71" s="33">
        <f t="shared" ref="A71:A74" si="73">+A70+1</f>
        <v>45</v>
      </c>
      <c r="B71" s="36">
        <v>44</v>
      </c>
      <c r="C71" s="20" t="s">
        <v>187</v>
      </c>
      <c r="F71" s="20" t="s">
        <v>154</v>
      </c>
      <c r="H71" s="34">
        <f>'FUN-2 (Test Year)'!I75</f>
        <v>-98730291.727692306</v>
      </c>
      <c r="I71" s="34">
        <f t="shared" si="64"/>
        <v>0</v>
      </c>
      <c r="J71" s="34">
        <f t="shared" si="65"/>
        <v>-11528412.860839065</v>
      </c>
      <c r="K71" s="34">
        <f t="shared" si="66"/>
        <v>-36554510.523642965</v>
      </c>
      <c r="L71" s="34">
        <f t="shared" si="67"/>
        <v>-31608582.232029632</v>
      </c>
      <c r="M71" s="34">
        <f t="shared" si="68"/>
        <v>-16767471.800107483</v>
      </c>
      <c r="N71" s="34">
        <f t="shared" si="69"/>
        <v>-2183748.7936308216</v>
      </c>
      <c r="O71" s="34">
        <f t="shared" si="70"/>
        <v>-87565.517442329845</v>
      </c>
      <c r="P71" s="34">
        <f t="shared" si="71"/>
        <v>0</v>
      </c>
      <c r="Q71" s="34">
        <f>INDEX(AlocTable,MATCH($B71,AlocList),11)*$H71</f>
        <v>0</v>
      </c>
      <c r="R71" s="34">
        <f>INDEX(AlocTable,MATCH($B71,AlocList),12)*$H71</f>
        <v>0</v>
      </c>
      <c r="S71" s="34">
        <f>INDEX(AlocTable,MATCH($B71,AlocList),13)*$H71</f>
        <v>0</v>
      </c>
      <c r="T71" s="26">
        <f t="shared" si="72"/>
        <v>0</v>
      </c>
    </row>
    <row r="72" spans="1:20" x14ac:dyDescent="0.2">
      <c r="A72" s="33">
        <f t="shared" si="73"/>
        <v>46</v>
      </c>
      <c r="B72" s="36">
        <v>40</v>
      </c>
      <c r="C72" s="20" t="s">
        <v>187</v>
      </c>
      <c r="F72" s="20" t="s">
        <v>184</v>
      </c>
      <c r="H72" s="34">
        <f>'FUN-2 (Test Year)'!I76</f>
        <v>-5476577.9753846154</v>
      </c>
      <c r="I72" s="34">
        <f t="shared" si="64"/>
        <v>-156432.12654768661</v>
      </c>
      <c r="J72" s="34">
        <f t="shared" si="65"/>
        <v>-446703.15223477077</v>
      </c>
      <c r="K72" s="34">
        <f t="shared" si="66"/>
        <v>-1416414.8418711256</v>
      </c>
      <c r="L72" s="34">
        <f t="shared" si="67"/>
        <v>-1239182.4773321159</v>
      </c>
      <c r="M72" s="34">
        <f t="shared" si="68"/>
        <v>-761254.86606058991</v>
      </c>
      <c r="N72" s="34">
        <f t="shared" si="69"/>
        <v>-58065.6886128185</v>
      </c>
      <c r="O72" s="34">
        <f t="shared" si="70"/>
        <v>-746.02435462936808</v>
      </c>
      <c r="P72" s="34">
        <f t="shared" si="71"/>
        <v>-1242327.4613538487</v>
      </c>
      <c r="Q72" s="34">
        <f>INDEX(AlocTable,MATCH($B72,AlocList),11)*$H72</f>
        <v>-25288.657924150164</v>
      </c>
      <c r="R72" s="34">
        <f>INDEX(AlocTable,MATCH($B72,AlocList),12)*$H72</f>
        <v>-39101.675874096916</v>
      </c>
      <c r="S72" s="34">
        <f>INDEX(AlocTable,MATCH($B72,AlocList),13)*$H72</f>
        <v>-91061.003218782629</v>
      </c>
      <c r="T72" s="26">
        <f t="shared" si="72"/>
        <v>0</v>
      </c>
    </row>
    <row r="73" spans="1:20" x14ac:dyDescent="0.2">
      <c r="A73" s="35">
        <f t="shared" si="73"/>
        <v>47</v>
      </c>
      <c r="B73" s="38">
        <v>40</v>
      </c>
      <c r="C73" s="23" t="s">
        <v>187</v>
      </c>
      <c r="D73" s="23"/>
      <c r="E73" s="23"/>
      <c r="F73" s="23" t="s">
        <v>183</v>
      </c>
      <c r="G73" s="23"/>
      <c r="H73" s="9">
        <f>'FUN-2 (Test Year)'!I77</f>
        <v>-7271825.3030769238</v>
      </c>
      <c r="I73" s="9">
        <f t="shared" si="64"/>
        <v>-207711.29365024882</v>
      </c>
      <c r="J73" s="9">
        <f t="shared" si="65"/>
        <v>-593134.49018442957</v>
      </c>
      <c r="K73" s="9">
        <f t="shared" si="66"/>
        <v>-1880722.1102423538</v>
      </c>
      <c r="L73" s="9">
        <f t="shared" si="67"/>
        <v>-1645392.1653804963</v>
      </c>
      <c r="M73" s="9">
        <f t="shared" si="68"/>
        <v>-1010797.6955666489</v>
      </c>
      <c r="N73" s="9">
        <f t="shared" si="69"/>
        <v>-77099.887118036582</v>
      </c>
      <c r="O73" s="9">
        <f t="shared" si="70"/>
        <v>-990.5745527752631</v>
      </c>
      <c r="P73" s="9">
        <f t="shared" si="71"/>
        <v>-1649568.089559756</v>
      </c>
      <c r="Q73" s="9">
        <f>INDEX(AlocTable,MATCH($B73,AlocList),11)*$H73</f>
        <v>-33578.395742786284</v>
      </c>
      <c r="R73" s="9">
        <f>INDEX(AlocTable,MATCH($B73,AlocList),12)*$H73</f>
        <v>-51919.384201591951</v>
      </c>
      <c r="S73" s="9">
        <f>INDEX(AlocTable,MATCH($B73,AlocList),13)*$H73</f>
        <v>-120911.21687780014</v>
      </c>
      <c r="T73" s="246">
        <f t="shared" si="72"/>
        <v>0</v>
      </c>
    </row>
    <row r="74" spans="1:20" x14ac:dyDescent="0.2">
      <c r="A74" s="33">
        <f t="shared" si="73"/>
        <v>48</v>
      </c>
      <c r="E74" s="20" t="s">
        <v>861</v>
      </c>
      <c r="H74" s="34">
        <f t="shared" ref="H74:S74" si="74">SUM(H69:H73)</f>
        <v>-114909472.07461539</v>
      </c>
      <c r="I74" s="34">
        <f t="shared" si="74"/>
        <v>-3794920.488659475</v>
      </c>
      <c r="J74" s="34">
        <f t="shared" si="74"/>
        <v>-12568250.503258266</v>
      </c>
      <c r="K74" s="34">
        <f t="shared" si="74"/>
        <v>-39851647.475756444</v>
      </c>
      <c r="L74" s="34">
        <f t="shared" si="74"/>
        <v>-34493156.87474224</v>
      </c>
      <c r="M74" s="34">
        <f t="shared" si="74"/>
        <v>-18539524.361734722</v>
      </c>
      <c r="N74" s="34">
        <f t="shared" si="74"/>
        <v>-2318914.3693616767</v>
      </c>
      <c r="O74" s="34">
        <f t="shared" si="74"/>
        <v>-89302.116349734468</v>
      </c>
      <c r="P74" s="34">
        <f t="shared" si="74"/>
        <v>-2891895.5509136049</v>
      </c>
      <c r="Q74" s="34">
        <f t="shared" si="74"/>
        <v>-58867.053666936452</v>
      </c>
      <c r="R74" s="34">
        <f t="shared" si="74"/>
        <v>-91021.060075688874</v>
      </c>
      <c r="S74" s="34">
        <f t="shared" si="74"/>
        <v>-211972.22009658278</v>
      </c>
      <c r="T74" s="26">
        <f t="shared" si="72"/>
        <v>0</v>
      </c>
    </row>
    <row r="75" spans="1:20" x14ac:dyDescent="0.2">
      <c r="A75" s="33"/>
      <c r="H75" s="270"/>
      <c r="T75" s="26"/>
    </row>
    <row r="76" spans="1:20" x14ac:dyDescent="0.2">
      <c r="A76" s="33">
        <f>+A74+1</f>
        <v>49</v>
      </c>
      <c r="B76" s="36">
        <v>44.1</v>
      </c>
      <c r="C76" s="33">
        <v>252</v>
      </c>
      <c r="E76" s="20" t="s">
        <v>117</v>
      </c>
      <c r="H76" s="34">
        <f>'FUN-2 (Test Year)'!I80</f>
        <v>-1920000</v>
      </c>
      <c r="I76" s="34">
        <f t="shared" ref="I76:I81" si="75">INDEX(AlocTable,MATCH($B76,AlocList),3)*$H76</f>
        <v>0</v>
      </c>
      <c r="J76" s="34">
        <f t="shared" ref="J76:J81" si="76">INDEX(AlocTable,MATCH($B76,AlocList),4)*$H76</f>
        <v>-270507.60168347001</v>
      </c>
      <c r="K76" s="34">
        <f t="shared" ref="K76:K81" si="77">INDEX(AlocTable,MATCH($B76,AlocList),5)*$H76</f>
        <v>-857730.64270220231</v>
      </c>
      <c r="L76" s="34">
        <f t="shared" ref="L76:L81" si="78">INDEX(AlocTable,MATCH($B76,AlocList),6)*$H76</f>
        <v>-791761.75561432762</v>
      </c>
      <c r="M76" s="34">
        <f t="shared" ref="M76:M81" si="79">INDEX(AlocTable,MATCH($B76,AlocList),7)*$H76</f>
        <v>0</v>
      </c>
      <c r="N76" s="34">
        <f t="shared" ref="N76:N81" si="80">INDEX(AlocTable,MATCH($B76,AlocList),8)*$H76</f>
        <v>0</v>
      </c>
      <c r="O76" s="34">
        <f t="shared" ref="O76:O81" si="81">INDEX(AlocTable,MATCH($B76,AlocList),9)*$H76</f>
        <v>0</v>
      </c>
      <c r="P76" s="34">
        <f t="shared" ref="P76:P81" si="82">INDEX(AlocTable,MATCH($B76,AlocList),10)*$H76</f>
        <v>0</v>
      </c>
      <c r="Q76" s="34">
        <f t="shared" ref="Q76:Q81" si="83">INDEX(AlocTable,MATCH($B76,AlocList),11)*$H76</f>
        <v>0</v>
      </c>
      <c r="R76" s="34">
        <f t="shared" ref="R76:R81" si="84">INDEX(AlocTable,MATCH($B76,AlocList),12)*$H76</f>
        <v>0</v>
      </c>
      <c r="S76" s="34">
        <f t="shared" ref="S76:S81" si="85">INDEX(AlocTable,MATCH($B76,AlocList),13)*$H76</f>
        <v>0</v>
      </c>
      <c r="T76" s="26">
        <f t="shared" ref="T76:T82" si="86">SUM(I76:S76)-H76</f>
        <v>0</v>
      </c>
    </row>
    <row r="77" spans="1:20" x14ac:dyDescent="0.2">
      <c r="A77" s="33">
        <f>+A76+1</f>
        <v>50</v>
      </c>
      <c r="B77" s="36">
        <v>47</v>
      </c>
      <c r="C77" s="33">
        <v>282</v>
      </c>
      <c r="E77" s="20" t="s">
        <v>116</v>
      </c>
      <c r="H77" s="34">
        <f>'FUN-2 (Test Year)'!I81</f>
        <v>-32659015.75</v>
      </c>
      <c r="I77" s="34">
        <f t="shared" si="75"/>
        <v>-547613.02869861468</v>
      </c>
      <c r="J77" s="34">
        <f t="shared" si="76"/>
        <v>-3646274.8067230224</v>
      </c>
      <c r="K77" s="34">
        <f t="shared" si="77"/>
        <v>-11561677.431523733</v>
      </c>
      <c r="L77" s="34">
        <f t="shared" si="78"/>
        <v>-10005878.567257006</v>
      </c>
      <c r="M77" s="34">
        <f t="shared" si="79"/>
        <v>-5369324.6617393242</v>
      </c>
      <c r="N77" s="34">
        <f t="shared" si="80"/>
        <v>-674977.82821119332</v>
      </c>
      <c r="O77" s="34">
        <f t="shared" si="81"/>
        <v>-26129.390827798466</v>
      </c>
      <c r="P77" s="34">
        <f t="shared" si="82"/>
        <v>-735151.21354488202</v>
      </c>
      <c r="Q77" s="34">
        <f t="shared" si="83"/>
        <v>-14964.643493914658</v>
      </c>
      <c r="R77" s="34">
        <f t="shared" si="84"/>
        <v>-23138.540654293272</v>
      </c>
      <c r="S77" s="34">
        <f t="shared" si="85"/>
        <v>-53885.637326208234</v>
      </c>
      <c r="T77" s="26">
        <f t="shared" si="86"/>
        <v>0</v>
      </c>
    </row>
    <row r="78" spans="1:20" x14ac:dyDescent="0.2">
      <c r="A78" s="33">
        <f t="shared" ref="A78:A82" si="87">+A77+1</f>
        <v>51</v>
      </c>
      <c r="B78" s="36">
        <v>1.7</v>
      </c>
      <c r="C78" s="33">
        <v>235</v>
      </c>
      <c r="E78" s="20" t="s">
        <v>115</v>
      </c>
      <c r="H78" s="34">
        <f>'FUN-2 (Test Year)'!I82</f>
        <v>-132000</v>
      </c>
      <c r="I78" s="34">
        <f t="shared" si="75"/>
        <v>0</v>
      </c>
      <c r="J78" s="34">
        <f t="shared" si="76"/>
        <v>0</v>
      </c>
      <c r="K78" s="34">
        <f t="shared" si="77"/>
        <v>0</v>
      </c>
      <c r="L78" s="34">
        <f t="shared" si="78"/>
        <v>0</v>
      </c>
      <c r="M78" s="34">
        <f t="shared" si="79"/>
        <v>0</v>
      </c>
      <c r="N78" s="34">
        <f t="shared" si="80"/>
        <v>0</v>
      </c>
      <c r="O78" s="34">
        <f t="shared" si="81"/>
        <v>0</v>
      </c>
      <c r="P78" s="34">
        <f t="shared" si="82"/>
        <v>-132000</v>
      </c>
      <c r="Q78" s="34">
        <f t="shared" si="83"/>
        <v>0</v>
      </c>
      <c r="R78" s="34">
        <f t="shared" si="84"/>
        <v>0</v>
      </c>
      <c r="S78" s="34">
        <f t="shared" si="85"/>
        <v>0</v>
      </c>
      <c r="T78" s="26">
        <f t="shared" si="86"/>
        <v>0</v>
      </c>
    </row>
    <row r="79" spans="1:20" x14ac:dyDescent="0.2">
      <c r="A79" s="33">
        <f t="shared" si="87"/>
        <v>52</v>
      </c>
      <c r="B79" s="36">
        <v>1.7</v>
      </c>
      <c r="C79" s="33">
        <v>144</v>
      </c>
      <c r="E79" s="20" t="s">
        <v>472</v>
      </c>
      <c r="H79" s="34">
        <f>'FUN-2 (Test Year)'!I83</f>
        <v>-166000</v>
      </c>
      <c r="I79" s="34">
        <f t="shared" si="75"/>
        <v>0</v>
      </c>
      <c r="J79" s="34">
        <f t="shared" si="76"/>
        <v>0</v>
      </c>
      <c r="K79" s="34">
        <f t="shared" si="77"/>
        <v>0</v>
      </c>
      <c r="L79" s="34">
        <f t="shared" si="78"/>
        <v>0</v>
      </c>
      <c r="M79" s="34">
        <f t="shared" si="79"/>
        <v>0</v>
      </c>
      <c r="N79" s="34">
        <f t="shared" si="80"/>
        <v>0</v>
      </c>
      <c r="O79" s="34">
        <f t="shared" si="81"/>
        <v>0</v>
      </c>
      <c r="P79" s="34">
        <f t="shared" si="82"/>
        <v>-166000</v>
      </c>
      <c r="Q79" s="34">
        <f t="shared" si="83"/>
        <v>0</v>
      </c>
      <c r="R79" s="34">
        <f t="shared" si="84"/>
        <v>0</v>
      </c>
      <c r="S79" s="34">
        <f t="shared" si="85"/>
        <v>0</v>
      </c>
      <c r="T79" s="26">
        <f t="shared" si="86"/>
        <v>0</v>
      </c>
    </row>
    <row r="80" spans="1:20" x14ac:dyDescent="0.2">
      <c r="A80" s="33">
        <f t="shared" si="87"/>
        <v>53</v>
      </c>
      <c r="B80" s="36">
        <v>47</v>
      </c>
      <c r="C80" s="33">
        <v>228</v>
      </c>
      <c r="E80" s="20" t="str">
        <f>+'FUN-2 (Test Year)'!D84</f>
        <v>Misc. Operating Prov</v>
      </c>
      <c r="H80" s="34">
        <f>'FUN-2 (Test Year)'!I84</f>
        <v>-1606000</v>
      </c>
      <c r="I80" s="34">
        <f t="shared" si="75"/>
        <v>-26928.751644635071</v>
      </c>
      <c r="J80" s="34">
        <f t="shared" si="76"/>
        <v>-179304.77098340521</v>
      </c>
      <c r="K80" s="34">
        <f t="shared" si="77"/>
        <v>-568542.97438608855</v>
      </c>
      <c r="L80" s="34">
        <f t="shared" si="78"/>
        <v>-492036.90343958855</v>
      </c>
      <c r="M80" s="34">
        <f t="shared" si="79"/>
        <v>-264035.37304253742</v>
      </c>
      <c r="N80" s="34">
        <f t="shared" si="80"/>
        <v>-33191.887973757337</v>
      </c>
      <c r="O80" s="34">
        <f t="shared" si="81"/>
        <v>-1284.9071138784805</v>
      </c>
      <c r="P80" s="34">
        <f t="shared" si="82"/>
        <v>-36150.901116886242</v>
      </c>
      <c r="Q80" s="34">
        <f t="shared" si="83"/>
        <v>-735.88309075808388</v>
      </c>
      <c r="R80" s="34">
        <f t="shared" si="84"/>
        <v>-1137.8327067555608</v>
      </c>
      <c r="S80" s="34">
        <f t="shared" si="85"/>
        <v>-2649.8145017089323</v>
      </c>
      <c r="T80" s="26">
        <f t="shared" si="86"/>
        <v>0</v>
      </c>
    </row>
    <row r="81" spans="1:20" x14ac:dyDescent="0.2">
      <c r="A81" s="35">
        <f t="shared" si="87"/>
        <v>54</v>
      </c>
      <c r="B81" s="38">
        <v>58.1</v>
      </c>
      <c r="C81" s="35">
        <v>228</v>
      </c>
      <c r="D81" s="23"/>
      <c r="E81" s="23" t="s">
        <v>114</v>
      </c>
      <c r="F81" s="23"/>
      <c r="G81" s="23"/>
      <c r="H81" s="9">
        <f>'FUN-2 (Test Year)'!I85</f>
        <v>-188000</v>
      </c>
      <c r="I81" s="9">
        <f t="shared" si="75"/>
        <v>-6814.0880338173492</v>
      </c>
      <c r="J81" s="9">
        <f t="shared" si="76"/>
        <v>-13580.856544273765</v>
      </c>
      <c r="K81" s="9">
        <f t="shared" si="77"/>
        <v>-43062.43794877491</v>
      </c>
      <c r="L81" s="9">
        <f t="shared" si="78"/>
        <v>-38844.090899081973</v>
      </c>
      <c r="M81" s="9">
        <f t="shared" si="79"/>
        <v>-59332.619742113733</v>
      </c>
      <c r="N81" s="9">
        <f t="shared" si="80"/>
        <v>-6327.984119645881</v>
      </c>
      <c r="O81" s="9">
        <f t="shared" si="81"/>
        <v>-16.123664006084113</v>
      </c>
      <c r="P81" s="9">
        <f t="shared" si="82"/>
        <v>-13369.507816511958</v>
      </c>
      <c r="Q81" s="9">
        <f t="shared" si="83"/>
        <v>-110.62181329034063</v>
      </c>
      <c r="R81" s="9">
        <f t="shared" si="84"/>
        <v>-171.04499182429925</v>
      </c>
      <c r="S81" s="9">
        <f t="shared" si="85"/>
        <v>-6370.6244266596959</v>
      </c>
      <c r="T81" s="246">
        <f t="shared" si="86"/>
        <v>0</v>
      </c>
    </row>
    <row r="82" spans="1:20" x14ac:dyDescent="0.2">
      <c r="A82" s="33">
        <f t="shared" si="87"/>
        <v>55</v>
      </c>
      <c r="H82" s="34">
        <f t="shared" ref="H82:S82" si="88">SUM(H76:H81)</f>
        <v>-36671015.75</v>
      </c>
      <c r="I82" s="34">
        <f t="shared" si="88"/>
        <v>-581355.86837706715</v>
      </c>
      <c r="J82" s="34">
        <f t="shared" si="88"/>
        <v>-4109668.0359341716</v>
      </c>
      <c r="K82" s="34">
        <f t="shared" si="88"/>
        <v>-13031013.486560799</v>
      </c>
      <c r="L82" s="34">
        <f t="shared" si="88"/>
        <v>-11328521.317210004</v>
      </c>
      <c r="M82" s="34">
        <f t="shared" si="88"/>
        <v>-5692692.6545239761</v>
      </c>
      <c r="N82" s="34">
        <f t="shared" si="88"/>
        <v>-714497.70030459657</v>
      </c>
      <c r="O82" s="34">
        <f t="shared" si="88"/>
        <v>-27430.421605683034</v>
      </c>
      <c r="P82" s="34">
        <f t="shared" si="88"/>
        <v>-1082671.6224782802</v>
      </c>
      <c r="Q82" s="34">
        <f t="shared" si="88"/>
        <v>-15811.148397963083</v>
      </c>
      <c r="R82" s="34">
        <f t="shared" si="88"/>
        <v>-24447.418352873134</v>
      </c>
      <c r="S82" s="34">
        <f t="shared" si="88"/>
        <v>-62906.076254576867</v>
      </c>
      <c r="T82" s="26">
        <f t="shared" si="86"/>
        <v>0</v>
      </c>
    </row>
    <row r="83" spans="1:20" x14ac:dyDescent="0.2">
      <c r="A83" s="33"/>
      <c r="C83" s="33"/>
      <c r="H83" s="26"/>
      <c r="I83" s="34"/>
      <c r="J83" s="34"/>
      <c r="K83" s="34"/>
      <c r="L83" s="34"/>
      <c r="M83" s="34"/>
      <c r="N83" s="34"/>
      <c r="O83" s="34"/>
      <c r="P83" s="34"/>
      <c r="Q83" s="34"/>
      <c r="R83" s="34"/>
      <c r="S83" s="34"/>
      <c r="T83" s="26"/>
    </row>
    <row r="84" spans="1:20" x14ac:dyDescent="0.2">
      <c r="A84" s="33">
        <f>+A82+1</f>
        <v>56</v>
      </c>
      <c r="C84" s="33"/>
      <c r="D84" s="42" t="s">
        <v>112</v>
      </c>
      <c r="E84" s="42"/>
      <c r="F84" s="42"/>
      <c r="G84" s="42"/>
      <c r="H84" s="41">
        <f t="shared" ref="H84:S84" si="89">H74+H82</f>
        <v>-151580487.82461539</v>
      </c>
      <c r="I84" s="41">
        <f t="shared" si="89"/>
        <v>-4376276.3570365421</v>
      </c>
      <c r="J84" s="41">
        <f t="shared" si="89"/>
        <v>-16677918.539192438</v>
      </c>
      <c r="K84" s="41">
        <f t="shared" si="89"/>
        <v>-52882660.962317243</v>
      </c>
      <c r="L84" s="41">
        <f t="shared" si="89"/>
        <v>-45821678.191952243</v>
      </c>
      <c r="M84" s="41">
        <f t="shared" si="89"/>
        <v>-24232217.016258698</v>
      </c>
      <c r="N84" s="41">
        <f t="shared" si="89"/>
        <v>-3033412.0696662734</v>
      </c>
      <c r="O84" s="41">
        <f t="shared" si="89"/>
        <v>-116732.5379554175</v>
      </c>
      <c r="P84" s="41">
        <f t="shared" si="89"/>
        <v>-3974567.1733918851</v>
      </c>
      <c r="Q84" s="41">
        <f t="shared" ref="Q84:R84" si="90">Q74+Q82</f>
        <v>-74678.202064899539</v>
      </c>
      <c r="R84" s="41">
        <f t="shared" si="90"/>
        <v>-115468.47842856201</v>
      </c>
      <c r="S84" s="41">
        <f t="shared" si="89"/>
        <v>-274878.29635115963</v>
      </c>
      <c r="T84" s="26">
        <f>SUM(I84:S84)-H84</f>
        <v>0</v>
      </c>
    </row>
    <row r="85" spans="1:20" x14ac:dyDescent="0.2">
      <c r="A85" s="33"/>
      <c r="C85" s="33"/>
      <c r="H85" s="26"/>
      <c r="T85" s="26"/>
    </row>
    <row r="86" spans="1:20" x14ac:dyDescent="0.2">
      <c r="A86" s="33">
        <f>+A84+1</f>
        <v>57</v>
      </c>
      <c r="B86" s="255"/>
      <c r="C86" s="252"/>
      <c r="D86" s="42" t="s">
        <v>11</v>
      </c>
      <c r="E86" s="42"/>
      <c r="F86" s="42"/>
      <c r="G86" s="42"/>
      <c r="H86" s="41">
        <f t="shared" ref="H86:S86" si="91">H53+H64+H84</f>
        <v>198457117.23538473</v>
      </c>
      <c r="I86" s="41">
        <f t="shared" si="91"/>
        <v>4336991.2779350523</v>
      </c>
      <c r="J86" s="41">
        <f t="shared" si="91"/>
        <v>22084764.375132687</v>
      </c>
      <c r="K86" s="41">
        <f t="shared" si="91"/>
        <v>70026790.461788341</v>
      </c>
      <c r="L86" s="41">
        <f t="shared" si="91"/>
        <v>60547254.687532097</v>
      </c>
      <c r="M86" s="41">
        <f t="shared" si="91"/>
        <v>32809598.921061736</v>
      </c>
      <c r="N86" s="41">
        <f t="shared" si="91"/>
        <v>4137130.4704314196</v>
      </c>
      <c r="O86" s="41">
        <f t="shared" si="91"/>
        <v>161038.72891712576</v>
      </c>
      <c r="P86" s="41">
        <f t="shared" si="91"/>
        <v>3842068.3802502332</v>
      </c>
      <c r="Q86" s="41">
        <f t="shared" ref="Q86:R86" si="92">Q53+Q64+Q84</f>
        <v>85216.737294592444</v>
      </c>
      <c r="R86" s="41">
        <f t="shared" si="92"/>
        <v>131763.30870287563</v>
      </c>
      <c r="S86" s="41">
        <f t="shared" si="91"/>
        <v>294499.88633849245</v>
      </c>
      <c r="T86" s="26">
        <f>SUM(I86:S86)-H86</f>
        <v>0</v>
      </c>
    </row>
    <row r="87" spans="1:20" x14ac:dyDescent="0.2">
      <c r="A87" s="33"/>
      <c r="H87" s="26"/>
      <c r="T87" s="26"/>
    </row>
    <row r="88" spans="1:20" ht="18" x14ac:dyDescent="0.25">
      <c r="A88" s="32" t="s">
        <v>186</v>
      </c>
      <c r="B88" s="20"/>
      <c r="C88" s="32"/>
      <c r="T88" s="26"/>
    </row>
    <row r="89" spans="1:20" x14ac:dyDescent="0.2">
      <c r="A89" s="33"/>
      <c r="C89" s="33"/>
      <c r="T89" s="26"/>
    </row>
    <row r="90" spans="1:20" x14ac:dyDescent="0.2">
      <c r="A90" s="33"/>
      <c r="C90" s="33"/>
      <c r="D90" s="20" t="s">
        <v>111</v>
      </c>
      <c r="T90" s="26"/>
    </row>
    <row r="91" spans="1:20" x14ac:dyDescent="0.2">
      <c r="A91" s="33"/>
      <c r="C91" s="33"/>
      <c r="E91" s="20" t="s">
        <v>330</v>
      </c>
      <c r="T91" s="26"/>
    </row>
    <row r="92" spans="1:20" x14ac:dyDescent="0.2">
      <c r="A92" s="33"/>
      <c r="C92" s="33"/>
      <c r="F92" s="20" t="s">
        <v>89</v>
      </c>
      <c r="T92" s="26"/>
    </row>
    <row r="93" spans="1:20" x14ac:dyDescent="0.2">
      <c r="A93" s="33">
        <f>+A86+1</f>
        <v>58</v>
      </c>
      <c r="B93" s="36">
        <v>1.1000000000000001</v>
      </c>
      <c r="C93" s="33">
        <v>710</v>
      </c>
      <c r="G93" s="20" t="s">
        <v>105</v>
      </c>
      <c r="H93" s="34">
        <f>'FUN-2 (Test Year)'!I97</f>
        <v>0</v>
      </c>
      <c r="I93" s="34">
        <f t="shared" ref="I93:I98" si="93">INDEX(AlocTable,MATCH($B93,AlocList),3)*$H93</f>
        <v>0</v>
      </c>
      <c r="J93" s="34">
        <f t="shared" ref="J93:J98" si="94">INDEX(AlocTable,MATCH($B93,AlocList),4)*$H93</f>
        <v>0</v>
      </c>
      <c r="K93" s="34">
        <f t="shared" ref="K93:K98" si="95">INDEX(AlocTable,MATCH($B93,AlocList),5)*$H93</f>
        <v>0</v>
      </c>
      <c r="L93" s="34">
        <f t="shared" ref="L93:L98" si="96">INDEX(AlocTable,MATCH($B93,AlocList),6)*$H93</f>
        <v>0</v>
      </c>
      <c r="M93" s="34">
        <f t="shared" ref="M93:M98" si="97">INDEX(AlocTable,MATCH($B93,AlocList),7)*$H93</f>
        <v>0</v>
      </c>
      <c r="N93" s="34">
        <f t="shared" ref="N93:N98" si="98">INDEX(AlocTable,MATCH($B93,AlocList),8)*$H93</f>
        <v>0</v>
      </c>
      <c r="O93" s="34">
        <f t="shared" ref="O93:O98" si="99">INDEX(AlocTable,MATCH($B93,AlocList),9)*$H93</f>
        <v>0</v>
      </c>
      <c r="P93" s="34">
        <f t="shared" ref="P93:P98" si="100">INDEX(AlocTable,MATCH($B93,AlocList),10)*$H93</f>
        <v>0</v>
      </c>
      <c r="Q93" s="34">
        <f t="shared" ref="Q93:Q98" si="101">INDEX(AlocTable,MATCH($B93,AlocList),11)*$H93</f>
        <v>0</v>
      </c>
      <c r="R93" s="34">
        <f t="shared" ref="R93:R98" si="102">INDEX(AlocTable,MATCH($B93,AlocList),12)*$H93</f>
        <v>0</v>
      </c>
      <c r="S93" s="34">
        <f t="shared" ref="S93:S98" si="103">INDEX(AlocTable,MATCH($B93,AlocList),13)*$H93</f>
        <v>0</v>
      </c>
      <c r="T93" s="26">
        <f t="shared" ref="T93:T98" si="104">SUM(I93:S93)-H93</f>
        <v>0</v>
      </c>
    </row>
    <row r="94" spans="1:20" x14ac:dyDescent="0.2">
      <c r="A94" s="33">
        <f>+A93+1</f>
        <v>59</v>
      </c>
      <c r="B94" s="36">
        <v>1.1000000000000001</v>
      </c>
      <c r="C94" s="33">
        <v>712</v>
      </c>
      <c r="G94" s="20" t="s">
        <v>331</v>
      </c>
      <c r="H94" s="34">
        <f>'FUN-2 (Test Year)'!I98</f>
        <v>0</v>
      </c>
      <c r="I94" s="34">
        <f t="shared" si="93"/>
        <v>0</v>
      </c>
      <c r="J94" s="34">
        <f t="shared" si="94"/>
        <v>0</v>
      </c>
      <c r="K94" s="34">
        <f t="shared" si="95"/>
        <v>0</v>
      </c>
      <c r="L94" s="34">
        <f t="shared" si="96"/>
        <v>0</v>
      </c>
      <c r="M94" s="34">
        <f t="shared" si="97"/>
        <v>0</v>
      </c>
      <c r="N94" s="34">
        <f t="shared" si="98"/>
        <v>0</v>
      </c>
      <c r="O94" s="34">
        <f t="shared" si="99"/>
        <v>0</v>
      </c>
      <c r="P94" s="34">
        <f t="shared" si="100"/>
        <v>0</v>
      </c>
      <c r="Q94" s="34">
        <f t="shared" si="101"/>
        <v>0</v>
      </c>
      <c r="R94" s="34">
        <f t="shared" si="102"/>
        <v>0</v>
      </c>
      <c r="S94" s="34">
        <f t="shared" si="103"/>
        <v>0</v>
      </c>
      <c r="T94" s="26">
        <f t="shared" si="104"/>
        <v>0</v>
      </c>
    </row>
    <row r="95" spans="1:20" x14ac:dyDescent="0.2">
      <c r="A95" s="33">
        <f t="shared" ref="A95:A98" si="105">+A94+1</f>
        <v>60</v>
      </c>
      <c r="B95" s="36">
        <v>1.1000000000000001</v>
      </c>
      <c r="C95" s="33">
        <v>714</v>
      </c>
      <c r="G95" s="20" t="s">
        <v>332</v>
      </c>
      <c r="H95" s="34">
        <f>'FUN-2 (Test Year)'!I99</f>
        <v>0</v>
      </c>
      <c r="I95" s="34">
        <f t="shared" si="93"/>
        <v>0</v>
      </c>
      <c r="J95" s="34">
        <f t="shared" si="94"/>
        <v>0</v>
      </c>
      <c r="K95" s="34">
        <f t="shared" si="95"/>
        <v>0</v>
      </c>
      <c r="L95" s="34">
        <f t="shared" si="96"/>
        <v>0</v>
      </c>
      <c r="M95" s="34">
        <f t="shared" si="97"/>
        <v>0</v>
      </c>
      <c r="N95" s="34">
        <f t="shared" si="98"/>
        <v>0</v>
      </c>
      <c r="O95" s="34">
        <f t="shared" si="99"/>
        <v>0</v>
      </c>
      <c r="P95" s="34">
        <f t="shared" si="100"/>
        <v>0</v>
      </c>
      <c r="Q95" s="34">
        <f t="shared" si="101"/>
        <v>0</v>
      </c>
      <c r="R95" s="34">
        <f t="shared" si="102"/>
        <v>0</v>
      </c>
      <c r="S95" s="34">
        <f t="shared" si="103"/>
        <v>0</v>
      </c>
      <c r="T95" s="26">
        <f t="shared" si="104"/>
        <v>0</v>
      </c>
    </row>
    <row r="96" spans="1:20" x14ac:dyDescent="0.2">
      <c r="A96" s="33">
        <f t="shared" si="105"/>
        <v>61</v>
      </c>
      <c r="B96" s="36">
        <v>1.1000000000000001</v>
      </c>
      <c r="C96" s="33">
        <v>717</v>
      </c>
      <c r="G96" s="20" t="s">
        <v>333</v>
      </c>
      <c r="H96" s="34">
        <f>'FUN-2 (Test Year)'!I100</f>
        <v>0</v>
      </c>
      <c r="I96" s="34">
        <f t="shared" si="93"/>
        <v>0</v>
      </c>
      <c r="J96" s="34">
        <f t="shared" si="94"/>
        <v>0</v>
      </c>
      <c r="K96" s="34">
        <f t="shared" si="95"/>
        <v>0</v>
      </c>
      <c r="L96" s="34">
        <f t="shared" si="96"/>
        <v>0</v>
      </c>
      <c r="M96" s="34">
        <f t="shared" si="97"/>
        <v>0</v>
      </c>
      <c r="N96" s="34">
        <f t="shared" si="98"/>
        <v>0</v>
      </c>
      <c r="O96" s="34">
        <f t="shared" si="99"/>
        <v>0</v>
      </c>
      <c r="P96" s="34">
        <f t="shared" si="100"/>
        <v>0</v>
      </c>
      <c r="Q96" s="34">
        <f t="shared" si="101"/>
        <v>0</v>
      </c>
      <c r="R96" s="34">
        <f t="shared" si="102"/>
        <v>0</v>
      </c>
      <c r="S96" s="34">
        <f t="shared" si="103"/>
        <v>0</v>
      </c>
      <c r="T96" s="26">
        <f t="shared" si="104"/>
        <v>0</v>
      </c>
    </row>
    <row r="97" spans="1:20" x14ac:dyDescent="0.2">
      <c r="A97" s="33">
        <f t="shared" si="105"/>
        <v>62</v>
      </c>
      <c r="B97" s="36">
        <v>1.9</v>
      </c>
      <c r="C97" s="33">
        <v>728</v>
      </c>
      <c r="G97" s="20" t="s">
        <v>334</v>
      </c>
      <c r="H97" s="34">
        <f>'FUN-2 (Test Year)'!I101</f>
        <v>0</v>
      </c>
      <c r="I97" s="34">
        <f t="shared" si="93"/>
        <v>0</v>
      </c>
      <c r="J97" s="34">
        <f t="shared" si="94"/>
        <v>0</v>
      </c>
      <c r="K97" s="34">
        <f t="shared" si="95"/>
        <v>0</v>
      </c>
      <c r="L97" s="34">
        <f t="shared" si="96"/>
        <v>0</v>
      </c>
      <c r="M97" s="34">
        <f t="shared" si="97"/>
        <v>0</v>
      </c>
      <c r="N97" s="34">
        <f t="shared" si="98"/>
        <v>0</v>
      </c>
      <c r="O97" s="34">
        <f t="shared" si="99"/>
        <v>0</v>
      </c>
      <c r="P97" s="34">
        <f t="shared" si="100"/>
        <v>0</v>
      </c>
      <c r="Q97" s="34">
        <f t="shared" si="101"/>
        <v>0</v>
      </c>
      <c r="R97" s="34">
        <f t="shared" si="102"/>
        <v>0</v>
      </c>
      <c r="S97" s="34">
        <f t="shared" si="103"/>
        <v>0</v>
      </c>
      <c r="T97" s="26">
        <f t="shared" si="104"/>
        <v>0</v>
      </c>
    </row>
    <row r="98" spans="1:20" x14ac:dyDescent="0.2">
      <c r="A98" s="33">
        <f t="shared" si="105"/>
        <v>63</v>
      </c>
      <c r="B98" s="36">
        <v>1.1000000000000001</v>
      </c>
      <c r="C98" s="33">
        <v>735</v>
      </c>
      <c r="G98" s="20" t="s">
        <v>110</v>
      </c>
      <c r="H98" s="34">
        <f>'FUN-2 (Test Year)'!I102</f>
        <v>0</v>
      </c>
      <c r="I98" s="34">
        <f t="shared" si="93"/>
        <v>0</v>
      </c>
      <c r="J98" s="34">
        <f t="shared" si="94"/>
        <v>0</v>
      </c>
      <c r="K98" s="34">
        <f t="shared" si="95"/>
        <v>0</v>
      </c>
      <c r="L98" s="34">
        <f t="shared" si="96"/>
        <v>0</v>
      </c>
      <c r="M98" s="34">
        <f t="shared" si="97"/>
        <v>0</v>
      </c>
      <c r="N98" s="34">
        <f t="shared" si="98"/>
        <v>0</v>
      </c>
      <c r="O98" s="34">
        <f t="shared" si="99"/>
        <v>0</v>
      </c>
      <c r="P98" s="34">
        <f t="shared" si="100"/>
        <v>0</v>
      </c>
      <c r="Q98" s="34">
        <f t="shared" si="101"/>
        <v>0</v>
      </c>
      <c r="R98" s="34">
        <f t="shared" si="102"/>
        <v>0</v>
      </c>
      <c r="S98" s="34">
        <f t="shared" si="103"/>
        <v>0</v>
      </c>
      <c r="T98" s="26">
        <f t="shared" si="104"/>
        <v>0</v>
      </c>
    </row>
    <row r="99" spans="1:20" x14ac:dyDescent="0.2">
      <c r="A99" s="33"/>
      <c r="C99" s="33"/>
      <c r="F99" s="20" t="s">
        <v>77</v>
      </c>
      <c r="T99" s="26"/>
    </row>
    <row r="100" spans="1:20" x14ac:dyDescent="0.2">
      <c r="A100" s="33">
        <f>+A98+1</f>
        <v>64</v>
      </c>
      <c r="B100" s="36">
        <v>1.1000000000000001</v>
      </c>
      <c r="C100" s="33">
        <v>740</v>
      </c>
      <c r="G100" s="20" t="s">
        <v>105</v>
      </c>
      <c r="H100" s="34">
        <f>'FUN-2 (Test Year)'!I104</f>
        <v>0</v>
      </c>
      <c r="I100" s="34">
        <f>INDEX(AlocTable,MATCH($B100,AlocList),3)*$H100</f>
        <v>0</v>
      </c>
      <c r="J100" s="34">
        <f>INDEX(AlocTable,MATCH($B100,AlocList),4)*$H100</f>
        <v>0</v>
      </c>
      <c r="K100" s="34">
        <f>INDEX(AlocTable,MATCH($B100,AlocList),5)*$H100</f>
        <v>0</v>
      </c>
      <c r="L100" s="34">
        <f>INDEX(AlocTable,MATCH($B100,AlocList),6)*$H100</f>
        <v>0</v>
      </c>
      <c r="M100" s="34">
        <f>INDEX(AlocTable,MATCH($B100,AlocList),7)*$H100</f>
        <v>0</v>
      </c>
      <c r="N100" s="34">
        <f>INDEX(AlocTable,MATCH($B100,AlocList),8)*$H100</f>
        <v>0</v>
      </c>
      <c r="O100" s="34">
        <f>INDEX(AlocTable,MATCH($B100,AlocList),9)*$H100</f>
        <v>0</v>
      </c>
      <c r="P100" s="34">
        <f>INDEX(AlocTable,MATCH($B100,AlocList),10)*$H100</f>
        <v>0</v>
      </c>
      <c r="Q100" s="34">
        <f>INDEX(AlocTable,MATCH($B100,AlocList),11)*$H100</f>
        <v>0</v>
      </c>
      <c r="R100" s="34">
        <f>INDEX(AlocTable,MATCH($B100,AlocList),12)*$H100</f>
        <v>0</v>
      </c>
      <c r="S100" s="34">
        <f>INDEX(AlocTable,MATCH($B100,AlocList),13)*$H100</f>
        <v>0</v>
      </c>
      <c r="T100" s="26">
        <f t="shared" ref="T100:T102" si="106">SUM(I100:S100)-H100</f>
        <v>0</v>
      </c>
    </row>
    <row r="101" spans="1:20" x14ac:dyDescent="0.2">
      <c r="A101" s="33">
        <f>+A100+1</f>
        <v>65</v>
      </c>
      <c r="B101" s="36">
        <v>1.1000000000000001</v>
      </c>
      <c r="C101" s="33">
        <v>741</v>
      </c>
      <c r="G101" s="20" t="s">
        <v>335</v>
      </c>
      <c r="H101" s="34">
        <f>'FUN-2 (Test Year)'!I105</f>
        <v>0</v>
      </c>
      <c r="I101" s="34">
        <f>INDEX(AlocTable,MATCH($B101,AlocList),3)*$H101</f>
        <v>0</v>
      </c>
      <c r="J101" s="34">
        <f>INDEX(AlocTable,MATCH($B101,AlocList),4)*$H101</f>
        <v>0</v>
      </c>
      <c r="K101" s="34">
        <f>INDEX(AlocTable,MATCH($B101,AlocList),5)*$H101</f>
        <v>0</v>
      </c>
      <c r="L101" s="34">
        <f>INDEX(AlocTable,MATCH($B101,AlocList),6)*$H101</f>
        <v>0</v>
      </c>
      <c r="M101" s="34">
        <f>INDEX(AlocTable,MATCH($B101,AlocList),7)*$H101</f>
        <v>0</v>
      </c>
      <c r="N101" s="34">
        <f>INDEX(AlocTable,MATCH($B101,AlocList),8)*$H101</f>
        <v>0</v>
      </c>
      <c r="O101" s="34">
        <f>INDEX(AlocTable,MATCH($B101,AlocList),9)*$H101</f>
        <v>0</v>
      </c>
      <c r="P101" s="34">
        <f>INDEX(AlocTable,MATCH($B101,AlocList),10)*$H101</f>
        <v>0</v>
      </c>
      <c r="Q101" s="34">
        <f>INDEX(AlocTable,MATCH($B101,AlocList),11)*$H101</f>
        <v>0</v>
      </c>
      <c r="R101" s="34">
        <f>INDEX(AlocTable,MATCH($B101,AlocList),12)*$H101</f>
        <v>0</v>
      </c>
      <c r="S101" s="34">
        <f>INDEX(AlocTable,MATCH($B101,AlocList),13)*$H101</f>
        <v>0</v>
      </c>
      <c r="T101" s="26">
        <f t="shared" si="106"/>
        <v>0</v>
      </c>
    </row>
    <row r="102" spans="1:20" x14ac:dyDescent="0.2">
      <c r="A102" s="33">
        <f>+A101+1</f>
        <v>66</v>
      </c>
      <c r="B102" s="36">
        <v>1.1000000000000001</v>
      </c>
      <c r="C102" s="33">
        <v>742</v>
      </c>
      <c r="G102" s="20" t="s">
        <v>336</v>
      </c>
      <c r="H102" s="34">
        <f>'FUN-2 (Test Year)'!I106</f>
        <v>0</v>
      </c>
      <c r="I102" s="34">
        <f>INDEX(AlocTable,MATCH($B102,AlocList),3)*$H102</f>
        <v>0</v>
      </c>
      <c r="J102" s="34">
        <f>INDEX(AlocTable,MATCH($B102,AlocList),4)*$H102</f>
        <v>0</v>
      </c>
      <c r="K102" s="34">
        <f>INDEX(AlocTable,MATCH($B102,AlocList),5)*$H102</f>
        <v>0</v>
      </c>
      <c r="L102" s="34">
        <f>INDEX(AlocTable,MATCH($B102,AlocList),6)*$H102</f>
        <v>0</v>
      </c>
      <c r="M102" s="34">
        <f>INDEX(AlocTable,MATCH($B102,AlocList),7)*$H102</f>
        <v>0</v>
      </c>
      <c r="N102" s="34">
        <f>INDEX(AlocTable,MATCH($B102,AlocList),8)*$H102</f>
        <v>0</v>
      </c>
      <c r="O102" s="34">
        <f>INDEX(AlocTable,MATCH($B102,AlocList),9)*$H102</f>
        <v>0</v>
      </c>
      <c r="P102" s="34">
        <f>INDEX(AlocTable,MATCH($B102,AlocList),10)*$H102</f>
        <v>0</v>
      </c>
      <c r="Q102" s="34">
        <f>INDEX(AlocTable,MATCH($B102,AlocList),11)*$H102</f>
        <v>0</v>
      </c>
      <c r="R102" s="34">
        <f>INDEX(AlocTable,MATCH($B102,AlocList),12)*$H102</f>
        <v>0</v>
      </c>
      <c r="S102" s="34">
        <f>INDEX(AlocTable,MATCH($B102,AlocList),13)*$H102</f>
        <v>0</v>
      </c>
      <c r="T102" s="26">
        <f t="shared" si="106"/>
        <v>0</v>
      </c>
    </row>
    <row r="103" spans="1:20" x14ac:dyDescent="0.2">
      <c r="A103" s="33"/>
      <c r="B103" s="273"/>
      <c r="C103" s="33"/>
      <c r="E103" s="20" t="s">
        <v>109</v>
      </c>
      <c r="T103" s="26"/>
    </row>
    <row r="104" spans="1:20" x14ac:dyDescent="0.2">
      <c r="A104" s="33">
        <f>+A102+1</f>
        <v>67</v>
      </c>
      <c r="B104" s="36">
        <v>1.9</v>
      </c>
      <c r="C104" s="33" t="s">
        <v>341</v>
      </c>
      <c r="G104" s="20" t="s">
        <v>338</v>
      </c>
      <c r="H104" s="34">
        <f>'FUN-2 (Test Year)'!I108</f>
        <v>22349.750000044703</v>
      </c>
      <c r="I104" s="34">
        <f>INDEX(AlocTable,MATCH($B104,AlocList),3)*$H104</f>
        <v>0</v>
      </c>
      <c r="J104" s="34">
        <f>INDEX(AlocTable,MATCH($B104,AlocList),4)*$H104</f>
        <v>0</v>
      </c>
      <c r="K104" s="34">
        <f>INDEX(AlocTable,MATCH($B104,AlocList),5)*$H104</f>
        <v>0</v>
      </c>
      <c r="L104" s="34">
        <f>INDEX(AlocTable,MATCH($B104,AlocList),6)*$H104</f>
        <v>0</v>
      </c>
      <c r="M104" s="34">
        <f>INDEX(AlocTable,MATCH($B104,AlocList),7)*$H104</f>
        <v>0</v>
      </c>
      <c r="N104" s="34">
        <f>INDEX(AlocTable,MATCH($B104,AlocList),8)*$H104</f>
        <v>0</v>
      </c>
      <c r="O104" s="34">
        <f>INDEX(AlocTable,MATCH($B104,AlocList),9)*$H104</f>
        <v>0</v>
      </c>
      <c r="P104" s="34">
        <f>INDEX(AlocTable,MATCH($B104,AlocList),10)*$H104</f>
        <v>0</v>
      </c>
      <c r="Q104" s="34">
        <f>INDEX(AlocTable,MATCH($B104,AlocList),11)*$H104</f>
        <v>0</v>
      </c>
      <c r="R104" s="34">
        <f>INDEX(AlocTable,MATCH($B104,AlocList),12)*$H104</f>
        <v>0</v>
      </c>
      <c r="S104" s="34">
        <f>INDEX(AlocTable,MATCH($B104,AlocList),13)*$H104</f>
        <v>22349.750000044703</v>
      </c>
      <c r="T104" s="26">
        <f t="shared" ref="T104:T108" si="107">SUM(I104:S104)-H104</f>
        <v>0</v>
      </c>
    </row>
    <row r="105" spans="1:20" x14ac:dyDescent="0.2">
      <c r="A105" s="33">
        <f>+A104+1</f>
        <v>68</v>
      </c>
      <c r="B105" s="36">
        <v>1.9</v>
      </c>
      <c r="C105" s="33">
        <v>808</v>
      </c>
      <c r="G105" s="20" t="s">
        <v>339</v>
      </c>
      <c r="H105" s="34">
        <f>'FUN-2 (Test Year)'!I109</f>
        <v>-22349.75</v>
      </c>
      <c r="I105" s="34">
        <f>INDEX(AlocTable,MATCH($B105,AlocList),3)*$H105</f>
        <v>0</v>
      </c>
      <c r="J105" s="34">
        <f>INDEX(AlocTable,MATCH($B105,AlocList),4)*$H105</f>
        <v>0</v>
      </c>
      <c r="K105" s="34">
        <f>INDEX(AlocTable,MATCH($B105,AlocList),5)*$H105</f>
        <v>0</v>
      </c>
      <c r="L105" s="34">
        <f>INDEX(AlocTable,MATCH($B105,AlocList),6)*$H105</f>
        <v>0</v>
      </c>
      <c r="M105" s="34">
        <f>INDEX(AlocTable,MATCH($B105,AlocList),7)*$H105</f>
        <v>0</v>
      </c>
      <c r="N105" s="34">
        <f>INDEX(AlocTable,MATCH($B105,AlocList),8)*$H105</f>
        <v>0</v>
      </c>
      <c r="O105" s="34">
        <f>INDEX(AlocTable,MATCH($B105,AlocList),9)*$H105</f>
        <v>0</v>
      </c>
      <c r="P105" s="34">
        <f>INDEX(AlocTable,MATCH($B105,AlocList),10)*$H105</f>
        <v>0</v>
      </c>
      <c r="Q105" s="34">
        <f>INDEX(AlocTable,MATCH($B105,AlocList),11)*$H105</f>
        <v>0</v>
      </c>
      <c r="R105" s="34">
        <f>INDEX(AlocTable,MATCH($B105,AlocList),12)*$H105</f>
        <v>0</v>
      </c>
      <c r="S105" s="34">
        <f>INDEX(AlocTable,MATCH($B105,AlocList),13)*$H105</f>
        <v>-22349.75</v>
      </c>
      <c r="T105" s="26">
        <f t="shared" si="107"/>
        <v>0</v>
      </c>
    </row>
    <row r="106" spans="1:20" x14ac:dyDescent="0.2">
      <c r="A106" s="33">
        <f>+A105+1</f>
        <v>69</v>
      </c>
      <c r="B106" s="36">
        <v>1.9</v>
      </c>
      <c r="C106" s="33">
        <v>812</v>
      </c>
      <c r="G106" s="20" t="s">
        <v>340</v>
      </c>
      <c r="H106" s="34">
        <f>'FUN-2 (Test Year)'!I110</f>
        <v>0</v>
      </c>
      <c r="I106" s="34">
        <f>INDEX(AlocTable,MATCH($B106,AlocList),3)*$H106</f>
        <v>0</v>
      </c>
      <c r="J106" s="34">
        <f>INDEX(AlocTable,MATCH($B106,AlocList),4)*$H106</f>
        <v>0</v>
      </c>
      <c r="K106" s="34">
        <f>INDEX(AlocTable,MATCH($B106,AlocList),5)*$H106</f>
        <v>0</v>
      </c>
      <c r="L106" s="34">
        <f>INDEX(AlocTable,MATCH($B106,AlocList),6)*$H106</f>
        <v>0</v>
      </c>
      <c r="M106" s="34">
        <f>INDEX(AlocTable,MATCH($B106,AlocList),7)*$H106</f>
        <v>0</v>
      </c>
      <c r="N106" s="34">
        <f>INDEX(AlocTable,MATCH($B106,AlocList),8)*$H106</f>
        <v>0</v>
      </c>
      <c r="O106" s="34">
        <f>INDEX(AlocTable,MATCH($B106,AlocList),9)*$H106</f>
        <v>0</v>
      </c>
      <c r="P106" s="34">
        <f>INDEX(AlocTable,MATCH($B106,AlocList),10)*$H106</f>
        <v>0</v>
      </c>
      <c r="Q106" s="34">
        <f>INDEX(AlocTable,MATCH($B106,AlocList),11)*$H106</f>
        <v>0</v>
      </c>
      <c r="R106" s="34">
        <f>INDEX(AlocTable,MATCH($B106,AlocList),12)*$H106</f>
        <v>0</v>
      </c>
      <c r="S106" s="34">
        <f>INDEX(AlocTable,MATCH($B106,AlocList),13)*$H106</f>
        <v>0</v>
      </c>
      <c r="T106" s="26">
        <f t="shared" si="107"/>
        <v>0</v>
      </c>
    </row>
    <row r="107" spans="1:20" x14ac:dyDescent="0.2">
      <c r="A107" s="35">
        <f>+A106+1</f>
        <v>70</v>
      </c>
      <c r="B107" s="38">
        <v>1.9</v>
      </c>
      <c r="C107" s="35">
        <v>813</v>
      </c>
      <c r="D107" s="23"/>
      <c r="E107" s="23"/>
      <c r="F107" s="23"/>
      <c r="G107" s="23" t="s">
        <v>65</v>
      </c>
      <c r="H107" s="9">
        <f>'FUN-2 (Test Year)'!I111</f>
        <v>193920.60547600684</v>
      </c>
      <c r="I107" s="9">
        <f>INDEX(AlocTable,MATCH($B107,AlocList),3)*$H107</f>
        <v>0</v>
      </c>
      <c r="J107" s="9">
        <f>INDEX(AlocTable,MATCH($B107,AlocList),4)*$H107</f>
        <v>0</v>
      </c>
      <c r="K107" s="9">
        <f>INDEX(AlocTable,MATCH($B107,AlocList),5)*$H107</f>
        <v>0</v>
      </c>
      <c r="L107" s="9">
        <f>INDEX(AlocTable,MATCH($B107,AlocList),6)*$H107</f>
        <v>0</v>
      </c>
      <c r="M107" s="9">
        <f>INDEX(AlocTable,MATCH($B107,AlocList),7)*$H107</f>
        <v>0</v>
      </c>
      <c r="N107" s="9">
        <f>INDEX(AlocTable,MATCH($B107,AlocList),8)*$H107</f>
        <v>0</v>
      </c>
      <c r="O107" s="9">
        <f>INDEX(AlocTable,MATCH($B107,AlocList),9)*$H107</f>
        <v>0</v>
      </c>
      <c r="P107" s="9">
        <f>INDEX(AlocTable,MATCH($B107,AlocList),10)*$H107</f>
        <v>0</v>
      </c>
      <c r="Q107" s="9">
        <f>INDEX(AlocTable,MATCH($B107,AlocList),11)*$H107</f>
        <v>0</v>
      </c>
      <c r="R107" s="9">
        <f>INDEX(AlocTable,MATCH($B107,AlocList),12)*$H107</f>
        <v>0</v>
      </c>
      <c r="S107" s="9">
        <f>INDEX(AlocTable,MATCH($B107,AlocList),13)*$H107</f>
        <v>193920.60547600684</v>
      </c>
      <c r="T107" s="246">
        <f t="shared" si="107"/>
        <v>0</v>
      </c>
    </row>
    <row r="108" spans="1:20" x14ac:dyDescent="0.2">
      <c r="A108" s="33">
        <f>+A107+1</f>
        <v>71</v>
      </c>
      <c r="B108" s="273"/>
      <c r="C108" s="33"/>
      <c r="D108" s="20" t="s">
        <v>108</v>
      </c>
      <c r="H108" s="34">
        <f t="shared" ref="H108:S108" si="108">SUM(H93:H107)</f>
        <v>193920.60547605154</v>
      </c>
      <c r="I108" s="34">
        <f t="shared" si="108"/>
        <v>0</v>
      </c>
      <c r="J108" s="34">
        <f t="shared" si="108"/>
        <v>0</v>
      </c>
      <c r="K108" s="34">
        <f t="shared" si="108"/>
        <v>0</v>
      </c>
      <c r="L108" s="34">
        <f t="shared" si="108"/>
        <v>0</v>
      </c>
      <c r="M108" s="34">
        <f t="shared" si="108"/>
        <v>0</v>
      </c>
      <c r="N108" s="34">
        <f t="shared" si="108"/>
        <v>0</v>
      </c>
      <c r="O108" s="34">
        <f t="shared" si="108"/>
        <v>0</v>
      </c>
      <c r="P108" s="34">
        <f t="shared" si="108"/>
        <v>0</v>
      </c>
      <c r="Q108" s="34">
        <f t="shared" si="108"/>
        <v>0</v>
      </c>
      <c r="R108" s="34">
        <f t="shared" si="108"/>
        <v>0</v>
      </c>
      <c r="S108" s="34">
        <f t="shared" si="108"/>
        <v>193920.60547605154</v>
      </c>
      <c r="T108" s="26">
        <f t="shared" si="107"/>
        <v>0</v>
      </c>
    </row>
    <row r="109" spans="1:20" x14ac:dyDescent="0.2">
      <c r="A109" s="33"/>
      <c r="B109" s="273"/>
      <c r="C109" s="33"/>
      <c r="I109" s="26"/>
      <c r="T109" s="26"/>
    </row>
    <row r="110" spans="1:20" x14ac:dyDescent="0.2">
      <c r="A110" s="33"/>
      <c r="B110" s="273"/>
      <c r="C110" s="33"/>
      <c r="D110" s="20" t="s">
        <v>342</v>
      </c>
      <c r="I110" s="26"/>
      <c r="T110" s="26"/>
    </row>
    <row r="111" spans="1:20" x14ac:dyDescent="0.2">
      <c r="A111" s="33"/>
      <c r="B111" s="273"/>
      <c r="C111" s="33"/>
      <c r="F111" s="20" t="s">
        <v>89</v>
      </c>
      <c r="T111" s="26"/>
    </row>
    <row r="112" spans="1:20" x14ac:dyDescent="0.2">
      <c r="A112" s="33">
        <f>+A108+1</f>
        <v>72</v>
      </c>
      <c r="B112" s="36">
        <v>1.1000000000000001</v>
      </c>
      <c r="C112" s="33">
        <v>840</v>
      </c>
      <c r="G112" s="20" t="s">
        <v>105</v>
      </c>
      <c r="H112" s="34">
        <f>'FUN-2 (Test Year)'!I116</f>
        <v>122182.27565339177</v>
      </c>
      <c r="I112" s="34">
        <f t="shared" ref="I112:I114" si="109">INDEX(AlocTable,MATCH($B112,AlocList),3)*$H112</f>
        <v>122182.27565339177</v>
      </c>
      <c r="J112" s="34">
        <f t="shared" ref="J112:J114" si="110">INDEX(AlocTable,MATCH($B112,AlocList),4)*$H112</f>
        <v>0</v>
      </c>
      <c r="K112" s="34">
        <f t="shared" ref="K112:K114" si="111">INDEX(AlocTable,MATCH($B112,AlocList),5)*$H112</f>
        <v>0</v>
      </c>
      <c r="L112" s="34">
        <f t="shared" ref="L112:L114" si="112">INDEX(AlocTable,MATCH($B112,AlocList),6)*$H112</f>
        <v>0</v>
      </c>
      <c r="M112" s="34">
        <f t="shared" ref="M112:M114" si="113">INDEX(AlocTable,MATCH($B112,AlocList),7)*$H112</f>
        <v>0</v>
      </c>
      <c r="N112" s="34">
        <f t="shared" ref="N112:N114" si="114">INDEX(AlocTable,MATCH($B112,AlocList),8)*$H112</f>
        <v>0</v>
      </c>
      <c r="O112" s="34">
        <f t="shared" ref="O112:O114" si="115">INDEX(AlocTable,MATCH($B112,AlocList),9)*$H112</f>
        <v>0</v>
      </c>
      <c r="P112" s="34">
        <f t="shared" ref="P112:P114" si="116">INDEX(AlocTable,MATCH($B112,AlocList),10)*$H112</f>
        <v>0</v>
      </c>
      <c r="Q112" s="34">
        <f>INDEX(AlocTable,MATCH($B112,AlocList),11)*$H112</f>
        <v>0</v>
      </c>
      <c r="R112" s="34">
        <f>INDEX(AlocTable,MATCH($B112,AlocList),12)*$H112</f>
        <v>0</v>
      </c>
      <c r="S112" s="34">
        <f>INDEX(AlocTable,MATCH($B112,AlocList),13)*$H112</f>
        <v>0</v>
      </c>
      <c r="T112" s="26">
        <f t="shared" ref="T112:T114" si="117">SUM(I112:S112)-H112</f>
        <v>0</v>
      </c>
    </row>
    <row r="113" spans="1:20" x14ac:dyDescent="0.2">
      <c r="A113" s="33">
        <f>+A112+1</f>
        <v>73</v>
      </c>
      <c r="B113" s="36">
        <v>1.1000000000000001</v>
      </c>
      <c r="C113" s="33">
        <v>841</v>
      </c>
      <c r="G113" s="20" t="s">
        <v>343</v>
      </c>
      <c r="H113" s="34">
        <f>'FUN-2 (Test Year)'!I117</f>
        <v>163074.3883714829</v>
      </c>
      <c r="I113" s="34">
        <f t="shared" si="109"/>
        <v>163074.3883714829</v>
      </c>
      <c r="J113" s="34">
        <f t="shared" si="110"/>
        <v>0</v>
      </c>
      <c r="K113" s="34">
        <f t="shared" si="111"/>
        <v>0</v>
      </c>
      <c r="L113" s="34">
        <f t="shared" si="112"/>
        <v>0</v>
      </c>
      <c r="M113" s="34">
        <f t="shared" si="113"/>
        <v>0</v>
      </c>
      <c r="N113" s="34">
        <f t="shared" si="114"/>
        <v>0</v>
      </c>
      <c r="O113" s="34">
        <f t="shared" si="115"/>
        <v>0</v>
      </c>
      <c r="P113" s="34">
        <f t="shared" si="116"/>
        <v>0</v>
      </c>
      <c r="Q113" s="34">
        <f>INDEX(AlocTable,MATCH($B113,AlocList),11)*$H113</f>
        <v>0</v>
      </c>
      <c r="R113" s="34">
        <f>INDEX(AlocTable,MATCH($B113,AlocList),12)*$H113</f>
        <v>0</v>
      </c>
      <c r="S113" s="34">
        <f>INDEX(AlocTable,MATCH($B113,AlocList),13)*$H113</f>
        <v>0</v>
      </c>
      <c r="T113" s="26">
        <f t="shared" si="117"/>
        <v>0</v>
      </c>
    </row>
    <row r="114" spans="1:20" x14ac:dyDescent="0.2">
      <c r="A114" s="33">
        <f>+A113+1</f>
        <v>74</v>
      </c>
      <c r="B114" s="36">
        <v>1.1000000000000001</v>
      </c>
      <c r="C114" s="33">
        <v>842</v>
      </c>
      <c r="G114" s="20" t="s">
        <v>78</v>
      </c>
      <c r="H114" s="34">
        <f>'FUN-2 (Test Year)'!I118</f>
        <v>51561</v>
      </c>
      <c r="I114" s="34">
        <f t="shared" si="109"/>
        <v>51561</v>
      </c>
      <c r="J114" s="34">
        <f t="shared" si="110"/>
        <v>0</v>
      </c>
      <c r="K114" s="34">
        <f t="shared" si="111"/>
        <v>0</v>
      </c>
      <c r="L114" s="34">
        <f t="shared" si="112"/>
        <v>0</v>
      </c>
      <c r="M114" s="34">
        <f t="shared" si="113"/>
        <v>0</v>
      </c>
      <c r="N114" s="34">
        <f t="shared" si="114"/>
        <v>0</v>
      </c>
      <c r="O114" s="34">
        <f t="shared" si="115"/>
        <v>0</v>
      </c>
      <c r="P114" s="34">
        <f t="shared" si="116"/>
        <v>0</v>
      </c>
      <c r="Q114" s="34">
        <f>INDEX(AlocTable,MATCH($B114,AlocList),11)*$H114</f>
        <v>0</v>
      </c>
      <c r="R114" s="34">
        <f>INDEX(AlocTable,MATCH($B114,AlocList),12)*$H114</f>
        <v>0</v>
      </c>
      <c r="S114" s="34">
        <f>INDEX(AlocTable,MATCH($B114,AlocList),13)*$H114</f>
        <v>0</v>
      </c>
      <c r="T114" s="26">
        <f t="shared" si="117"/>
        <v>0</v>
      </c>
    </row>
    <row r="115" spans="1:20" x14ac:dyDescent="0.2">
      <c r="A115" s="33"/>
      <c r="B115" s="273"/>
      <c r="C115" s="33"/>
      <c r="F115" s="20" t="s">
        <v>77</v>
      </c>
      <c r="T115" s="26"/>
    </row>
    <row r="116" spans="1:20" x14ac:dyDescent="0.2">
      <c r="A116" s="33">
        <f>+A114+1</f>
        <v>75</v>
      </c>
      <c r="B116" s="36">
        <v>1.1000000000000001</v>
      </c>
      <c r="C116" s="33">
        <v>843.1</v>
      </c>
      <c r="G116" s="20" t="s">
        <v>105</v>
      </c>
      <c r="H116" s="34">
        <f>'FUN-2 (Test Year)'!I120</f>
        <v>47876.198822496168</v>
      </c>
      <c r="I116" s="34">
        <f t="shared" ref="I116:I124" si="118">INDEX(AlocTable,MATCH($B116,AlocList),3)*$H116</f>
        <v>47876.198822496168</v>
      </c>
      <c r="J116" s="34">
        <f t="shared" ref="J116:J124" si="119">INDEX(AlocTable,MATCH($B116,AlocList),4)*$H116</f>
        <v>0</v>
      </c>
      <c r="K116" s="34">
        <f t="shared" ref="K116:K124" si="120">INDEX(AlocTable,MATCH($B116,AlocList),5)*$H116</f>
        <v>0</v>
      </c>
      <c r="L116" s="34">
        <f t="shared" ref="L116:L124" si="121">INDEX(AlocTable,MATCH($B116,AlocList),6)*$H116</f>
        <v>0</v>
      </c>
      <c r="M116" s="34">
        <f t="shared" ref="M116:M124" si="122">INDEX(AlocTable,MATCH($B116,AlocList),7)*$H116</f>
        <v>0</v>
      </c>
      <c r="N116" s="34">
        <f t="shared" ref="N116:N124" si="123">INDEX(AlocTable,MATCH($B116,AlocList),8)*$H116</f>
        <v>0</v>
      </c>
      <c r="O116" s="34">
        <f t="shared" ref="O116:O124" si="124">INDEX(AlocTable,MATCH($B116,AlocList),9)*$H116</f>
        <v>0</v>
      </c>
      <c r="P116" s="34">
        <f t="shared" ref="P116:P124" si="125">INDEX(AlocTable,MATCH($B116,AlocList),10)*$H116</f>
        <v>0</v>
      </c>
      <c r="Q116" s="34">
        <f t="shared" ref="Q116:Q124" si="126">INDEX(AlocTable,MATCH($B116,AlocList),11)*$H116</f>
        <v>0</v>
      </c>
      <c r="R116" s="34">
        <f t="shared" ref="R116:R124" si="127">INDEX(AlocTable,MATCH($B116,AlocList),12)*$H116</f>
        <v>0</v>
      </c>
      <c r="S116" s="34">
        <f t="shared" ref="S116:S124" si="128">INDEX(AlocTable,MATCH($B116,AlocList),13)*$H116</f>
        <v>0</v>
      </c>
      <c r="T116" s="26">
        <f t="shared" ref="T116:T122" si="129">SUM(I116:S116)-H116</f>
        <v>0</v>
      </c>
    </row>
    <row r="117" spans="1:20" x14ac:dyDescent="0.2">
      <c r="A117" s="33">
        <f>+A116+1</f>
        <v>76</v>
      </c>
      <c r="B117" s="36">
        <v>1.1000000000000001</v>
      </c>
      <c r="C117" s="33">
        <v>843.2</v>
      </c>
      <c r="G117" s="20" t="s">
        <v>309</v>
      </c>
      <c r="H117" s="34">
        <f>'FUN-2 (Test Year)'!I121</f>
        <v>0</v>
      </c>
      <c r="I117" s="34">
        <f t="shared" si="118"/>
        <v>0</v>
      </c>
      <c r="J117" s="34">
        <f t="shared" si="119"/>
        <v>0</v>
      </c>
      <c r="K117" s="34">
        <f t="shared" si="120"/>
        <v>0</v>
      </c>
      <c r="L117" s="34">
        <f t="shared" si="121"/>
        <v>0</v>
      </c>
      <c r="M117" s="34">
        <f t="shared" si="122"/>
        <v>0</v>
      </c>
      <c r="N117" s="34">
        <f t="shared" si="123"/>
        <v>0</v>
      </c>
      <c r="O117" s="34">
        <f t="shared" si="124"/>
        <v>0</v>
      </c>
      <c r="P117" s="34">
        <f t="shared" si="125"/>
        <v>0</v>
      </c>
      <c r="Q117" s="34">
        <f t="shared" si="126"/>
        <v>0</v>
      </c>
      <c r="R117" s="34">
        <f t="shared" si="127"/>
        <v>0</v>
      </c>
      <c r="S117" s="34">
        <f t="shared" si="128"/>
        <v>0</v>
      </c>
      <c r="T117" s="26">
        <f t="shared" si="129"/>
        <v>0</v>
      </c>
    </row>
    <row r="118" spans="1:20" x14ac:dyDescent="0.2">
      <c r="A118" s="33">
        <f>+A117+1</f>
        <v>77</v>
      </c>
      <c r="B118" s="36">
        <v>1.1000000000000001</v>
      </c>
      <c r="C118" s="33">
        <v>843.3</v>
      </c>
      <c r="G118" s="20" t="s">
        <v>313</v>
      </c>
      <c r="H118" s="34">
        <f>'FUN-2 (Test Year)'!I122</f>
        <v>0</v>
      </c>
      <c r="I118" s="34">
        <f t="shared" si="118"/>
        <v>0</v>
      </c>
      <c r="J118" s="34">
        <f t="shared" si="119"/>
        <v>0</v>
      </c>
      <c r="K118" s="34">
        <f t="shared" si="120"/>
        <v>0</v>
      </c>
      <c r="L118" s="34">
        <f t="shared" si="121"/>
        <v>0</v>
      </c>
      <c r="M118" s="34">
        <f t="shared" si="122"/>
        <v>0</v>
      </c>
      <c r="N118" s="34">
        <f t="shared" si="123"/>
        <v>0</v>
      </c>
      <c r="O118" s="34">
        <f t="shared" si="124"/>
        <v>0</v>
      </c>
      <c r="P118" s="34">
        <f t="shared" si="125"/>
        <v>0</v>
      </c>
      <c r="Q118" s="34">
        <f t="shared" si="126"/>
        <v>0</v>
      </c>
      <c r="R118" s="34">
        <f t="shared" si="127"/>
        <v>0</v>
      </c>
      <c r="S118" s="34">
        <f t="shared" si="128"/>
        <v>0</v>
      </c>
      <c r="T118" s="26">
        <f t="shared" ref="T118:T121" si="130">SUM(I118:S118)-H118</f>
        <v>0</v>
      </c>
    </row>
    <row r="119" spans="1:20" x14ac:dyDescent="0.2">
      <c r="A119" s="33">
        <f t="shared" ref="A119:A125" si="131">+A118+1</f>
        <v>78</v>
      </c>
      <c r="B119" s="36">
        <v>1.1000000000000001</v>
      </c>
      <c r="C119" s="33">
        <v>843.4</v>
      </c>
      <c r="G119" s="20" t="s">
        <v>314</v>
      </c>
      <c r="H119" s="34">
        <f>'FUN-2 (Test Year)'!I123</f>
        <v>0</v>
      </c>
      <c r="I119" s="34">
        <f t="shared" si="118"/>
        <v>0</v>
      </c>
      <c r="J119" s="34">
        <f t="shared" si="119"/>
        <v>0</v>
      </c>
      <c r="K119" s="34">
        <f t="shared" si="120"/>
        <v>0</v>
      </c>
      <c r="L119" s="34">
        <f t="shared" si="121"/>
        <v>0</v>
      </c>
      <c r="M119" s="34">
        <f t="shared" si="122"/>
        <v>0</v>
      </c>
      <c r="N119" s="34">
        <f t="shared" si="123"/>
        <v>0</v>
      </c>
      <c r="O119" s="34">
        <f t="shared" si="124"/>
        <v>0</v>
      </c>
      <c r="P119" s="34">
        <f t="shared" si="125"/>
        <v>0</v>
      </c>
      <c r="Q119" s="34">
        <f t="shared" si="126"/>
        <v>0</v>
      </c>
      <c r="R119" s="34">
        <f t="shared" si="127"/>
        <v>0</v>
      </c>
      <c r="S119" s="34">
        <f t="shared" si="128"/>
        <v>0</v>
      </c>
      <c r="T119" s="26">
        <f t="shared" si="130"/>
        <v>0</v>
      </c>
    </row>
    <row r="120" spans="1:20" x14ac:dyDescent="0.2">
      <c r="A120" s="33">
        <f t="shared" si="131"/>
        <v>79</v>
      </c>
      <c r="B120" s="36">
        <v>1.1000000000000001</v>
      </c>
      <c r="C120" s="33">
        <v>843.5</v>
      </c>
      <c r="G120" s="20" t="s">
        <v>317</v>
      </c>
      <c r="H120" s="34">
        <f>'FUN-2 (Test Year)'!I124</f>
        <v>0</v>
      </c>
      <c r="I120" s="34">
        <f t="shared" si="118"/>
        <v>0</v>
      </c>
      <c r="J120" s="34">
        <f t="shared" si="119"/>
        <v>0</v>
      </c>
      <c r="K120" s="34">
        <f t="shared" si="120"/>
        <v>0</v>
      </c>
      <c r="L120" s="34">
        <f t="shared" si="121"/>
        <v>0</v>
      </c>
      <c r="M120" s="34">
        <f t="shared" si="122"/>
        <v>0</v>
      </c>
      <c r="N120" s="34">
        <f t="shared" si="123"/>
        <v>0</v>
      </c>
      <c r="O120" s="34">
        <f t="shared" si="124"/>
        <v>0</v>
      </c>
      <c r="P120" s="34">
        <f t="shared" si="125"/>
        <v>0</v>
      </c>
      <c r="Q120" s="34">
        <f t="shared" si="126"/>
        <v>0</v>
      </c>
      <c r="R120" s="34">
        <f t="shared" si="127"/>
        <v>0</v>
      </c>
      <c r="S120" s="34">
        <f t="shared" si="128"/>
        <v>0</v>
      </c>
      <c r="T120" s="26">
        <f t="shared" si="130"/>
        <v>0</v>
      </c>
    </row>
    <row r="121" spans="1:20" x14ac:dyDescent="0.2">
      <c r="A121" s="33">
        <f t="shared" si="131"/>
        <v>80</v>
      </c>
      <c r="B121" s="36">
        <v>1.1000000000000001</v>
      </c>
      <c r="C121" s="33">
        <v>843.6</v>
      </c>
      <c r="G121" s="20" t="s">
        <v>315</v>
      </c>
      <c r="H121" s="34">
        <f>'FUN-2 (Test Year)'!I125</f>
        <v>0</v>
      </c>
      <c r="I121" s="34">
        <f t="shared" si="118"/>
        <v>0</v>
      </c>
      <c r="J121" s="34">
        <f t="shared" si="119"/>
        <v>0</v>
      </c>
      <c r="K121" s="34">
        <f t="shared" si="120"/>
        <v>0</v>
      </c>
      <c r="L121" s="34">
        <f t="shared" si="121"/>
        <v>0</v>
      </c>
      <c r="M121" s="34">
        <f t="shared" si="122"/>
        <v>0</v>
      </c>
      <c r="N121" s="34">
        <f t="shared" si="123"/>
        <v>0</v>
      </c>
      <c r="O121" s="34">
        <f t="shared" si="124"/>
        <v>0</v>
      </c>
      <c r="P121" s="34">
        <f t="shared" si="125"/>
        <v>0</v>
      </c>
      <c r="Q121" s="34">
        <f t="shared" si="126"/>
        <v>0</v>
      </c>
      <c r="R121" s="34">
        <f t="shared" si="127"/>
        <v>0</v>
      </c>
      <c r="S121" s="34">
        <f t="shared" si="128"/>
        <v>0</v>
      </c>
      <c r="T121" s="26">
        <f t="shared" si="130"/>
        <v>0</v>
      </c>
    </row>
    <row r="122" spans="1:20" x14ac:dyDescent="0.2">
      <c r="A122" s="33">
        <f t="shared" si="131"/>
        <v>81</v>
      </c>
      <c r="B122" s="36">
        <v>1.1000000000000001</v>
      </c>
      <c r="C122" s="33">
        <v>843.7</v>
      </c>
      <c r="G122" s="20" t="s">
        <v>316</v>
      </c>
      <c r="H122" s="34">
        <f>'FUN-2 (Test Year)'!I126</f>
        <v>0</v>
      </c>
      <c r="I122" s="34">
        <f t="shared" si="118"/>
        <v>0</v>
      </c>
      <c r="J122" s="34">
        <f t="shared" si="119"/>
        <v>0</v>
      </c>
      <c r="K122" s="34">
        <f t="shared" si="120"/>
        <v>0</v>
      </c>
      <c r="L122" s="34">
        <f t="shared" si="121"/>
        <v>0</v>
      </c>
      <c r="M122" s="34">
        <f t="shared" si="122"/>
        <v>0</v>
      </c>
      <c r="N122" s="34">
        <f t="shared" si="123"/>
        <v>0</v>
      </c>
      <c r="O122" s="34">
        <f t="shared" si="124"/>
        <v>0</v>
      </c>
      <c r="P122" s="34">
        <f t="shared" si="125"/>
        <v>0</v>
      </c>
      <c r="Q122" s="34">
        <f t="shared" si="126"/>
        <v>0</v>
      </c>
      <c r="R122" s="34">
        <f t="shared" si="127"/>
        <v>0</v>
      </c>
      <c r="S122" s="34">
        <f t="shared" si="128"/>
        <v>0</v>
      </c>
      <c r="T122" s="26">
        <f t="shared" si="129"/>
        <v>0</v>
      </c>
    </row>
    <row r="123" spans="1:20" x14ac:dyDescent="0.2">
      <c r="A123" s="33">
        <f t="shared" si="131"/>
        <v>82</v>
      </c>
      <c r="B123" s="36">
        <v>1.1000000000000001</v>
      </c>
      <c r="C123" s="33">
        <v>843.8</v>
      </c>
      <c r="G123" s="20" t="s">
        <v>344</v>
      </c>
      <c r="H123" s="34">
        <f>'FUN-2 (Test Year)'!I127</f>
        <v>0</v>
      </c>
      <c r="I123" s="34">
        <f t="shared" si="118"/>
        <v>0</v>
      </c>
      <c r="J123" s="34">
        <f t="shared" si="119"/>
        <v>0</v>
      </c>
      <c r="K123" s="34">
        <f t="shared" si="120"/>
        <v>0</v>
      </c>
      <c r="L123" s="34">
        <f t="shared" si="121"/>
        <v>0</v>
      </c>
      <c r="M123" s="34">
        <f t="shared" si="122"/>
        <v>0</v>
      </c>
      <c r="N123" s="34">
        <f t="shared" si="123"/>
        <v>0</v>
      </c>
      <c r="O123" s="34">
        <f t="shared" si="124"/>
        <v>0</v>
      </c>
      <c r="P123" s="34">
        <f t="shared" si="125"/>
        <v>0</v>
      </c>
      <c r="Q123" s="34">
        <f t="shared" si="126"/>
        <v>0</v>
      </c>
      <c r="R123" s="34">
        <f t="shared" si="127"/>
        <v>0</v>
      </c>
      <c r="S123" s="34">
        <f t="shared" si="128"/>
        <v>0</v>
      </c>
      <c r="T123" s="26"/>
    </row>
    <row r="124" spans="1:20" x14ac:dyDescent="0.2">
      <c r="A124" s="35">
        <f t="shared" si="131"/>
        <v>83</v>
      </c>
      <c r="B124" s="38">
        <v>1.1000000000000001</v>
      </c>
      <c r="C124" s="35">
        <v>843.9</v>
      </c>
      <c r="D124" s="23"/>
      <c r="E124" s="23"/>
      <c r="F124" s="23"/>
      <c r="G124" s="23" t="s">
        <v>319</v>
      </c>
      <c r="H124" s="9">
        <f>'FUN-2 (Test Year)'!I128</f>
        <v>0</v>
      </c>
      <c r="I124" s="9">
        <f t="shared" si="118"/>
        <v>0</v>
      </c>
      <c r="J124" s="9">
        <f t="shared" si="119"/>
        <v>0</v>
      </c>
      <c r="K124" s="9">
        <f t="shared" si="120"/>
        <v>0</v>
      </c>
      <c r="L124" s="9">
        <f t="shared" si="121"/>
        <v>0</v>
      </c>
      <c r="M124" s="9">
        <f t="shared" si="122"/>
        <v>0</v>
      </c>
      <c r="N124" s="9">
        <f t="shared" si="123"/>
        <v>0</v>
      </c>
      <c r="O124" s="9">
        <f t="shared" si="124"/>
        <v>0</v>
      </c>
      <c r="P124" s="9">
        <f t="shared" si="125"/>
        <v>0</v>
      </c>
      <c r="Q124" s="9">
        <f t="shared" si="126"/>
        <v>0</v>
      </c>
      <c r="R124" s="9">
        <f t="shared" si="127"/>
        <v>0</v>
      </c>
      <c r="S124" s="9">
        <f t="shared" si="128"/>
        <v>0</v>
      </c>
      <c r="T124" s="246">
        <f t="shared" ref="T124:T125" si="132">SUM(I124:S124)-H124</f>
        <v>0</v>
      </c>
    </row>
    <row r="125" spans="1:20" x14ac:dyDescent="0.2">
      <c r="A125" s="33">
        <f t="shared" si="131"/>
        <v>84</v>
      </c>
      <c r="C125" s="33"/>
      <c r="D125" s="20" t="s">
        <v>345</v>
      </c>
      <c r="H125" s="34">
        <f t="shared" ref="H125:S125" si="133">SUM(H112:H124)</f>
        <v>384693.86284737085</v>
      </c>
      <c r="I125" s="34">
        <f t="shared" si="133"/>
        <v>384693.86284737085</v>
      </c>
      <c r="J125" s="34">
        <f t="shared" si="133"/>
        <v>0</v>
      </c>
      <c r="K125" s="34">
        <f t="shared" si="133"/>
        <v>0</v>
      </c>
      <c r="L125" s="34">
        <f t="shared" si="133"/>
        <v>0</v>
      </c>
      <c r="M125" s="34">
        <f t="shared" si="133"/>
        <v>0</v>
      </c>
      <c r="N125" s="34">
        <f t="shared" si="133"/>
        <v>0</v>
      </c>
      <c r="O125" s="34">
        <f t="shared" si="133"/>
        <v>0</v>
      </c>
      <c r="P125" s="34">
        <f t="shared" si="133"/>
        <v>0</v>
      </c>
      <c r="Q125" s="34">
        <f t="shared" si="133"/>
        <v>0</v>
      </c>
      <c r="R125" s="34">
        <f t="shared" si="133"/>
        <v>0</v>
      </c>
      <c r="S125" s="34">
        <f t="shared" si="133"/>
        <v>0</v>
      </c>
      <c r="T125" s="26">
        <f t="shared" si="132"/>
        <v>0</v>
      </c>
    </row>
    <row r="126" spans="1:20" x14ac:dyDescent="0.2">
      <c r="A126" s="33"/>
      <c r="C126" s="33"/>
      <c r="T126" s="26"/>
    </row>
    <row r="127" spans="1:20" x14ac:dyDescent="0.2">
      <c r="A127" s="33"/>
      <c r="C127" s="33"/>
      <c r="D127" s="20" t="s">
        <v>107</v>
      </c>
      <c r="T127" s="26"/>
    </row>
    <row r="128" spans="1:20" x14ac:dyDescent="0.2">
      <c r="A128" s="33"/>
      <c r="C128" s="33"/>
      <c r="F128" s="20" t="s">
        <v>89</v>
      </c>
      <c r="T128" s="26"/>
    </row>
    <row r="129" spans="1:20" x14ac:dyDescent="0.2">
      <c r="A129" s="33">
        <f>+A125+1</f>
        <v>85</v>
      </c>
      <c r="B129" s="36">
        <v>59</v>
      </c>
      <c r="C129" s="33">
        <v>870</v>
      </c>
      <c r="G129" s="20" t="s">
        <v>105</v>
      </c>
      <c r="H129" s="34">
        <f>'FUN-2 (Test Year)'!I133</f>
        <v>1003874.5406015161</v>
      </c>
      <c r="I129" s="34">
        <f t="shared" ref="I129:I138" si="134">INDEX(AlocTable,MATCH($B129,AlocList),3)*$H129</f>
        <v>0</v>
      </c>
      <c r="J129" s="34">
        <f t="shared" ref="J129:J138" si="135">INDEX(AlocTable,MATCH($B129,AlocList),4)*$H129</f>
        <v>122790.63122249003</v>
      </c>
      <c r="K129" s="34">
        <f t="shared" ref="K129:K138" si="136">INDEX(AlocTable,MATCH($B129,AlocList),5)*$H129</f>
        <v>389346.86633877084</v>
      </c>
      <c r="L129" s="34">
        <f t="shared" ref="L129:L138" si="137">INDEX(AlocTable,MATCH($B129,AlocList),6)*$H129</f>
        <v>340623.10603270907</v>
      </c>
      <c r="M129" s="34">
        <f t="shared" ref="M129:M138" si="138">INDEX(AlocTable,MATCH($B129,AlocList),7)*$H129</f>
        <v>134935.94312893637</v>
      </c>
      <c r="N129" s="34">
        <f t="shared" ref="N129:N138" si="139">INDEX(AlocTable,MATCH($B129,AlocList),8)*$H129</f>
        <v>15971.863116386476</v>
      </c>
      <c r="O129" s="34">
        <f t="shared" ref="O129:O138" si="140">INDEX(AlocTable,MATCH($B129,AlocList),9)*$H129</f>
        <v>206.13076222336957</v>
      </c>
      <c r="P129" s="34">
        <f t="shared" ref="P129:P138" si="141">INDEX(AlocTable,MATCH($B129,AlocList),10)*$H129</f>
        <v>0</v>
      </c>
      <c r="Q129" s="34">
        <f t="shared" ref="Q129:Q138" si="142">INDEX(AlocTable,MATCH($B129,AlocList),11)*$H129</f>
        <v>0</v>
      </c>
      <c r="R129" s="34">
        <f t="shared" ref="R129:R138" si="143">INDEX(AlocTable,MATCH($B129,AlocList),12)*$H129</f>
        <v>0</v>
      </c>
      <c r="S129" s="34">
        <f t="shared" ref="S129:S138" si="144">INDEX(AlocTable,MATCH($B129,AlocList),13)*$H129</f>
        <v>0</v>
      </c>
      <c r="T129" s="26">
        <f t="shared" ref="T129:T133" si="145">SUM(I129:S129)-H129</f>
        <v>0</v>
      </c>
    </row>
    <row r="130" spans="1:20" x14ac:dyDescent="0.2">
      <c r="A130" s="33">
        <f>+A129+1</f>
        <v>86</v>
      </c>
      <c r="B130" s="36">
        <v>44</v>
      </c>
      <c r="C130" s="33">
        <v>871</v>
      </c>
      <c r="G130" s="20" t="s">
        <v>106</v>
      </c>
      <c r="H130" s="34">
        <f>'FUN-2 (Test Year)'!I134</f>
        <v>106205.56008604649</v>
      </c>
      <c r="I130" s="34">
        <f t="shared" si="134"/>
        <v>0</v>
      </c>
      <c r="J130" s="34">
        <f t="shared" si="135"/>
        <v>12401.275468379625</v>
      </c>
      <c r="K130" s="34">
        <f t="shared" si="136"/>
        <v>39322.19986285991</v>
      </c>
      <c r="L130" s="34">
        <f t="shared" si="137"/>
        <v>34001.795403760327</v>
      </c>
      <c r="M130" s="34">
        <f t="shared" si="138"/>
        <v>18037.004678047753</v>
      </c>
      <c r="N130" s="34">
        <f t="shared" si="139"/>
        <v>2349.0892172633789</v>
      </c>
      <c r="O130" s="34">
        <f t="shared" si="140"/>
        <v>94.195455735482497</v>
      </c>
      <c r="P130" s="34">
        <f t="shared" si="141"/>
        <v>0</v>
      </c>
      <c r="Q130" s="34">
        <f t="shared" si="142"/>
        <v>0</v>
      </c>
      <c r="R130" s="34">
        <f t="shared" si="143"/>
        <v>0</v>
      </c>
      <c r="S130" s="34">
        <f t="shared" si="144"/>
        <v>0</v>
      </c>
      <c r="T130" s="26">
        <f t="shared" si="145"/>
        <v>0</v>
      </c>
    </row>
    <row r="131" spans="1:20" x14ac:dyDescent="0.2">
      <c r="A131" s="33">
        <f t="shared" ref="A131:A138" si="146">+A130+1</f>
        <v>87</v>
      </c>
      <c r="B131" s="36">
        <v>44.1</v>
      </c>
      <c r="C131" s="33">
        <v>874</v>
      </c>
      <c r="G131" s="20" t="s">
        <v>346</v>
      </c>
      <c r="H131" s="34">
        <f>'FUN-2 (Test Year)'!I135</f>
        <v>3149695.1471677744</v>
      </c>
      <c r="I131" s="34">
        <f t="shared" si="134"/>
        <v>0</v>
      </c>
      <c r="J131" s="34">
        <f t="shared" si="135"/>
        <v>443758.58348667645</v>
      </c>
      <c r="K131" s="34">
        <f t="shared" si="136"/>
        <v>1407078.1473417827</v>
      </c>
      <c r="L131" s="34">
        <f t="shared" si="137"/>
        <v>1298858.416339315</v>
      </c>
      <c r="M131" s="34">
        <f t="shared" si="138"/>
        <v>0</v>
      </c>
      <c r="N131" s="34">
        <f t="shared" si="139"/>
        <v>0</v>
      </c>
      <c r="O131" s="34">
        <f t="shared" si="140"/>
        <v>0</v>
      </c>
      <c r="P131" s="34">
        <f t="shared" si="141"/>
        <v>0</v>
      </c>
      <c r="Q131" s="34">
        <f t="shared" si="142"/>
        <v>0</v>
      </c>
      <c r="R131" s="34">
        <f t="shared" si="143"/>
        <v>0</v>
      </c>
      <c r="S131" s="34">
        <f t="shared" si="144"/>
        <v>0</v>
      </c>
      <c r="T131" s="26">
        <f t="shared" si="145"/>
        <v>0</v>
      </c>
    </row>
    <row r="132" spans="1:20" x14ac:dyDescent="0.2">
      <c r="A132" s="33">
        <f t="shared" si="146"/>
        <v>88</v>
      </c>
      <c r="B132" s="36">
        <v>1.2</v>
      </c>
      <c r="C132" s="33">
        <v>875</v>
      </c>
      <c r="G132" s="20" t="s">
        <v>347</v>
      </c>
      <c r="H132" s="34">
        <f>'FUN-2 (Test Year)'!I136</f>
        <v>283941.80519926967</v>
      </c>
      <c r="I132" s="34">
        <f t="shared" si="134"/>
        <v>0</v>
      </c>
      <c r="J132" s="34">
        <f t="shared" si="135"/>
        <v>68078.189269281327</v>
      </c>
      <c r="K132" s="34">
        <f t="shared" si="136"/>
        <v>215863.61592998833</v>
      </c>
      <c r="L132" s="34">
        <f t="shared" si="137"/>
        <v>0</v>
      </c>
      <c r="M132" s="34">
        <f t="shared" si="138"/>
        <v>0</v>
      </c>
      <c r="N132" s="34">
        <f t="shared" si="139"/>
        <v>0</v>
      </c>
      <c r="O132" s="34">
        <f t="shared" si="140"/>
        <v>0</v>
      </c>
      <c r="P132" s="34">
        <f t="shared" si="141"/>
        <v>0</v>
      </c>
      <c r="Q132" s="34">
        <f t="shared" si="142"/>
        <v>0</v>
      </c>
      <c r="R132" s="34">
        <f t="shared" si="143"/>
        <v>0</v>
      </c>
      <c r="S132" s="34">
        <f t="shared" si="144"/>
        <v>0</v>
      </c>
      <c r="T132" s="26">
        <f t="shared" si="145"/>
        <v>0</v>
      </c>
    </row>
    <row r="133" spans="1:20" x14ac:dyDescent="0.2">
      <c r="A133" s="33">
        <f t="shared" si="146"/>
        <v>89</v>
      </c>
      <c r="B133" s="36">
        <v>1.6</v>
      </c>
      <c r="C133" s="33">
        <v>876</v>
      </c>
      <c r="G133" s="20" t="s">
        <v>348</v>
      </c>
      <c r="H133" s="34">
        <f>'FUN-2 (Test Year)'!I137</f>
        <v>0</v>
      </c>
      <c r="I133" s="34">
        <f t="shared" si="134"/>
        <v>0</v>
      </c>
      <c r="J133" s="34">
        <f t="shared" si="135"/>
        <v>0</v>
      </c>
      <c r="K133" s="34">
        <f t="shared" si="136"/>
        <v>0</v>
      </c>
      <c r="L133" s="34">
        <f t="shared" si="137"/>
        <v>0</v>
      </c>
      <c r="M133" s="34">
        <f t="shared" si="138"/>
        <v>0</v>
      </c>
      <c r="N133" s="34">
        <f t="shared" si="139"/>
        <v>0</v>
      </c>
      <c r="O133" s="34">
        <f t="shared" si="140"/>
        <v>0</v>
      </c>
      <c r="P133" s="34">
        <f t="shared" si="141"/>
        <v>0</v>
      </c>
      <c r="Q133" s="34">
        <f t="shared" si="142"/>
        <v>0</v>
      </c>
      <c r="R133" s="34">
        <f t="shared" si="143"/>
        <v>0</v>
      </c>
      <c r="S133" s="34">
        <f t="shared" si="144"/>
        <v>0</v>
      </c>
      <c r="T133" s="26">
        <f t="shared" si="145"/>
        <v>0</v>
      </c>
    </row>
    <row r="134" spans="1:20" x14ac:dyDescent="0.2">
      <c r="A134" s="33">
        <f t="shared" si="146"/>
        <v>90</v>
      </c>
      <c r="B134" s="36">
        <v>1.2</v>
      </c>
      <c r="C134" s="33">
        <v>877</v>
      </c>
      <c r="G134" s="20" t="s">
        <v>349</v>
      </c>
      <c r="H134" s="34">
        <f>'FUN-2 (Test Year)'!I138</f>
        <v>5190.2299999999996</v>
      </c>
      <c r="I134" s="34">
        <f t="shared" si="134"/>
        <v>0</v>
      </c>
      <c r="J134" s="34">
        <f t="shared" si="135"/>
        <v>1244.4150661193685</v>
      </c>
      <c r="K134" s="34">
        <f t="shared" si="136"/>
        <v>3945.8149338806311</v>
      </c>
      <c r="L134" s="34">
        <f t="shared" si="137"/>
        <v>0</v>
      </c>
      <c r="M134" s="34">
        <f t="shared" si="138"/>
        <v>0</v>
      </c>
      <c r="N134" s="34">
        <f t="shared" si="139"/>
        <v>0</v>
      </c>
      <c r="O134" s="34">
        <f t="shared" si="140"/>
        <v>0</v>
      </c>
      <c r="P134" s="34">
        <f t="shared" si="141"/>
        <v>0</v>
      </c>
      <c r="Q134" s="34">
        <f t="shared" si="142"/>
        <v>0</v>
      </c>
      <c r="R134" s="34">
        <f t="shared" si="143"/>
        <v>0</v>
      </c>
      <c r="S134" s="34">
        <f t="shared" si="144"/>
        <v>0</v>
      </c>
      <c r="T134" s="26"/>
    </row>
    <row r="135" spans="1:20" x14ac:dyDescent="0.2">
      <c r="A135" s="33">
        <f t="shared" si="146"/>
        <v>91</v>
      </c>
      <c r="B135" s="36">
        <v>44.3</v>
      </c>
      <c r="C135" s="33">
        <v>878</v>
      </c>
      <c r="G135" s="20" t="s">
        <v>350</v>
      </c>
      <c r="H135" s="34">
        <f>'FUN-2 (Test Year)'!I139</f>
        <v>519636.00162213267</v>
      </c>
      <c r="I135" s="34">
        <f t="shared" si="134"/>
        <v>0</v>
      </c>
      <c r="J135" s="34">
        <f t="shared" si="135"/>
        <v>0</v>
      </c>
      <c r="K135" s="34">
        <f t="shared" si="136"/>
        <v>0</v>
      </c>
      <c r="L135" s="34">
        <f t="shared" si="137"/>
        <v>0</v>
      </c>
      <c r="M135" s="34">
        <f t="shared" si="138"/>
        <v>459758.35489976738</v>
      </c>
      <c r="N135" s="34">
        <f t="shared" si="139"/>
        <v>59877.64672236528</v>
      </c>
      <c r="O135" s="34">
        <f t="shared" si="140"/>
        <v>0</v>
      </c>
      <c r="P135" s="34">
        <f t="shared" si="141"/>
        <v>0</v>
      </c>
      <c r="Q135" s="34">
        <f t="shared" si="142"/>
        <v>0</v>
      </c>
      <c r="R135" s="34">
        <f t="shared" si="143"/>
        <v>0</v>
      </c>
      <c r="S135" s="34">
        <f t="shared" si="144"/>
        <v>0</v>
      </c>
      <c r="T135" s="26">
        <f t="shared" ref="T135:T138" si="147">SUM(I135:S135)-H135</f>
        <v>0</v>
      </c>
    </row>
    <row r="136" spans="1:20" x14ac:dyDescent="0.2">
      <c r="A136" s="33">
        <f t="shared" si="146"/>
        <v>92</v>
      </c>
      <c r="B136" s="36">
        <v>44.2</v>
      </c>
      <c r="C136" s="33">
        <v>879</v>
      </c>
      <c r="G136" s="20" t="s">
        <v>351</v>
      </c>
      <c r="H136" s="34">
        <f>'FUN-2 (Test Year)'!I140</f>
        <v>239824.4933561153</v>
      </c>
      <c r="I136" s="34">
        <f t="shared" si="134"/>
        <v>0</v>
      </c>
      <c r="J136" s="34">
        <f t="shared" si="135"/>
        <v>0</v>
      </c>
      <c r="K136" s="34">
        <f t="shared" si="136"/>
        <v>0</v>
      </c>
      <c r="L136" s="34">
        <f t="shared" si="137"/>
        <v>156699.68068221811</v>
      </c>
      <c r="M136" s="34">
        <f t="shared" si="138"/>
        <v>83124.812673897235</v>
      </c>
      <c r="N136" s="34">
        <f t="shared" si="139"/>
        <v>0</v>
      </c>
      <c r="O136" s="34">
        <f t="shared" si="140"/>
        <v>0</v>
      </c>
      <c r="P136" s="34">
        <f t="shared" si="141"/>
        <v>0</v>
      </c>
      <c r="Q136" s="34">
        <f t="shared" si="142"/>
        <v>0</v>
      </c>
      <c r="R136" s="34">
        <f t="shared" si="143"/>
        <v>0</v>
      </c>
      <c r="S136" s="34">
        <f t="shared" si="144"/>
        <v>0</v>
      </c>
      <c r="T136" s="26">
        <f t="shared" si="147"/>
        <v>0</v>
      </c>
    </row>
    <row r="137" spans="1:20" x14ac:dyDescent="0.2">
      <c r="A137" s="33">
        <f t="shared" si="146"/>
        <v>93</v>
      </c>
      <c r="B137" s="36">
        <v>44</v>
      </c>
      <c r="C137" s="33">
        <v>880</v>
      </c>
      <c r="G137" s="20" t="s">
        <v>65</v>
      </c>
      <c r="H137" s="34">
        <f>'FUN-2 (Test Year)'!I141</f>
        <v>1452654.8328033506</v>
      </c>
      <c r="I137" s="34">
        <f t="shared" si="134"/>
        <v>0</v>
      </c>
      <c r="J137" s="34">
        <f t="shared" si="135"/>
        <v>169621.74793364812</v>
      </c>
      <c r="K137" s="34">
        <f t="shared" si="136"/>
        <v>537839.86093537346</v>
      </c>
      <c r="L137" s="34">
        <f t="shared" si="137"/>
        <v>465068.61201283312</v>
      </c>
      <c r="M137" s="34">
        <f t="shared" si="138"/>
        <v>246705.93510956047</v>
      </c>
      <c r="N137" s="34">
        <f t="shared" si="139"/>
        <v>32130.293379924635</v>
      </c>
      <c r="O137" s="34">
        <f t="shared" si="140"/>
        <v>1288.383432010545</v>
      </c>
      <c r="P137" s="34">
        <f t="shared" si="141"/>
        <v>0</v>
      </c>
      <c r="Q137" s="34">
        <f t="shared" si="142"/>
        <v>0</v>
      </c>
      <c r="R137" s="34">
        <f t="shared" si="143"/>
        <v>0</v>
      </c>
      <c r="S137" s="34">
        <f t="shared" si="144"/>
        <v>0</v>
      </c>
      <c r="T137" s="26">
        <f t="shared" si="147"/>
        <v>0</v>
      </c>
    </row>
    <row r="138" spans="1:20" x14ac:dyDescent="0.2">
      <c r="A138" s="33">
        <f t="shared" si="146"/>
        <v>94</v>
      </c>
      <c r="B138" s="36">
        <v>44</v>
      </c>
      <c r="C138" s="33">
        <v>881</v>
      </c>
      <c r="G138" s="20" t="s">
        <v>78</v>
      </c>
      <c r="H138" s="34">
        <f>'FUN-2 (Test Year)'!I142</f>
        <v>11910</v>
      </c>
      <c r="I138" s="34">
        <f t="shared" si="134"/>
        <v>0</v>
      </c>
      <c r="J138" s="34">
        <f t="shared" si="135"/>
        <v>1390.6916992739098</v>
      </c>
      <c r="K138" s="34">
        <f t="shared" si="136"/>
        <v>4409.6316613483159</v>
      </c>
      <c r="L138" s="34">
        <f t="shared" si="137"/>
        <v>3812.996070362894</v>
      </c>
      <c r="M138" s="34">
        <f t="shared" si="138"/>
        <v>2022.6881299011418</v>
      </c>
      <c r="N138" s="34">
        <f t="shared" si="139"/>
        <v>263.42926448426692</v>
      </c>
      <c r="O138" s="34">
        <f t="shared" si="140"/>
        <v>10.563174629470174</v>
      </c>
      <c r="P138" s="34">
        <f t="shared" si="141"/>
        <v>0</v>
      </c>
      <c r="Q138" s="34">
        <f t="shared" si="142"/>
        <v>0</v>
      </c>
      <c r="R138" s="34">
        <f t="shared" si="143"/>
        <v>0</v>
      </c>
      <c r="S138" s="34">
        <f t="shared" si="144"/>
        <v>0</v>
      </c>
      <c r="T138" s="26">
        <f t="shared" si="147"/>
        <v>0</v>
      </c>
    </row>
    <row r="139" spans="1:20" x14ac:dyDescent="0.2">
      <c r="A139" s="33"/>
      <c r="C139" s="33"/>
      <c r="F139" s="20" t="s">
        <v>77</v>
      </c>
      <c r="T139" s="26"/>
    </row>
    <row r="140" spans="1:20" x14ac:dyDescent="0.2">
      <c r="A140" s="33">
        <f>+A138+1</f>
        <v>95</v>
      </c>
      <c r="B140" s="36">
        <v>59</v>
      </c>
      <c r="C140" s="33">
        <v>885</v>
      </c>
      <c r="G140" s="20" t="s">
        <v>105</v>
      </c>
      <c r="H140" s="34">
        <f>'FUN-2 (Test Year)'!I144</f>
        <v>0</v>
      </c>
      <c r="I140" s="34">
        <f t="shared" ref="I140:I148" si="148">INDEX(AlocTable,MATCH($B140,AlocList),3)*$H140</f>
        <v>0</v>
      </c>
      <c r="J140" s="34">
        <f t="shared" ref="J140:J148" si="149">INDEX(AlocTable,MATCH($B140,AlocList),4)*$H140</f>
        <v>0</v>
      </c>
      <c r="K140" s="34">
        <f t="shared" ref="K140:K148" si="150">INDEX(AlocTable,MATCH($B140,AlocList),5)*$H140</f>
        <v>0</v>
      </c>
      <c r="L140" s="34">
        <f t="shared" ref="L140:L148" si="151">INDEX(AlocTable,MATCH($B140,AlocList),6)*$H140</f>
        <v>0</v>
      </c>
      <c r="M140" s="34">
        <f t="shared" ref="M140:M148" si="152">INDEX(AlocTable,MATCH($B140,AlocList),7)*$H140</f>
        <v>0</v>
      </c>
      <c r="N140" s="34">
        <f t="shared" ref="N140:N148" si="153">INDEX(AlocTable,MATCH($B140,AlocList),8)*$H140</f>
        <v>0</v>
      </c>
      <c r="O140" s="34">
        <f t="shared" ref="O140:O148" si="154">INDEX(AlocTable,MATCH($B140,AlocList),9)*$H140</f>
        <v>0</v>
      </c>
      <c r="P140" s="34">
        <f t="shared" ref="P140:P148" si="155">INDEX(AlocTable,MATCH($B140,AlocList),10)*$H140</f>
        <v>0</v>
      </c>
      <c r="Q140" s="34">
        <f t="shared" ref="Q140:Q148" si="156">INDEX(AlocTable,MATCH($B140,AlocList),11)*$H140</f>
        <v>0</v>
      </c>
      <c r="R140" s="34">
        <f t="shared" ref="R140:R148" si="157">INDEX(AlocTable,MATCH($B140,AlocList),12)*$H140</f>
        <v>0</v>
      </c>
      <c r="S140" s="34">
        <f t="shared" ref="S140:S148" si="158">INDEX(AlocTable,MATCH($B140,AlocList),13)*$H140</f>
        <v>0</v>
      </c>
      <c r="T140" s="26">
        <f t="shared" ref="T140:T149" si="159">SUM(I140:S140)-H140</f>
        <v>0</v>
      </c>
    </row>
    <row r="141" spans="1:20" x14ac:dyDescent="0.2">
      <c r="A141" s="33">
        <f>+A140+1</f>
        <v>96</v>
      </c>
      <c r="B141" s="36">
        <v>44.4</v>
      </c>
      <c r="C141" s="33">
        <v>886</v>
      </c>
      <c r="G141" s="20" t="s">
        <v>335</v>
      </c>
      <c r="H141" s="34">
        <f>'FUN-2 (Test Year)'!I145</f>
        <v>3035.0567373912099</v>
      </c>
      <c r="I141" s="34">
        <f t="shared" si="148"/>
        <v>0</v>
      </c>
      <c r="J141" s="34">
        <f t="shared" si="149"/>
        <v>727.68843202261121</v>
      </c>
      <c r="K141" s="34">
        <f t="shared" si="150"/>
        <v>2307.3683053685982</v>
      </c>
      <c r="L141" s="34">
        <f t="shared" si="151"/>
        <v>0</v>
      </c>
      <c r="M141" s="34">
        <f t="shared" si="152"/>
        <v>0</v>
      </c>
      <c r="N141" s="34">
        <f t="shared" si="153"/>
        <v>0</v>
      </c>
      <c r="O141" s="34">
        <f t="shared" si="154"/>
        <v>0</v>
      </c>
      <c r="P141" s="34">
        <f t="shared" si="155"/>
        <v>0</v>
      </c>
      <c r="Q141" s="34">
        <f t="shared" si="156"/>
        <v>0</v>
      </c>
      <c r="R141" s="34">
        <f t="shared" si="157"/>
        <v>0</v>
      </c>
      <c r="S141" s="34">
        <f t="shared" si="158"/>
        <v>0</v>
      </c>
      <c r="T141" s="26">
        <f t="shared" si="159"/>
        <v>0</v>
      </c>
    </row>
    <row r="142" spans="1:20" x14ac:dyDescent="0.2">
      <c r="A142" s="33">
        <f t="shared" ref="A142:A149" si="160">+A141+1</f>
        <v>97</v>
      </c>
      <c r="B142" s="36">
        <v>1.2</v>
      </c>
      <c r="C142" s="33">
        <v>887</v>
      </c>
      <c r="G142" s="20" t="s">
        <v>303</v>
      </c>
      <c r="H142" s="34">
        <f>'FUN-2 (Test Year)'!I146</f>
        <v>427448.97225647367</v>
      </c>
      <c r="I142" s="34">
        <f t="shared" si="148"/>
        <v>0</v>
      </c>
      <c r="J142" s="34">
        <f t="shared" si="149"/>
        <v>102485.6203045329</v>
      </c>
      <c r="K142" s="34">
        <f t="shared" si="150"/>
        <v>324963.35195194074</v>
      </c>
      <c r="L142" s="34">
        <f t="shared" si="151"/>
        <v>0</v>
      </c>
      <c r="M142" s="34">
        <f t="shared" si="152"/>
        <v>0</v>
      </c>
      <c r="N142" s="34">
        <f t="shared" si="153"/>
        <v>0</v>
      </c>
      <c r="O142" s="34">
        <f t="shared" si="154"/>
        <v>0</v>
      </c>
      <c r="P142" s="34">
        <f t="shared" si="155"/>
        <v>0</v>
      </c>
      <c r="Q142" s="34">
        <f t="shared" si="156"/>
        <v>0</v>
      </c>
      <c r="R142" s="34">
        <f t="shared" si="157"/>
        <v>0</v>
      </c>
      <c r="S142" s="34">
        <f t="shared" si="158"/>
        <v>0</v>
      </c>
      <c r="T142" s="26">
        <f t="shared" si="159"/>
        <v>0</v>
      </c>
    </row>
    <row r="143" spans="1:20" x14ac:dyDescent="0.2">
      <c r="A143" s="33">
        <f t="shared" si="160"/>
        <v>98</v>
      </c>
      <c r="B143" s="36">
        <v>1.2</v>
      </c>
      <c r="C143" s="33">
        <v>889</v>
      </c>
      <c r="G143" s="20" t="s">
        <v>347</v>
      </c>
      <c r="H143" s="34">
        <f>'FUN-2 (Test Year)'!I147</f>
        <v>125861.22636531119</v>
      </c>
      <c r="I143" s="34">
        <f t="shared" si="148"/>
        <v>0</v>
      </c>
      <c r="J143" s="34">
        <f t="shared" si="149"/>
        <v>30176.621523372476</v>
      </c>
      <c r="K143" s="34">
        <f t="shared" si="150"/>
        <v>95684.604841938708</v>
      </c>
      <c r="L143" s="34">
        <f t="shared" si="151"/>
        <v>0</v>
      </c>
      <c r="M143" s="34">
        <f t="shared" si="152"/>
        <v>0</v>
      </c>
      <c r="N143" s="34">
        <f t="shared" si="153"/>
        <v>0</v>
      </c>
      <c r="O143" s="34">
        <f t="shared" si="154"/>
        <v>0</v>
      </c>
      <c r="P143" s="34">
        <f t="shared" si="155"/>
        <v>0</v>
      </c>
      <c r="Q143" s="34">
        <f t="shared" si="156"/>
        <v>0</v>
      </c>
      <c r="R143" s="34">
        <f t="shared" si="157"/>
        <v>0</v>
      </c>
      <c r="S143" s="34">
        <f t="shared" si="158"/>
        <v>0</v>
      </c>
      <c r="T143" s="26">
        <f t="shared" si="159"/>
        <v>0</v>
      </c>
    </row>
    <row r="144" spans="1:20" x14ac:dyDescent="0.2">
      <c r="A144" s="33">
        <f t="shared" si="160"/>
        <v>99</v>
      </c>
      <c r="B144" s="36">
        <v>1.6</v>
      </c>
      <c r="C144" s="33">
        <v>890</v>
      </c>
      <c r="G144" s="20" t="s">
        <v>348</v>
      </c>
      <c r="H144" s="34">
        <f>'FUN-2 (Test Year)'!I148</f>
        <v>0</v>
      </c>
      <c r="I144" s="34">
        <f t="shared" si="148"/>
        <v>0</v>
      </c>
      <c r="J144" s="34">
        <f t="shared" si="149"/>
        <v>0</v>
      </c>
      <c r="K144" s="34">
        <f t="shared" si="150"/>
        <v>0</v>
      </c>
      <c r="L144" s="34">
        <f t="shared" si="151"/>
        <v>0</v>
      </c>
      <c r="M144" s="34">
        <f t="shared" si="152"/>
        <v>0</v>
      </c>
      <c r="N144" s="34">
        <f t="shared" si="153"/>
        <v>0</v>
      </c>
      <c r="O144" s="34">
        <f t="shared" si="154"/>
        <v>0</v>
      </c>
      <c r="P144" s="34">
        <f t="shared" si="155"/>
        <v>0</v>
      </c>
      <c r="Q144" s="34">
        <f t="shared" si="156"/>
        <v>0</v>
      </c>
      <c r="R144" s="34">
        <f t="shared" si="157"/>
        <v>0</v>
      </c>
      <c r="S144" s="34">
        <f t="shared" si="158"/>
        <v>0</v>
      </c>
      <c r="T144" s="26">
        <f t="shared" si="159"/>
        <v>0</v>
      </c>
    </row>
    <row r="145" spans="1:20" x14ac:dyDescent="0.2">
      <c r="A145" s="33">
        <f t="shared" si="160"/>
        <v>100</v>
      </c>
      <c r="B145" s="36">
        <v>1.2</v>
      </c>
      <c r="C145" s="33">
        <v>891</v>
      </c>
      <c r="G145" s="20" t="s">
        <v>349</v>
      </c>
      <c r="H145" s="34">
        <f>'FUN-2 (Test Year)'!I149</f>
        <v>0</v>
      </c>
      <c r="I145" s="34">
        <f t="shared" si="148"/>
        <v>0</v>
      </c>
      <c r="J145" s="34">
        <f t="shared" si="149"/>
        <v>0</v>
      </c>
      <c r="K145" s="34">
        <f t="shared" si="150"/>
        <v>0</v>
      </c>
      <c r="L145" s="34">
        <f t="shared" si="151"/>
        <v>0</v>
      </c>
      <c r="M145" s="34">
        <f t="shared" si="152"/>
        <v>0</v>
      </c>
      <c r="N145" s="34">
        <f t="shared" si="153"/>
        <v>0</v>
      </c>
      <c r="O145" s="34">
        <f t="shared" si="154"/>
        <v>0</v>
      </c>
      <c r="P145" s="34">
        <f t="shared" si="155"/>
        <v>0</v>
      </c>
      <c r="Q145" s="34">
        <f t="shared" si="156"/>
        <v>0</v>
      </c>
      <c r="R145" s="34">
        <f t="shared" si="157"/>
        <v>0</v>
      </c>
      <c r="S145" s="34">
        <f t="shared" si="158"/>
        <v>0</v>
      </c>
      <c r="T145" s="26">
        <f t="shared" si="159"/>
        <v>0</v>
      </c>
    </row>
    <row r="146" spans="1:20" x14ac:dyDescent="0.2">
      <c r="A146" s="33">
        <f t="shared" si="160"/>
        <v>101</v>
      </c>
      <c r="B146" s="36">
        <v>1.3</v>
      </c>
      <c r="C146" s="33">
        <v>892</v>
      </c>
      <c r="G146" s="20" t="s">
        <v>19</v>
      </c>
      <c r="H146" s="34">
        <f>'FUN-2 (Test Year)'!I150</f>
        <v>343671.83431212325</v>
      </c>
      <c r="I146" s="34">
        <f t="shared" si="148"/>
        <v>0</v>
      </c>
      <c r="J146" s="34">
        <f t="shared" si="149"/>
        <v>0</v>
      </c>
      <c r="K146" s="34">
        <f t="shared" si="150"/>
        <v>0</v>
      </c>
      <c r="L146" s="34">
        <f t="shared" si="151"/>
        <v>343671.83431212325</v>
      </c>
      <c r="M146" s="34">
        <f t="shared" si="152"/>
        <v>0</v>
      </c>
      <c r="N146" s="34">
        <f t="shared" si="153"/>
        <v>0</v>
      </c>
      <c r="O146" s="34">
        <f t="shared" si="154"/>
        <v>0</v>
      </c>
      <c r="P146" s="34">
        <f t="shared" si="155"/>
        <v>0</v>
      </c>
      <c r="Q146" s="34">
        <f t="shared" si="156"/>
        <v>0</v>
      </c>
      <c r="R146" s="34">
        <f t="shared" si="157"/>
        <v>0</v>
      </c>
      <c r="S146" s="34">
        <f t="shared" si="158"/>
        <v>0</v>
      </c>
      <c r="T146" s="26">
        <f t="shared" si="159"/>
        <v>0</v>
      </c>
    </row>
    <row r="147" spans="1:20" x14ac:dyDescent="0.2">
      <c r="A147" s="33">
        <f t="shared" si="160"/>
        <v>102</v>
      </c>
      <c r="B147" s="36">
        <v>44.3</v>
      </c>
      <c r="C147" s="33">
        <v>893</v>
      </c>
      <c r="G147" s="20" t="s">
        <v>350</v>
      </c>
      <c r="H147" s="34">
        <f>'FUN-2 (Test Year)'!I151</f>
        <v>115646.50305643356</v>
      </c>
      <c r="I147" s="34">
        <f t="shared" si="148"/>
        <v>0</v>
      </c>
      <c r="J147" s="34">
        <f t="shared" si="149"/>
        <v>0</v>
      </c>
      <c r="K147" s="34">
        <f t="shared" si="150"/>
        <v>0</v>
      </c>
      <c r="L147" s="34">
        <f t="shared" si="151"/>
        <v>0</v>
      </c>
      <c r="M147" s="34">
        <f t="shared" si="152"/>
        <v>102320.55867791934</v>
      </c>
      <c r="N147" s="34">
        <f t="shared" si="153"/>
        <v>13325.944378514219</v>
      </c>
      <c r="O147" s="34">
        <f t="shared" si="154"/>
        <v>0</v>
      </c>
      <c r="P147" s="34">
        <f t="shared" si="155"/>
        <v>0</v>
      </c>
      <c r="Q147" s="34">
        <f t="shared" si="156"/>
        <v>0</v>
      </c>
      <c r="R147" s="34">
        <f t="shared" si="157"/>
        <v>0</v>
      </c>
      <c r="S147" s="34">
        <f t="shared" si="158"/>
        <v>0</v>
      </c>
      <c r="T147" s="26">
        <f t="shared" si="159"/>
        <v>0</v>
      </c>
    </row>
    <row r="148" spans="1:20" x14ac:dyDescent="0.2">
      <c r="A148" s="35">
        <f t="shared" si="160"/>
        <v>103</v>
      </c>
      <c r="B148" s="38">
        <v>44</v>
      </c>
      <c r="C148" s="35">
        <v>894</v>
      </c>
      <c r="D148" s="23"/>
      <c r="E148" s="23"/>
      <c r="F148" s="23"/>
      <c r="G148" s="23" t="s">
        <v>319</v>
      </c>
      <c r="H148" s="9">
        <f>'FUN-2 (Test Year)'!I152</f>
        <v>0</v>
      </c>
      <c r="I148" s="9">
        <f t="shared" si="148"/>
        <v>0</v>
      </c>
      <c r="J148" s="9">
        <f t="shared" si="149"/>
        <v>0</v>
      </c>
      <c r="K148" s="9">
        <f t="shared" si="150"/>
        <v>0</v>
      </c>
      <c r="L148" s="9">
        <f t="shared" si="151"/>
        <v>0</v>
      </c>
      <c r="M148" s="9">
        <f t="shared" si="152"/>
        <v>0</v>
      </c>
      <c r="N148" s="9">
        <f t="shared" si="153"/>
        <v>0</v>
      </c>
      <c r="O148" s="9">
        <f t="shared" si="154"/>
        <v>0</v>
      </c>
      <c r="P148" s="9">
        <f t="shared" si="155"/>
        <v>0</v>
      </c>
      <c r="Q148" s="9">
        <f t="shared" si="156"/>
        <v>0</v>
      </c>
      <c r="R148" s="9">
        <f t="shared" si="157"/>
        <v>0</v>
      </c>
      <c r="S148" s="9">
        <f t="shared" si="158"/>
        <v>0</v>
      </c>
      <c r="T148" s="246">
        <f t="shared" si="159"/>
        <v>0</v>
      </c>
    </row>
    <row r="149" spans="1:20" x14ac:dyDescent="0.2">
      <c r="A149" s="33">
        <f t="shared" si="160"/>
        <v>104</v>
      </c>
      <c r="C149" s="33"/>
      <c r="D149" s="20" t="s">
        <v>185</v>
      </c>
      <c r="H149" s="34">
        <f t="shared" ref="H149:P149" si="161">SUM(H129:H148)</f>
        <v>7788596.2035639388</v>
      </c>
      <c r="I149" s="34">
        <f t="shared" si="161"/>
        <v>0</v>
      </c>
      <c r="J149" s="34">
        <f t="shared" si="161"/>
        <v>952675.46440579684</v>
      </c>
      <c r="K149" s="34">
        <f t="shared" si="161"/>
        <v>3020761.4621032528</v>
      </c>
      <c r="L149" s="34">
        <f t="shared" si="161"/>
        <v>2642736.4408533224</v>
      </c>
      <c r="M149" s="34">
        <f t="shared" si="161"/>
        <v>1046905.2972980298</v>
      </c>
      <c r="N149" s="34">
        <f t="shared" si="161"/>
        <v>123918.26607893826</v>
      </c>
      <c r="O149" s="34">
        <f t="shared" si="161"/>
        <v>1599.2728245988674</v>
      </c>
      <c r="P149" s="34">
        <f t="shared" si="161"/>
        <v>0</v>
      </c>
      <c r="Q149" s="34">
        <f t="shared" ref="Q149:S149" si="162">SUM(Q129:Q148)</f>
        <v>0</v>
      </c>
      <c r="R149" s="34">
        <f t="shared" si="162"/>
        <v>0</v>
      </c>
      <c r="S149" s="34">
        <f t="shared" si="162"/>
        <v>0</v>
      </c>
      <c r="T149" s="26">
        <f t="shared" si="159"/>
        <v>0</v>
      </c>
    </row>
    <row r="150" spans="1:20" x14ac:dyDescent="0.2">
      <c r="A150" s="33"/>
      <c r="C150" s="33"/>
      <c r="H150" s="271"/>
      <c r="T150" s="26"/>
    </row>
    <row r="151" spans="1:20" x14ac:dyDescent="0.2">
      <c r="A151" s="33"/>
      <c r="C151" s="33"/>
      <c r="D151" s="20" t="s">
        <v>104</v>
      </c>
      <c r="H151" s="26"/>
      <c r="T151" s="26"/>
    </row>
    <row r="152" spans="1:20" x14ac:dyDescent="0.2">
      <c r="A152" s="33">
        <f>+A149+1</f>
        <v>105</v>
      </c>
      <c r="B152" s="36">
        <v>59.1</v>
      </c>
      <c r="C152" s="33">
        <v>901</v>
      </c>
      <c r="G152" s="20" t="s">
        <v>103</v>
      </c>
      <c r="H152" s="34">
        <f>'FUN-2 (Test Year)'!I156</f>
        <v>290419.82267139427</v>
      </c>
      <c r="I152" s="34">
        <f t="shared" ref="I152:I157" si="163">INDEX(AlocTable,MATCH($B152,AlocList),3)*$H152</f>
        <v>0</v>
      </c>
      <c r="J152" s="34">
        <f t="shared" ref="J152:J157" si="164">INDEX(AlocTable,MATCH($B152,AlocList),4)*$H152</f>
        <v>0</v>
      </c>
      <c r="K152" s="34">
        <f t="shared" ref="K152:K157" si="165">INDEX(AlocTable,MATCH($B152,AlocList),5)*$H152</f>
        <v>0</v>
      </c>
      <c r="L152" s="34">
        <f t="shared" ref="L152:L157" si="166">INDEX(AlocTable,MATCH($B152,AlocList),6)*$H152</f>
        <v>0</v>
      </c>
      <c r="M152" s="34">
        <f t="shared" ref="M152:M157" si="167">INDEX(AlocTable,MATCH($B152,AlocList),7)*$H152</f>
        <v>46427.095204167679</v>
      </c>
      <c r="N152" s="34">
        <f t="shared" ref="N152:N157" si="168">INDEX(AlocTable,MATCH($B152,AlocList),8)*$H152</f>
        <v>0</v>
      </c>
      <c r="O152" s="34">
        <f t="shared" ref="O152:O157" si="169">INDEX(AlocTable,MATCH($B152,AlocList),9)*$H152</f>
        <v>0</v>
      </c>
      <c r="P152" s="34">
        <f t="shared" ref="P152:P157" si="170">INDEX(AlocTable,MATCH($B152,AlocList),10)*$H152</f>
        <v>232945.22397704489</v>
      </c>
      <c r="Q152" s="34">
        <f t="shared" ref="Q152:Q157" si="171">INDEX(AlocTable,MATCH($B152,AlocList),11)*$H152</f>
        <v>4338.7962167493242</v>
      </c>
      <c r="R152" s="34">
        <f t="shared" ref="R152:R157" si="172">INDEX(AlocTable,MATCH($B152,AlocList),12)*$H152</f>
        <v>6708.7072734323974</v>
      </c>
      <c r="S152" s="34">
        <f t="shared" ref="S152:S157" si="173">INDEX(AlocTable,MATCH($B152,AlocList),13)*$H152</f>
        <v>0</v>
      </c>
      <c r="T152" s="26">
        <f t="shared" ref="T152:T158" si="174">SUM(I152:S152)-H152</f>
        <v>0</v>
      </c>
    </row>
    <row r="153" spans="1:20" x14ac:dyDescent="0.2">
      <c r="A153" s="33">
        <f>+A152+1</f>
        <v>106</v>
      </c>
      <c r="B153" s="36">
        <v>1.4</v>
      </c>
      <c r="C153" s="33">
        <v>902</v>
      </c>
      <c r="G153" s="20" t="s">
        <v>102</v>
      </c>
      <c r="H153" s="34">
        <f>'FUN-2 (Test Year)'!I157</f>
        <v>529834.35653100722</v>
      </c>
      <c r="I153" s="34">
        <f t="shared" si="163"/>
        <v>0</v>
      </c>
      <c r="J153" s="34">
        <f t="shared" si="164"/>
        <v>0</v>
      </c>
      <c r="K153" s="34">
        <f t="shared" si="165"/>
        <v>0</v>
      </c>
      <c r="L153" s="34">
        <f t="shared" si="166"/>
        <v>0</v>
      </c>
      <c r="M153" s="34">
        <f t="shared" si="167"/>
        <v>529834.35653100722</v>
      </c>
      <c r="N153" s="34">
        <f t="shared" si="168"/>
        <v>0</v>
      </c>
      <c r="O153" s="34">
        <f t="shared" si="169"/>
        <v>0</v>
      </c>
      <c r="P153" s="34">
        <f t="shared" si="170"/>
        <v>0</v>
      </c>
      <c r="Q153" s="34">
        <f t="shared" si="171"/>
        <v>0</v>
      </c>
      <c r="R153" s="34">
        <f t="shared" si="172"/>
        <v>0</v>
      </c>
      <c r="S153" s="34">
        <f t="shared" si="173"/>
        <v>0</v>
      </c>
      <c r="T153" s="26">
        <f t="shared" si="174"/>
        <v>0</v>
      </c>
    </row>
    <row r="154" spans="1:20" x14ac:dyDescent="0.2">
      <c r="A154" s="33">
        <f t="shared" ref="A154:A157" si="175">+A153+1</f>
        <v>107</v>
      </c>
      <c r="B154" s="36">
        <v>1.7</v>
      </c>
      <c r="C154" s="33">
        <v>903</v>
      </c>
      <c r="G154" s="20" t="s">
        <v>101</v>
      </c>
      <c r="H154" s="34">
        <f>'FUN-2 (Test Year)'!I158</f>
        <v>2239187.9222962135</v>
      </c>
      <c r="I154" s="34">
        <f t="shared" si="163"/>
        <v>0</v>
      </c>
      <c r="J154" s="34">
        <f t="shared" si="164"/>
        <v>0</v>
      </c>
      <c r="K154" s="34">
        <f t="shared" si="165"/>
        <v>0</v>
      </c>
      <c r="L154" s="34">
        <f t="shared" si="166"/>
        <v>0</v>
      </c>
      <c r="M154" s="34">
        <f t="shared" si="167"/>
        <v>0</v>
      </c>
      <c r="N154" s="34">
        <f t="shared" si="168"/>
        <v>0</v>
      </c>
      <c r="O154" s="34">
        <f t="shared" si="169"/>
        <v>0</v>
      </c>
      <c r="P154" s="34">
        <f t="shared" si="170"/>
        <v>2239187.9222962135</v>
      </c>
      <c r="Q154" s="34">
        <f t="shared" si="171"/>
        <v>0</v>
      </c>
      <c r="R154" s="34">
        <f t="shared" si="172"/>
        <v>0</v>
      </c>
      <c r="S154" s="34">
        <f t="shared" si="173"/>
        <v>0</v>
      </c>
      <c r="T154" s="26">
        <f t="shared" si="174"/>
        <v>0</v>
      </c>
    </row>
    <row r="155" spans="1:20" x14ac:dyDescent="0.2">
      <c r="A155" s="33">
        <f t="shared" si="175"/>
        <v>108</v>
      </c>
      <c r="B155" s="36">
        <v>1.7</v>
      </c>
      <c r="C155" s="33">
        <v>904</v>
      </c>
      <c r="G155" s="20" t="s">
        <v>100</v>
      </c>
      <c r="H155" s="34">
        <f>'FUN-2 (Test Year)'!I159</f>
        <v>381974.5</v>
      </c>
      <c r="I155" s="34">
        <f t="shared" si="163"/>
        <v>0</v>
      </c>
      <c r="J155" s="34">
        <f t="shared" si="164"/>
        <v>0</v>
      </c>
      <c r="K155" s="34">
        <f t="shared" si="165"/>
        <v>0</v>
      </c>
      <c r="L155" s="34">
        <f t="shared" si="166"/>
        <v>0</v>
      </c>
      <c r="M155" s="34">
        <f t="shared" si="167"/>
        <v>0</v>
      </c>
      <c r="N155" s="34">
        <f t="shared" si="168"/>
        <v>0</v>
      </c>
      <c r="O155" s="34">
        <f t="shared" si="169"/>
        <v>0</v>
      </c>
      <c r="P155" s="34">
        <f t="shared" si="170"/>
        <v>381974.5</v>
      </c>
      <c r="Q155" s="34">
        <f t="shared" si="171"/>
        <v>0</v>
      </c>
      <c r="R155" s="34">
        <f t="shared" si="172"/>
        <v>0</v>
      </c>
      <c r="S155" s="34">
        <f t="shared" si="173"/>
        <v>0</v>
      </c>
      <c r="T155" s="26">
        <f t="shared" ref="T155" si="176">SUM(I155:S155)-H155</f>
        <v>0</v>
      </c>
    </row>
    <row r="156" spans="1:20" x14ac:dyDescent="0.2">
      <c r="A156" s="33">
        <f t="shared" si="175"/>
        <v>109</v>
      </c>
      <c r="B156" s="36">
        <v>1.7</v>
      </c>
      <c r="C156" s="33">
        <v>905</v>
      </c>
      <c r="G156" s="20" t="s">
        <v>92</v>
      </c>
      <c r="H156" s="34">
        <f>'FUN-2 (Test Year)'!I160</f>
        <v>37250.349601036825</v>
      </c>
      <c r="I156" s="34">
        <f t="shared" si="163"/>
        <v>0</v>
      </c>
      <c r="J156" s="34">
        <f t="shared" si="164"/>
        <v>0</v>
      </c>
      <c r="K156" s="34">
        <f t="shared" si="165"/>
        <v>0</v>
      </c>
      <c r="L156" s="34">
        <f t="shared" si="166"/>
        <v>0</v>
      </c>
      <c r="M156" s="34">
        <f t="shared" si="167"/>
        <v>0</v>
      </c>
      <c r="N156" s="34">
        <f t="shared" si="168"/>
        <v>0</v>
      </c>
      <c r="O156" s="34">
        <f t="shared" si="169"/>
        <v>0</v>
      </c>
      <c r="P156" s="34">
        <f t="shared" si="170"/>
        <v>37250.349601036825</v>
      </c>
      <c r="Q156" s="34">
        <f t="shared" si="171"/>
        <v>0</v>
      </c>
      <c r="R156" s="34">
        <f t="shared" si="172"/>
        <v>0</v>
      </c>
      <c r="S156" s="34">
        <f t="shared" si="173"/>
        <v>0</v>
      </c>
      <c r="T156" s="26">
        <f t="shared" si="174"/>
        <v>0</v>
      </c>
    </row>
    <row r="157" spans="1:20" x14ac:dyDescent="0.2">
      <c r="A157" s="35">
        <f t="shared" si="175"/>
        <v>110</v>
      </c>
      <c r="B157" s="38">
        <v>1.8</v>
      </c>
      <c r="C157" s="35" t="s">
        <v>255</v>
      </c>
      <c r="D157" s="23"/>
      <c r="E157" s="23"/>
      <c r="F157" s="23"/>
      <c r="G157" s="23" t="s">
        <v>352</v>
      </c>
      <c r="H157" s="9">
        <f>'FUN-2 (Test Year)'!I161</f>
        <v>126076.09580685213</v>
      </c>
      <c r="I157" s="9">
        <f t="shared" si="163"/>
        <v>0</v>
      </c>
      <c r="J157" s="9">
        <f t="shared" si="164"/>
        <v>0</v>
      </c>
      <c r="K157" s="9">
        <f t="shared" si="165"/>
        <v>0</v>
      </c>
      <c r="L157" s="9">
        <f t="shared" si="166"/>
        <v>0</v>
      </c>
      <c r="M157" s="9">
        <f t="shared" si="167"/>
        <v>0</v>
      </c>
      <c r="N157" s="9">
        <f t="shared" si="168"/>
        <v>0</v>
      </c>
      <c r="O157" s="9">
        <f t="shared" si="169"/>
        <v>0</v>
      </c>
      <c r="P157" s="9">
        <f t="shared" si="170"/>
        <v>0</v>
      </c>
      <c r="Q157" s="9">
        <f t="shared" si="171"/>
        <v>49515.12239805569</v>
      </c>
      <c r="R157" s="9">
        <f t="shared" si="172"/>
        <v>76560.973408796432</v>
      </c>
      <c r="S157" s="9">
        <f t="shared" si="173"/>
        <v>0</v>
      </c>
      <c r="T157" s="246">
        <f t="shared" si="174"/>
        <v>0</v>
      </c>
    </row>
    <row r="158" spans="1:20" x14ac:dyDescent="0.2">
      <c r="A158" s="33">
        <f>+A157+1</f>
        <v>111</v>
      </c>
      <c r="C158" s="33"/>
      <c r="D158" s="20" t="s">
        <v>99</v>
      </c>
      <c r="H158" s="34">
        <f t="shared" ref="H158:P158" si="177">SUM(H152:H157)</f>
        <v>3604743.0469065038</v>
      </c>
      <c r="I158" s="34">
        <f t="shared" si="177"/>
        <v>0</v>
      </c>
      <c r="J158" s="34">
        <f t="shared" si="177"/>
        <v>0</v>
      </c>
      <c r="K158" s="34">
        <f t="shared" si="177"/>
        <v>0</v>
      </c>
      <c r="L158" s="34">
        <f t="shared" si="177"/>
        <v>0</v>
      </c>
      <c r="M158" s="34">
        <f t="shared" si="177"/>
        <v>576261.45173517487</v>
      </c>
      <c r="N158" s="34">
        <f t="shared" si="177"/>
        <v>0</v>
      </c>
      <c r="O158" s="34">
        <f t="shared" si="177"/>
        <v>0</v>
      </c>
      <c r="P158" s="34">
        <f t="shared" si="177"/>
        <v>2891357.995874295</v>
      </c>
      <c r="Q158" s="34">
        <f t="shared" ref="Q158:S158" si="178">SUM(Q152:Q157)</f>
        <v>53853.918614805014</v>
      </c>
      <c r="R158" s="34">
        <f t="shared" si="178"/>
        <v>83269.680682228834</v>
      </c>
      <c r="S158" s="34">
        <f t="shared" si="178"/>
        <v>0</v>
      </c>
      <c r="T158" s="26">
        <f t="shared" si="174"/>
        <v>0</v>
      </c>
    </row>
    <row r="159" spans="1:20" x14ac:dyDescent="0.2">
      <c r="A159" s="33"/>
      <c r="C159" s="33"/>
      <c r="H159" s="271"/>
      <c r="T159" s="26"/>
    </row>
    <row r="160" spans="1:20" x14ac:dyDescent="0.2">
      <c r="A160" s="33"/>
      <c r="C160" s="33"/>
      <c r="D160" s="20" t="s">
        <v>98</v>
      </c>
      <c r="T160" s="26"/>
    </row>
    <row r="161" spans="1:20" x14ac:dyDescent="0.2">
      <c r="A161" s="33">
        <f>+A158+1</f>
        <v>112</v>
      </c>
      <c r="B161" s="36">
        <v>1.7</v>
      </c>
      <c r="C161" s="33">
        <v>908</v>
      </c>
      <c r="G161" s="20" t="s">
        <v>97</v>
      </c>
      <c r="H161" s="34">
        <f>'FUN-2 (Test Year)'!I165</f>
        <v>1533.87</v>
      </c>
      <c r="I161" s="34">
        <f>INDEX(AlocTable,MATCH($B161,AlocList),3)*$H161</f>
        <v>0</v>
      </c>
      <c r="J161" s="34">
        <f>INDEX(AlocTable,MATCH($B161,AlocList),4)*$H161</f>
        <v>0</v>
      </c>
      <c r="K161" s="34">
        <f>INDEX(AlocTable,MATCH($B161,AlocList),5)*$H161</f>
        <v>0</v>
      </c>
      <c r="L161" s="34">
        <f>INDEX(AlocTable,MATCH($B161,AlocList),6)*$H161</f>
        <v>0</v>
      </c>
      <c r="M161" s="34">
        <f>INDEX(AlocTable,MATCH($B161,AlocList),7)*$H161</f>
        <v>0</v>
      </c>
      <c r="N161" s="34">
        <f>INDEX(AlocTable,MATCH($B161,AlocList),8)*$H161</f>
        <v>0</v>
      </c>
      <c r="O161" s="34">
        <f>INDEX(AlocTable,MATCH($B161,AlocList),9)*$H161</f>
        <v>0</v>
      </c>
      <c r="P161" s="34">
        <f>INDEX(AlocTable,MATCH($B161,AlocList),10)*$H161</f>
        <v>1533.87</v>
      </c>
      <c r="Q161" s="34">
        <f>INDEX(AlocTable,MATCH($B161,AlocList),11)*$H161</f>
        <v>0</v>
      </c>
      <c r="R161" s="34">
        <f>INDEX(AlocTable,MATCH($B161,AlocList),12)*$H161</f>
        <v>0</v>
      </c>
      <c r="S161" s="34">
        <f>INDEX(AlocTable,MATCH($B161,AlocList),13)*$H161</f>
        <v>0</v>
      </c>
      <c r="T161" s="26">
        <f t="shared" ref="T161:T164" si="179">SUM(I161:S161)-H161</f>
        <v>0</v>
      </c>
    </row>
    <row r="162" spans="1:20" x14ac:dyDescent="0.2">
      <c r="A162" s="33">
        <f>+A161+1</f>
        <v>113</v>
      </c>
      <c r="B162" s="36">
        <v>1.7</v>
      </c>
      <c r="C162" s="33">
        <v>909</v>
      </c>
      <c r="G162" s="20" t="s">
        <v>96</v>
      </c>
      <c r="H162" s="34">
        <f>'FUN-2 (Test Year)'!I166</f>
        <v>8110.08</v>
      </c>
      <c r="I162" s="34">
        <f>INDEX(AlocTable,MATCH($B162,AlocList),3)*$H162</f>
        <v>0</v>
      </c>
      <c r="J162" s="34">
        <f>INDEX(AlocTable,MATCH($B162,AlocList),4)*$H162</f>
        <v>0</v>
      </c>
      <c r="K162" s="34">
        <f>INDEX(AlocTable,MATCH($B162,AlocList),5)*$H162</f>
        <v>0</v>
      </c>
      <c r="L162" s="34">
        <f>INDEX(AlocTable,MATCH($B162,AlocList),6)*$H162</f>
        <v>0</v>
      </c>
      <c r="M162" s="34">
        <f>INDEX(AlocTable,MATCH($B162,AlocList),7)*$H162</f>
        <v>0</v>
      </c>
      <c r="N162" s="34">
        <f>INDEX(AlocTable,MATCH($B162,AlocList),8)*$H162</f>
        <v>0</v>
      </c>
      <c r="O162" s="34">
        <f>INDEX(AlocTable,MATCH($B162,AlocList),9)*$H162</f>
        <v>0</v>
      </c>
      <c r="P162" s="34">
        <f>INDEX(AlocTable,MATCH($B162,AlocList),10)*$H162</f>
        <v>8110.08</v>
      </c>
      <c r="Q162" s="34">
        <f>INDEX(AlocTable,MATCH($B162,AlocList),11)*$H162</f>
        <v>0</v>
      </c>
      <c r="R162" s="34">
        <f>INDEX(AlocTable,MATCH($B162,AlocList),12)*$H162</f>
        <v>0</v>
      </c>
      <c r="S162" s="34">
        <f>INDEX(AlocTable,MATCH($B162,AlocList),13)*$H162</f>
        <v>0</v>
      </c>
      <c r="T162" s="26">
        <f t="shared" si="179"/>
        <v>0</v>
      </c>
    </row>
    <row r="163" spans="1:20" x14ac:dyDescent="0.2">
      <c r="A163" s="35">
        <f t="shared" ref="A163:A164" si="180">+A162+1</f>
        <v>114</v>
      </c>
      <c r="B163" s="38">
        <v>1.7</v>
      </c>
      <c r="C163" s="35">
        <v>910</v>
      </c>
      <c r="D163" s="23"/>
      <c r="E163" s="23"/>
      <c r="F163" s="23"/>
      <c r="G163" s="23" t="s">
        <v>92</v>
      </c>
      <c r="H163" s="9">
        <f>'FUN-2 (Test Year)'!I167</f>
        <v>1741.42</v>
      </c>
      <c r="I163" s="9">
        <f>INDEX(AlocTable,MATCH($B163,AlocList),3)*$H163</f>
        <v>0</v>
      </c>
      <c r="J163" s="9">
        <f>INDEX(AlocTable,MATCH($B163,AlocList),4)*$H163</f>
        <v>0</v>
      </c>
      <c r="K163" s="9">
        <f>INDEX(AlocTable,MATCH($B163,AlocList),5)*$H163</f>
        <v>0</v>
      </c>
      <c r="L163" s="9">
        <f>INDEX(AlocTable,MATCH($B163,AlocList),6)*$H163</f>
        <v>0</v>
      </c>
      <c r="M163" s="9">
        <f>INDEX(AlocTable,MATCH($B163,AlocList),7)*$H163</f>
        <v>0</v>
      </c>
      <c r="N163" s="9">
        <f>INDEX(AlocTable,MATCH($B163,AlocList),8)*$H163</f>
        <v>0</v>
      </c>
      <c r="O163" s="9">
        <f>INDEX(AlocTable,MATCH($B163,AlocList),9)*$H163</f>
        <v>0</v>
      </c>
      <c r="P163" s="9">
        <f>INDEX(AlocTable,MATCH($B163,AlocList),10)*$H163</f>
        <v>1741.42</v>
      </c>
      <c r="Q163" s="9">
        <f>INDEX(AlocTable,MATCH($B163,AlocList),11)*$H163</f>
        <v>0</v>
      </c>
      <c r="R163" s="9">
        <f>INDEX(AlocTable,MATCH($B163,AlocList),12)*$H163</f>
        <v>0</v>
      </c>
      <c r="S163" s="9">
        <f>INDEX(AlocTable,MATCH($B163,AlocList),13)*$H163</f>
        <v>0</v>
      </c>
      <c r="T163" s="246">
        <f t="shared" si="179"/>
        <v>0</v>
      </c>
    </row>
    <row r="164" spans="1:20" x14ac:dyDescent="0.2">
      <c r="A164" s="33">
        <f t="shared" si="180"/>
        <v>115</v>
      </c>
      <c r="C164" s="33"/>
      <c r="D164" s="20" t="s">
        <v>95</v>
      </c>
      <c r="H164" s="34">
        <f t="shared" ref="H164:S164" si="181">SUM(H161:H163)</f>
        <v>11385.37</v>
      </c>
      <c r="I164" s="34">
        <f t="shared" si="181"/>
        <v>0</v>
      </c>
      <c r="J164" s="34">
        <f t="shared" si="181"/>
        <v>0</v>
      </c>
      <c r="K164" s="34">
        <f t="shared" si="181"/>
        <v>0</v>
      </c>
      <c r="L164" s="34">
        <f t="shared" si="181"/>
        <v>0</v>
      </c>
      <c r="M164" s="34">
        <f t="shared" si="181"/>
        <v>0</v>
      </c>
      <c r="N164" s="34">
        <f t="shared" si="181"/>
        <v>0</v>
      </c>
      <c r="O164" s="34">
        <f t="shared" si="181"/>
        <v>0</v>
      </c>
      <c r="P164" s="34">
        <f t="shared" si="181"/>
        <v>11385.37</v>
      </c>
      <c r="Q164" s="34">
        <f t="shared" ref="Q164:R164" si="182">SUM(Q161:Q163)</f>
        <v>0</v>
      </c>
      <c r="R164" s="34">
        <f t="shared" si="182"/>
        <v>0</v>
      </c>
      <c r="S164" s="34">
        <f t="shared" si="181"/>
        <v>0</v>
      </c>
      <c r="T164" s="26">
        <f t="shared" si="179"/>
        <v>0</v>
      </c>
    </row>
    <row r="165" spans="1:20" x14ac:dyDescent="0.2">
      <c r="A165" s="33"/>
      <c r="C165" s="33"/>
      <c r="T165" s="26"/>
    </row>
    <row r="166" spans="1:20" x14ac:dyDescent="0.2">
      <c r="A166" s="33"/>
      <c r="C166" s="33"/>
      <c r="D166" s="20" t="s">
        <v>94</v>
      </c>
      <c r="T166" s="26"/>
    </row>
    <row r="167" spans="1:20" x14ac:dyDescent="0.2">
      <c r="A167" s="33">
        <f>+A164+1</f>
        <v>116</v>
      </c>
      <c r="B167" s="36">
        <v>1.7</v>
      </c>
      <c r="C167" s="33">
        <v>912</v>
      </c>
      <c r="G167" s="20" t="s">
        <v>93</v>
      </c>
      <c r="H167" s="34">
        <f>'FUN-2 (Test Year)'!I171</f>
        <v>92888.055115941461</v>
      </c>
      <c r="I167" s="34">
        <f>INDEX(AlocTable,MATCH($B167,AlocList),3)*$H167</f>
        <v>0</v>
      </c>
      <c r="J167" s="34">
        <f>INDEX(AlocTable,MATCH($B167,AlocList),4)*$H167</f>
        <v>0</v>
      </c>
      <c r="K167" s="34">
        <f>INDEX(AlocTable,MATCH($B167,AlocList),5)*$H167</f>
        <v>0</v>
      </c>
      <c r="L167" s="34">
        <f>INDEX(AlocTable,MATCH($B167,AlocList),6)*$H167</f>
        <v>0</v>
      </c>
      <c r="M167" s="34">
        <f>INDEX(AlocTable,MATCH($B167,AlocList),7)*$H167</f>
        <v>0</v>
      </c>
      <c r="N167" s="34">
        <f>INDEX(AlocTable,MATCH($B167,AlocList),8)*$H167</f>
        <v>0</v>
      </c>
      <c r="O167" s="34">
        <f>INDEX(AlocTable,MATCH($B167,AlocList),9)*$H167</f>
        <v>0</v>
      </c>
      <c r="P167" s="34">
        <f>INDEX(AlocTable,MATCH($B167,AlocList),10)*$H167</f>
        <v>92888.055115941461</v>
      </c>
      <c r="Q167" s="34">
        <f>INDEX(AlocTable,MATCH($B167,AlocList),11)*$H167</f>
        <v>0</v>
      </c>
      <c r="R167" s="34">
        <f>INDEX(AlocTable,MATCH($B167,AlocList),12)*$H167</f>
        <v>0</v>
      </c>
      <c r="S167" s="34">
        <f>INDEX(AlocTable,MATCH($B167,AlocList),13)*$H167</f>
        <v>0</v>
      </c>
      <c r="T167" s="26">
        <f t="shared" ref="T167:T169" si="183">SUM(I167:S167)-H167</f>
        <v>0</v>
      </c>
    </row>
    <row r="168" spans="1:20" x14ac:dyDescent="0.2">
      <c r="A168" s="35">
        <f>+A167+1</f>
        <v>117</v>
      </c>
      <c r="B168" s="38">
        <v>1.7</v>
      </c>
      <c r="C168" s="35">
        <v>916</v>
      </c>
      <c r="D168" s="23"/>
      <c r="E168" s="23"/>
      <c r="F168" s="23"/>
      <c r="G168" s="23" t="s">
        <v>92</v>
      </c>
      <c r="H168" s="9">
        <f>'FUN-2 (Test Year)'!I172</f>
        <v>31963.981366757034</v>
      </c>
      <c r="I168" s="9">
        <f>INDEX(AlocTable,MATCH($B168,AlocList),3)*$H168</f>
        <v>0</v>
      </c>
      <c r="J168" s="9">
        <f>INDEX(AlocTable,MATCH($B168,AlocList),4)*$H168</f>
        <v>0</v>
      </c>
      <c r="K168" s="9">
        <f>INDEX(AlocTable,MATCH($B168,AlocList),5)*$H168</f>
        <v>0</v>
      </c>
      <c r="L168" s="9">
        <f>INDEX(AlocTable,MATCH($B168,AlocList),6)*$H168</f>
        <v>0</v>
      </c>
      <c r="M168" s="9">
        <f>INDEX(AlocTable,MATCH($B168,AlocList),7)*$H168</f>
        <v>0</v>
      </c>
      <c r="N168" s="9">
        <f>INDEX(AlocTable,MATCH($B168,AlocList),8)*$H168</f>
        <v>0</v>
      </c>
      <c r="O168" s="9">
        <f>INDEX(AlocTable,MATCH($B168,AlocList),9)*$H168</f>
        <v>0</v>
      </c>
      <c r="P168" s="9">
        <f>INDEX(AlocTable,MATCH($B168,AlocList),10)*$H168</f>
        <v>31963.981366757034</v>
      </c>
      <c r="Q168" s="9">
        <f>INDEX(AlocTable,MATCH($B168,AlocList),11)*$H168</f>
        <v>0</v>
      </c>
      <c r="R168" s="9">
        <f>INDEX(AlocTable,MATCH($B168,AlocList),12)*$H168</f>
        <v>0</v>
      </c>
      <c r="S168" s="9">
        <f>INDEX(AlocTable,MATCH($B168,AlocList),13)*$H168</f>
        <v>0</v>
      </c>
      <c r="T168" s="246">
        <f t="shared" si="183"/>
        <v>0</v>
      </c>
    </row>
    <row r="169" spans="1:20" x14ac:dyDescent="0.2">
      <c r="A169" s="33">
        <f>+A168+1</f>
        <v>118</v>
      </c>
      <c r="C169" s="33"/>
      <c r="D169" s="20" t="s">
        <v>91</v>
      </c>
      <c r="H169" s="34">
        <f t="shared" ref="H169:S169" si="184">SUM(H167:H168)</f>
        <v>124852.03648269849</v>
      </c>
      <c r="I169" s="34">
        <f t="shared" si="184"/>
        <v>0</v>
      </c>
      <c r="J169" s="34">
        <f t="shared" si="184"/>
        <v>0</v>
      </c>
      <c r="K169" s="34">
        <f t="shared" si="184"/>
        <v>0</v>
      </c>
      <c r="L169" s="34">
        <f t="shared" si="184"/>
        <v>0</v>
      </c>
      <c r="M169" s="34">
        <f t="shared" si="184"/>
        <v>0</v>
      </c>
      <c r="N169" s="34">
        <f t="shared" si="184"/>
        <v>0</v>
      </c>
      <c r="O169" s="34">
        <f t="shared" si="184"/>
        <v>0</v>
      </c>
      <c r="P169" s="34">
        <f t="shared" si="184"/>
        <v>124852.03648269849</v>
      </c>
      <c r="Q169" s="34">
        <f t="shared" ref="Q169:R169" si="185">SUM(Q167:Q168)</f>
        <v>0</v>
      </c>
      <c r="R169" s="34">
        <f t="shared" si="185"/>
        <v>0</v>
      </c>
      <c r="S169" s="34">
        <f t="shared" si="184"/>
        <v>0</v>
      </c>
      <c r="T169" s="26">
        <f t="shared" si="183"/>
        <v>0</v>
      </c>
    </row>
    <row r="170" spans="1:20" x14ac:dyDescent="0.2">
      <c r="A170" s="33"/>
      <c r="C170" s="33"/>
      <c r="T170" s="26"/>
    </row>
    <row r="171" spans="1:20" x14ac:dyDescent="0.2">
      <c r="A171" s="33"/>
      <c r="C171" s="33"/>
      <c r="D171" s="20" t="s">
        <v>90</v>
      </c>
      <c r="T171" s="26"/>
    </row>
    <row r="172" spans="1:20" x14ac:dyDescent="0.2">
      <c r="A172" s="33"/>
      <c r="C172" s="33"/>
      <c r="F172" s="20" t="s">
        <v>89</v>
      </c>
      <c r="T172" s="26"/>
    </row>
    <row r="173" spans="1:20" x14ac:dyDescent="0.2">
      <c r="A173" s="33">
        <f>+A169+1</f>
        <v>119</v>
      </c>
      <c r="B173" s="36">
        <v>40</v>
      </c>
      <c r="C173" s="33">
        <v>920</v>
      </c>
      <c r="G173" s="20" t="s">
        <v>88</v>
      </c>
      <c r="H173" s="34">
        <f>'FUN-2 (Test Year)'!I177</f>
        <v>817092.74286462483</v>
      </c>
      <c r="I173" s="34">
        <f t="shared" ref="I173:I183" si="186">INDEX(AlocTable,MATCH($B173,AlocList),3)*$H173</f>
        <v>23339.310775360354</v>
      </c>
      <c r="J173" s="34">
        <f t="shared" ref="J173:J183" si="187">INDEX(AlocTable,MATCH($B173,AlocList),4)*$H173</f>
        <v>66647.075152828329</v>
      </c>
      <c r="K173" s="34">
        <f t="shared" ref="K173:K183" si="188">INDEX(AlocTable,MATCH($B173,AlocList),5)*$H173</f>
        <v>211325.8121002765</v>
      </c>
      <c r="L173" s="34">
        <f t="shared" ref="L173:L183" si="189">INDEX(AlocTable,MATCH($B173,AlocList),6)*$H173</f>
        <v>184883.1540177186</v>
      </c>
      <c r="M173" s="34">
        <f t="shared" ref="M173:M183" si="190">INDEX(AlocTable,MATCH($B173,AlocList),7)*$H173</f>
        <v>113577.46193412071</v>
      </c>
      <c r="N173" s="34">
        <f t="shared" ref="N173:N183" si="191">INDEX(AlocTable,MATCH($B173,AlocList),8)*$H173</f>
        <v>8663.2661834124719</v>
      </c>
      <c r="O173" s="34">
        <f t="shared" ref="O173:O183" si="192">INDEX(AlocTable,MATCH($B173,AlocList),9)*$H173</f>
        <v>111.30510492277109</v>
      </c>
      <c r="P173" s="34">
        <f t="shared" ref="P173:P183" si="193">INDEX(AlocTable,MATCH($B173,AlocList),10)*$H173</f>
        <v>185352.37834578136</v>
      </c>
      <c r="Q173" s="34">
        <f t="shared" ref="Q173:Q183" si="194">INDEX(AlocTable,MATCH($B173,AlocList),11)*$H173</f>
        <v>3773.0091600052365</v>
      </c>
      <c r="R173" s="34">
        <f t="shared" ref="R173:R183" si="195">INDEX(AlocTable,MATCH($B173,AlocList),12)*$H173</f>
        <v>5833.8794287550654</v>
      </c>
      <c r="S173" s="34">
        <f t="shared" ref="S173:S183" si="196">INDEX(AlocTable,MATCH($B173,AlocList),13)*$H173</f>
        <v>13586.090661443401</v>
      </c>
      <c r="T173" s="26">
        <f t="shared" ref="T173:T186" si="197">SUM(I173:S173)-H173</f>
        <v>0</v>
      </c>
    </row>
    <row r="174" spans="1:20" x14ac:dyDescent="0.2">
      <c r="A174" s="33">
        <f>+A173+1</f>
        <v>120</v>
      </c>
      <c r="B174" s="36">
        <v>40</v>
      </c>
      <c r="C174" s="33">
        <v>921</v>
      </c>
      <c r="G174" s="20" t="s">
        <v>87</v>
      </c>
      <c r="H174" s="34">
        <f>'FUN-2 (Test Year)'!I178</f>
        <v>131504.54</v>
      </c>
      <c r="I174" s="34">
        <f t="shared" si="186"/>
        <v>3756.2753484634895</v>
      </c>
      <c r="J174" s="34">
        <f t="shared" si="187"/>
        <v>10726.31355112916</v>
      </c>
      <c r="K174" s="34">
        <f t="shared" si="188"/>
        <v>34011.198793595904</v>
      </c>
      <c r="L174" s="34">
        <f t="shared" si="189"/>
        <v>29755.464523661041</v>
      </c>
      <c r="M174" s="34">
        <f t="shared" si="190"/>
        <v>18279.383847726363</v>
      </c>
      <c r="N174" s="34">
        <f t="shared" si="191"/>
        <v>1394.2833837357482</v>
      </c>
      <c r="O174" s="34">
        <f t="shared" si="192"/>
        <v>17.913666166223454</v>
      </c>
      <c r="P174" s="34">
        <f t="shared" si="193"/>
        <v>29830.98242534056</v>
      </c>
      <c r="Q174" s="34">
        <f t="shared" si="194"/>
        <v>607.23563920390825</v>
      </c>
      <c r="R174" s="34">
        <f t="shared" si="195"/>
        <v>938.91622143681639</v>
      </c>
      <c r="S174" s="34">
        <f t="shared" si="196"/>
        <v>2186.572599540782</v>
      </c>
      <c r="T174" s="26">
        <f t="shared" si="197"/>
        <v>0</v>
      </c>
    </row>
    <row r="175" spans="1:20" x14ac:dyDescent="0.2">
      <c r="A175" s="33">
        <f t="shared" ref="A175:A183" si="198">+A174+1</f>
        <v>121</v>
      </c>
      <c r="B175" s="36">
        <v>40</v>
      </c>
      <c r="C175" s="33">
        <v>922</v>
      </c>
      <c r="G175" s="20" t="s">
        <v>86</v>
      </c>
      <c r="H175" s="34">
        <f>'FUN-2 (Test Year)'!I179</f>
        <v>-546201.02086529497</v>
      </c>
      <c r="I175" s="34">
        <f t="shared" si="186"/>
        <v>-15601.601511110563</v>
      </c>
      <c r="J175" s="34">
        <f t="shared" si="187"/>
        <v>-44551.491619589666</v>
      </c>
      <c r="K175" s="34">
        <f t="shared" si="188"/>
        <v>-141264.71604641611</v>
      </c>
      <c r="L175" s="34">
        <f t="shared" si="189"/>
        <v>-123588.62362580583</v>
      </c>
      <c r="M175" s="34">
        <f t="shared" si="190"/>
        <v>-75922.991848165271</v>
      </c>
      <c r="N175" s="34">
        <f t="shared" si="191"/>
        <v>-5791.123314616997</v>
      </c>
      <c r="O175" s="34">
        <f t="shared" si="192"/>
        <v>-74.403992040361075</v>
      </c>
      <c r="P175" s="34">
        <f t="shared" si="193"/>
        <v>-123902.28545824872</v>
      </c>
      <c r="Q175" s="34">
        <f t="shared" si="194"/>
        <v>-2522.1389773992942</v>
      </c>
      <c r="R175" s="34">
        <f t="shared" si="195"/>
        <v>-3899.7664921361225</v>
      </c>
      <c r="S175" s="34">
        <f t="shared" si="196"/>
        <v>-9081.8779797659972</v>
      </c>
      <c r="T175" s="26">
        <f t="shared" si="197"/>
        <v>0</v>
      </c>
    </row>
    <row r="176" spans="1:20" x14ac:dyDescent="0.2">
      <c r="A176" s="33">
        <f t="shared" si="198"/>
        <v>122</v>
      </c>
      <c r="B176" s="36">
        <v>40</v>
      </c>
      <c r="C176" s="33">
        <v>923</v>
      </c>
      <c r="G176" s="20" t="s">
        <v>85</v>
      </c>
      <c r="H176" s="34">
        <f>'FUN-2 (Test Year)'!I180</f>
        <v>261183.96</v>
      </c>
      <c r="I176" s="34">
        <f t="shared" si="186"/>
        <v>7460.4182514312743</v>
      </c>
      <c r="J176" s="34">
        <f t="shared" si="187"/>
        <v>21303.759166684104</v>
      </c>
      <c r="K176" s="34">
        <f t="shared" si="188"/>
        <v>67550.36430878051</v>
      </c>
      <c r="L176" s="34">
        <f t="shared" si="189"/>
        <v>59097.960085098988</v>
      </c>
      <c r="M176" s="34">
        <f t="shared" si="190"/>
        <v>36305.072507072444</v>
      </c>
      <c r="N176" s="34">
        <f t="shared" si="191"/>
        <v>2769.2158424819577</v>
      </c>
      <c r="O176" s="34">
        <f t="shared" si="192"/>
        <v>35.578712852136206</v>
      </c>
      <c r="P176" s="34">
        <f t="shared" si="193"/>
        <v>59247.947793595959</v>
      </c>
      <c r="Q176" s="34">
        <f t="shared" si="194"/>
        <v>1206.0436004749949</v>
      </c>
      <c r="R176" s="34">
        <f t="shared" si="195"/>
        <v>1864.8014496161468</v>
      </c>
      <c r="S176" s="34">
        <f t="shared" si="196"/>
        <v>4342.7982819114495</v>
      </c>
      <c r="T176" s="26">
        <f t="shared" si="197"/>
        <v>0</v>
      </c>
    </row>
    <row r="177" spans="1:20" x14ac:dyDescent="0.2">
      <c r="A177" s="33">
        <f t="shared" si="198"/>
        <v>123</v>
      </c>
      <c r="B177" s="36">
        <v>47</v>
      </c>
      <c r="C177" s="33">
        <v>924</v>
      </c>
      <c r="G177" s="20" t="s">
        <v>84</v>
      </c>
      <c r="H177" s="34">
        <f>'FUN-2 (Test Year)'!I181</f>
        <v>13246.204620369279</v>
      </c>
      <c r="I177" s="34">
        <f t="shared" si="186"/>
        <v>222.10694548937852</v>
      </c>
      <c r="J177" s="34">
        <f t="shared" si="187"/>
        <v>1478.8964420016423</v>
      </c>
      <c r="K177" s="34">
        <f t="shared" si="188"/>
        <v>4689.3129353620789</v>
      </c>
      <c r="L177" s="34">
        <f t="shared" si="189"/>
        <v>4058.2948342052746</v>
      </c>
      <c r="M177" s="34">
        <f t="shared" si="190"/>
        <v>2177.7500487776992</v>
      </c>
      <c r="N177" s="34">
        <f t="shared" si="191"/>
        <v>273.76496876510834</v>
      </c>
      <c r="O177" s="34">
        <f t="shared" si="192"/>
        <v>10.597847166004037</v>
      </c>
      <c r="P177" s="34">
        <f t="shared" si="193"/>
        <v>298.17075554483904</v>
      </c>
      <c r="Q177" s="34">
        <f t="shared" si="194"/>
        <v>6.0695255273047053</v>
      </c>
      <c r="R177" s="34">
        <f t="shared" si="195"/>
        <v>9.3847850918012412</v>
      </c>
      <c r="S177" s="34">
        <f t="shared" si="196"/>
        <v>21.855532438143449</v>
      </c>
      <c r="T177" s="26">
        <f t="shared" si="197"/>
        <v>0</v>
      </c>
    </row>
    <row r="178" spans="1:20" x14ac:dyDescent="0.2">
      <c r="A178" s="33">
        <f t="shared" si="198"/>
        <v>124</v>
      </c>
      <c r="B178" s="36">
        <v>40</v>
      </c>
      <c r="C178" s="33">
        <v>925</v>
      </c>
      <c r="G178" s="20" t="s">
        <v>83</v>
      </c>
      <c r="H178" s="34">
        <f>'FUN-2 (Test Year)'!I182</f>
        <v>610390.75899461436</v>
      </c>
      <c r="I178" s="34">
        <f t="shared" si="186"/>
        <v>17435.107266573374</v>
      </c>
      <c r="J178" s="34">
        <f t="shared" si="187"/>
        <v>49787.198751373493</v>
      </c>
      <c r="K178" s="34">
        <f t="shared" si="188"/>
        <v>157866.19569134049</v>
      </c>
      <c r="L178" s="34">
        <f t="shared" si="189"/>
        <v>138112.80260616692</v>
      </c>
      <c r="M178" s="34">
        <f t="shared" si="190"/>
        <v>84845.488838389836</v>
      </c>
      <c r="N178" s="34">
        <f t="shared" si="191"/>
        <v>6471.698185112411</v>
      </c>
      <c r="O178" s="34">
        <f t="shared" si="192"/>
        <v>83.147975633215978</v>
      </c>
      <c r="P178" s="34">
        <f t="shared" si="193"/>
        <v>138463.32608865539</v>
      </c>
      <c r="Q178" s="34">
        <f t="shared" si="194"/>
        <v>2818.5416465640906</v>
      </c>
      <c r="R178" s="34">
        <f t="shared" si="195"/>
        <v>4358.0684365359075</v>
      </c>
      <c r="S178" s="34">
        <f t="shared" si="196"/>
        <v>10149.18350826918</v>
      </c>
      <c r="T178" s="26">
        <f t="shared" si="197"/>
        <v>0</v>
      </c>
    </row>
    <row r="179" spans="1:20" x14ac:dyDescent="0.2">
      <c r="A179" s="33">
        <f t="shared" si="198"/>
        <v>125</v>
      </c>
      <c r="B179" s="36">
        <v>58.1</v>
      </c>
      <c r="C179" s="33">
        <v>926</v>
      </c>
      <c r="G179" s="20" t="s">
        <v>82</v>
      </c>
      <c r="H179" s="34">
        <f>'FUN-2 (Test Year)'!I183</f>
        <v>1575302.402119667</v>
      </c>
      <c r="I179" s="34">
        <f t="shared" si="186"/>
        <v>57097.070467698664</v>
      </c>
      <c r="J179" s="34">
        <f t="shared" si="187"/>
        <v>113797.6379629631</v>
      </c>
      <c r="K179" s="34">
        <f t="shared" si="188"/>
        <v>360831.71245656506</v>
      </c>
      <c r="L179" s="34">
        <f t="shared" si="189"/>
        <v>325485.05160360923</v>
      </c>
      <c r="M179" s="34">
        <f t="shared" si="190"/>
        <v>497163.92767981143</v>
      </c>
      <c r="N179" s="34">
        <f t="shared" si="191"/>
        <v>53023.875448155653</v>
      </c>
      <c r="O179" s="34">
        <f t="shared" si="192"/>
        <v>135.10450340295063</v>
      </c>
      <c r="P179" s="34">
        <f t="shared" si="193"/>
        <v>112026.69031121783</v>
      </c>
      <c r="Q179" s="34">
        <f t="shared" si="194"/>
        <v>926.92983086758989</v>
      </c>
      <c r="R179" s="34">
        <f t="shared" si="195"/>
        <v>1433.2318430391351</v>
      </c>
      <c r="S179" s="34">
        <f t="shared" si="196"/>
        <v>53381.170012336413</v>
      </c>
      <c r="T179" s="26">
        <f>SUM(I179:S179)-H179</f>
        <v>0</v>
      </c>
    </row>
    <row r="180" spans="1:20" x14ac:dyDescent="0.2">
      <c r="A180" s="33">
        <f t="shared" si="198"/>
        <v>126</v>
      </c>
      <c r="B180" s="36">
        <v>47</v>
      </c>
      <c r="C180" s="33">
        <v>928</v>
      </c>
      <c r="G180" s="20" t="s">
        <v>81</v>
      </c>
      <c r="H180" s="34">
        <f>'FUN-2 (Test Year)'!I184</f>
        <v>414437.63572729123</v>
      </c>
      <c r="I180" s="34">
        <f t="shared" si="186"/>
        <v>6949.1208995578854</v>
      </c>
      <c r="J180" s="34">
        <f t="shared" si="187"/>
        <v>46270.638456404653</v>
      </c>
      <c r="K180" s="34">
        <f t="shared" si="188"/>
        <v>146715.81949808996</v>
      </c>
      <c r="L180" s="34">
        <f t="shared" si="189"/>
        <v>126972.98315820708</v>
      </c>
      <c r="M180" s="34">
        <f t="shared" si="190"/>
        <v>68135.86285935402</v>
      </c>
      <c r="N180" s="34">
        <f t="shared" si="191"/>
        <v>8565.3596370915948</v>
      </c>
      <c r="O180" s="34">
        <f t="shared" si="192"/>
        <v>331.5777499408311</v>
      </c>
      <c r="P180" s="34">
        <f t="shared" si="193"/>
        <v>9328.9501795102278</v>
      </c>
      <c r="Q180" s="34">
        <f t="shared" si="194"/>
        <v>189.89890928111581</v>
      </c>
      <c r="R180" s="34">
        <f t="shared" si="195"/>
        <v>293.62434423471916</v>
      </c>
      <c r="S180" s="34">
        <f t="shared" si="196"/>
        <v>683.80003561901628</v>
      </c>
      <c r="T180" s="26">
        <f t="shared" si="197"/>
        <v>0</v>
      </c>
    </row>
    <row r="181" spans="1:20" x14ac:dyDescent="0.2">
      <c r="A181" s="33">
        <f t="shared" si="198"/>
        <v>127</v>
      </c>
      <c r="B181" s="36">
        <v>40</v>
      </c>
      <c r="C181" s="33">
        <v>929</v>
      </c>
      <c r="G181" s="20" t="s">
        <v>80</v>
      </c>
      <c r="H181" s="34">
        <f>'FUN-2 (Test Year)'!I185</f>
        <v>-5487.8900000000031</v>
      </c>
      <c r="I181" s="34">
        <f t="shared" si="186"/>
        <v>-156.75524146983298</v>
      </c>
      <c r="J181" s="34">
        <f t="shared" si="187"/>
        <v>-447.62583005960278</v>
      </c>
      <c r="K181" s="34">
        <f t="shared" si="188"/>
        <v>-1419.3404862477532</v>
      </c>
      <c r="L181" s="34">
        <f t="shared" si="189"/>
        <v>-1241.7420433146588</v>
      </c>
      <c r="M181" s="34">
        <f t="shared" si="190"/>
        <v>-762.82725922693692</v>
      </c>
      <c r="N181" s="34">
        <f t="shared" si="191"/>
        <v>-58.185624912794488</v>
      </c>
      <c r="O181" s="34">
        <f t="shared" si="192"/>
        <v>-0.74756528874939276</v>
      </c>
      <c r="P181" s="34">
        <f t="shared" si="193"/>
        <v>-1244.8935233886396</v>
      </c>
      <c r="Q181" s="34">
        <f t="shared" si="194"/>
        <v>-25.340892352695484</v>
      </c>
      <c r="R181" s="34">
        <f t="shared" si="195"/>
        <v>-39.18244147662805</v>
      </c>
      <c r="S181" s="34">
        <f t="shared" si="196"/>
        <v>-91.249092261711027</v>
      </c>
      <c r="T181" s="26">
        <f t="shared" si="197"/>
        <v>0</v>
      </c>
    </row>
    <row r="182" spans="1:20" x14ac:dyDescent="0.2">
      <c r="A182" s="33">
        <f t="shared" si="198"/>
        <v>128</v>
      </c>
      <c r="B182" s="36">
        <v>40</v>
      </c>
      <c r="C182" s="33">
        <v>930.2</v>
      </c>
      <c r="G182" s="20" t="s">
        <v>79</v>
      </c>
      <c r="H182" s="34">
        <f>'FUN-2 (Test Year)'!I186</f>
        <v>64249.911067079505</v>
      </c>
      <c r="I182" s="34">
        <f t="shared" si="186"/>
        <v>1835.2245259535698</v>
      </c>
      <c r="J182" s="34">
        <f t="shared" si="187"/>
        <v>5240.6152041416844</v>
      </c>
      <c r="K182" s="34">
        <f t="shared" si="188"/>
        <v>16617.042254003536</v>
      </c>
      <c r="L182" s="34">
        <f t="shared" si="189"/>
        <v>14537.794279991102</v>
      </c>
      <c r="M182" s="34">
        <f t="shared" si="190"/>
        <v>8930.8611442420806</v>
      </c>
      <c r="N182" s="34">
        <f t="shared" si="191"/>
        <v>681.21285704150228</v>
      </c>
      <c r="O182" s="34">
        <f t="shared" si="192"/>
        <v>8.7521804043054932</v>
      </c>
      <c r="P182" s="34">
        <f t="shared" si="193"/>
        <v>14574.690484995746</v>
      </c>
      <c r="Q182" s="34">
        <f t="shared" si="194"/>
        <v>296.68052384816735</v>
      </c>
      <c r="R182" s="34">
        <f t="shared" si="195"/>
        <v>458.73156718964816</v>
      </c>
      <c r="S182" s="34">
        <f t="shared" si="196"/>
        <v>1068.3060452681564</v>
      </c>
      <c r="T182" s="26">
        <f t="shared" si="197"/>
        <v>0</v>
      </c>
    </row>
    <row r="183" spans="1:20" x14ac:dyDescent="0.2">
      <c r="A183" s="33">
        <f t="shared" si="198"/>
        <v>129</v>
      </c>
      <c r="B183" s="36">
        <v>40</v>
      </c>
      <c r="C183" s="33">
        <v>931</v>
      </c>
      <c r="G183" s="20" t="s">
        <v>78</v>
      </c>
      <c r="H183" s="34">
        <f>'FUN-2 (Test Year)'!I187</f>
        <v>1349358.02</v>
      </c>
      <c r="I183" s="34">
        <f t="shared" si="186"/>
        <v>38542.853857193862</v>
      </c>
      <c r="J183" s="34">
        <f t="shared" si="187"/>
        <v>110061.88239015028</v>
      </c>
      <c r="K183" s="34">
        <f t="shared" si="188"/>
        <v>348986.3077119083</v>
      </c>
      <c r="L183" s="34">
        <f t="shared" si="189"/>
        <v>305318.54408849688</v>
      </c>
      <c r="M183" s="34">
        <f t="shared" si="190"/>
        <v>187563.35861551264</v>
      </c>
      <c r="N183" s="34">
        <f t="shared" si="191"/>
        <v>14306.635086488797</v>
      </c>
      <c r="O183" s="34">
        <f t="shared" si="192"/>
        <v>183.81075747648157</v>
      </c>
      <c r="P183" s="34">
        <f t="shared" si="193"/>
        <v>306093.42749773001</v>
      </c>
      <c r="Q183" s="34">
        <f t="shared" si="194"/>
        <v>6230.7984179832874</v>
      </c>
      <c r="R183" s="34">
        <f t="shared" si="195"/>
        <v>9634.1474864963911</v>
      </c>
      <c r="S183" s="34">
        <f t="shared" si="196"/>
        <v>22436.254090562972</v>
      </c>
      <c r="T183" s="26">
        <f t="shared" si="197"/>
        <v>0</v>
      </c>
    </row>
    <row r="184" spans="1:20" x14ac:dyDescent="0.2">
      <c r="A184" s="33"/>
      <c r="C184" s="33"/>
      <c r="F184" s="20" t="s">
        <v>77</v>
      </c>
      <c r="R184" s="34"/>
      <c r="S184" s="34"/>
      <c r="T184" s="26">
        <f t="shared" si="197"/>
        <v>0</v>
      </c>
    </row>
    <row r="185" spans="1:20" x14ac:dyDescent="0.2">
      <c r="A185" s="35">
        <f>+A183+1</f>
        <v>130</v>
      </c>
      <c r="B185" s="38">
        <v>40</v>
      </c>
      <c r="C185" s="35">
        <v>935</v>
      </c>
      <c r="D185" s="23"/>
      <c r="E185" s="23"/>
      <c r="F185" s="23"/>
      <c r="G185" s="23" t="s">
        <v>76</v>
      </c>
      <c r="H185" s="9">
        <f>'FUN-2 (Test Year)'!I189</f>
        <v>-11.320865295018493</v>
      </c>
      <c r="I185" s="9">
        <f>INDEX(AlocTable,MATCH($B185,AlocList),3)*$H185</f>
        <v>-0.3233674459524653</v>
      </c>
      <c r="J185" s="9">
        <f>INDEX(AlocTable,MATCH($B185,AlocList),4)*$H185</f>
        <v>-0.92339892466423346</v>
      </c>
      <c r="K185" s="9">
        <f>INDEX(AlocTable,MATCH($B185,AlocList),5)*$H185</f>
        <v>-2.9279308536754294</v>
      </c>
      <c r="L185" s="9">
        <f>INDEX(AlocTable,MATCH($B185,AlocList),6)*$H185</f>
        <v>-2.561566358568824</v>
      </c>
      <c r="M185" s="9">
        <f>INDEX(AlocTable,MATCH($B185,AlocList),7)*$H185</f>
        <v>-1.5736220378098504</v>
      </c>
      <c r="N185" s="9">
        <f>INDEX(AlocTable,MATCH($B185,AlocList),8)*$H185</f>
        <v>-0.12003003371864564</v>
      </c>
      <c r="O185" s="9">
        <f>INDEX(AlocTable,MATCH($B185,AlocList),9)*$H185</f>
        <v>-1.5421384053185239E-3</v>
      </c>
      <c r="P185" s="9">
        <f>INDEX(AlocTable,MATCH($B185,AlocList),10)*$H185</f>
        <v>-2.5680674876726273</v>
      </c>
      <c r="Q185" s="9">
        <f>INDEX(AlocTable,MATCH($B185,AlocList),11)*$H185</f>
        <v>-5.227525128609168E-2</v>
      </c>
      <c r="R185" s="9">
        <f>INDEX(AlocTable,MATCH($B185,AlocList),12)*$H185</f>
        <v>-8.0828723222741608E-2</v>
      </c>
      <c r="S185" s="9">
        <f>INDEX(AlocTable,MATCH($B185,AlocList),13)*$H185</f>
        <v>-0.18823604004226474</v>
      </c>
      <c r="T185" s="246">
        <f t="shared" si="197"/>
        <v>0</v>
      </c>
    </row>
    <row r="186" spans="1:20" x14ac:dyDescent="0.2">
      <c r="A186" s="33">
        <f>+A185+1</f>
        <v>131</v>
      </c>
      <c r="C186" s="33"/>
      <c r="D186" s="20" t="s">
        <v>75</v>
      </c>
      <c r="H186" s="26">
        <f t="shared" ref="H186:S186" si="199">SUM(H173:H185)</f>
        <v>4685065.943663056</v>
      </c>
      <c r="I186" s="26">
        <f t="shared" si="199"/>
        <v>140878.80821769548</v>
      </c>
      <c r="J186" s="26">
        <f t="shared" si="199"/>
        <v>380313.97622910258</v>
      </c>
      <c r="K186" s="26">
        <f t="shared" si="199"/>
        <v>1205906.7812864049</v>
      </c>
      <c r="L186" s="26">
        <f t="shared" si="199"/>
        <v>1063389.1219616758</v>
      </c>
      <c r="M186" s="26">
        <f t="shared" si="199"/>
        <v>940291.77474557725</v>
      </c>
      <c r="N186" s="26">
        <f t="shared" si="199"/>
        <v>90299.882622721736</v>
      </c>
      <c r="O186" s="26">
        <f t="shared" si="199"/>
        <v>842.63539849740391</v>
      </c>
      <c r="P186" s="26">
        <f t="shared" si="199"/>
        <v>730066.81683324685</v>
      </c>
      <c r="Q186" s="26">
        <f t="shared" ref="Q186:R186" si="200">SUM(Q173:Q185)</f>
        <v>13507.675108752419</v>
      </c>
      <c r="R186" s="26">
        <f t="shared" si="200"/>
        <v>20885.755800059655</v>
      </c>
      <c r="S186" s="26">
        <f t="shared" si="199"/>
        <v>98682.715459321742</v>
      </c>
      <c r="T186" s="26">
        <f t="shared" si="197"/>
        <v>0</v>
      </c>
    </row>
    <row r="187" spans="1:20" x14ac:dyDescent="0.2">
      <c r="A187" s="33"/>
      <c r="C187" s="33"/>
      <c r="H187" s="26"/>
      <c r="T187" s="26"/>
    </row>
    <row r="188" spans="1:20" x14ac:dyDescent="0.2">
      <c r="A188" s="33">
        <f>+A186+1</f>
        <v>132</v>
      </c>
      <c r="C188" s="33"/>
      <c r="D188" s="42" t="s">
        <v>72</v>
      </c>
      <c r="H188" s="249">
        <f>H108+H125+H149+H158+H164+H169+H186</f>
        <v>16793257.068939619</v>
      </c>
      <c r="I188" s="249">
        <f t="shared" ref="I188:S188" si="201">I108+I125+I149+I158+I164+I169+I186</f>
        <v>525572.67106506636</v>
      </c>
      <c r="J188" s="249">
        <f t="shared" si="201"/>
        <v>1332989.4406348993</v>
      </c>
      <c r="K188" s="249">
        <f t="shared" si="201"/>
        <v>4226668.2433896577</v>
      </c>
      <c r="L188" s="249">
        <f t="shared" si="201"/>
        <v>3706125.5628149984</v>
      </c>
      <c r="M188" s="249">
        <f t="shared" si="201"/>
        <v>2563458.5237787822</v>
      </c>
      <c r="N188" s="249">
        <f t="shared" si="201"/>
        <v>214218.14870165999</v>
      </c>
      <c r="O188" s="249">
        <f t="shared" si="201"/>
        <v>2441.9082230962713</v>
      </c>
      <c r="P188" s="249">
        <f t="shared" si="201"/>
        <v>3757662.2191902404</v>
      </c>
      <c r="Q188" s="249">
        <f>Q108+Q125+Q149+Q158+Q164+Q169+Q186</f>
        <v>67361.593723557438</v>
      </c>
      <c r="R188" s="249">
        <f>R108+R125+R149+R158+R164+R169+R186</f>
        <v>104155.4364822885</v>
      </c>
      <c r="S188" s="249">
        <f t="shared" si="201"/>
        <v>292603.32093537331</v>
      </c>
      <c r="T188" s="26">
        <f>SUM(I188:S188)-H188</f>
        <v>0</v>
      </c>
    </row>
    <row r="189" spans="1:20" x14ac:dyDescent="0.2">
      <c r="A189" s="33">
        <f>+A188+1</f>
        <v>133</v>
      </c>
      <c r="C189" s="33"/>
      <c r="D189" s="42" t="s">
        <v>379</v>
      </c>
      <c r="H189" s="249">
        <f>SUM(H93:H102)+H107+H125+H149+H158+H164+H169-SUM(H94:H97)-H114-H138-H155</f>
        <v>11662745.625276519</v>
      </c>
      <c r="I189" s="249">
        <f t="shared" ref="I189:T189" si="202">SUM(I93:I102)+I107+I125+I149+I158+I164+I169-SUM(I94:I97)-I114-I138-I155</f>
        <v>333132.86284737085</v>
      </c>
      <c r="J189" s="249">
        <f t="shared" si="202"/>
        <v>951284.77270652296</v>
      </c>
      <c r="K189" s="249">
        <f t="shared" si="202"/>
        <v>3016351.8304419043</v>
      </c>
      <c r="L189" s="249">
        <f t="shared" si="202"/>
        <v>2638923.4447829593</v>
      </c>
      <c r="M189" s="249">
        <f t="shared" si="202"/>
        <v>1621144.0609033036</v>
      </c>
      <c r="N189" s="249">
        <f t="shared" si="202"/>
        <v>123654.836814454</v>
      </c>
      <c r="O189" s="249">
        <f t="shared" si="202"/>
        <v>1588.7096499693971</v>
      </c>
      <c r="P189" s="249">
        <f t="shared" si="202"/>
        <v>2645620.9023569934</v>
      </c>
      <c r="Q189" s="249">
        <f t="shared" si="202"/>
        <v>53853.918614805014</v>
      </c>
      <c r="R189" s="249">
        <f t="shared" ref="R189" si="203">SUM(R93:R102)+R107+R125+R149+R158+R164+R169-SUM(R94:R97)-R114-R138-R155</f>
        <v>83269.680682228834</v>
      </c>
      <c r="S189" s="249">
        <f t="shared" si="202"/>
        <v>193920.60547600684</v>
      </c>
      <c r="T189" s="249">
        <f t="shared" si="202"/>
        <v>0</v>
      </c>
    </row>
    <row r="190" spans="1:20" x14ac:dyDescent="0.2">
      <c r="A190" s="33"/>
      <c r="H190" s="26"/>
      <c r="T190" s="26"/>
    </row>
    <row r="191" spans="1:20" x14ac:dyDescent="0.2">
      <c r="A191" s="33"/>
      <c r="D191" s="20" t="s">
        <v>71</v>
      </c>
      <c r="G191" s="34"/>
      <c r="T191" s="26"/>
    </row>
    <row r="192" spans="1:20" x14ac:dyDescent="0.2">
      <c r="A192" s="33">
        <f>+A189+1</f>
        <v>134</v>
      </c>
      <c r="B192" s="36">
        <v>40</v>
      </c>
      <c r="C192" s="20" t="s">
        <v>70</v>
      </c>
      <c r="E192" s="20" t="s">
        <v>184</v>
      </c>
      <c r="H192" s="34">
        <f>'FUN-2 (Test Year)'!I201</f>
        <v>1537712.0999999996</v>
      </c>
      <c r="I192" s="34">
        <f t="shared" ref="I192:I198" si="204">INDEX(AlocTable,MATCH($B192,AlocList),3)*$H192</f>
        <v>43922.970676632322</v>
      </c>
      <c r="J192" s="34">
        <f t="shared" ref="J192:J198" si="205">INDEX(AlocTable,MATCH($B192,AlocList),4)*$H192</f>
        <v>125425.19167752896</v>
      </c>
      <c r="K192" s="34">
        <f t="shared" ref="K192:K198" si="206">INDEX(AlocTable,MATCH($B192,AlocList),5)*$H192</f>
        <v>397700.5806827491</v>
      </c>
      <c r="L192" s="34">
        <f t="shared" ref="L192:L198" si="207">INDEX(AlocTable,MATCH($B192,AlocList),6)*$H192</f>
        <v>347937.32474296557</v>
      </c>
      <c r="M192" s="34">
        <f t="shared" ref="M192:M198" si="208">INDEX(AlocTable,MATCH($B192,AlocList),7)*$H192</f>
        <v>213744.93780361788</v>
      </c>
      <c r="N192" s="34">
        <f t="shared" ref="N192:N198" si="209">INDEX(AlocTable,MATCH($B192,AlocList),8)*$H192</f>
        <v>16303.668527332993</v>
      </c>
      <c r="O192" s="34">
        <f t="shared" ref="O192:O198" si="210">INDEX(AlocTable,MATCH($B192,AlocList),9)*$H192</f>
        <v>209.46851887518415</v>
      </c>
      <c r="P192" s="34">
        <f t="shared" ref="P192:P198" si="211">INDEX(AlocTable,MATCH($B192,AlocList),10)*$H192</f>
        <v>348820.37251591095</v>
      </c>
      <c r="Q192" s="34">
        <f t="shared" ref="Q192:Q198" si="212">INDEX(AlocTable,MATCH($B192,AlocList),11)*$H192</f>
        <v>7100.5426121036107</v>
      </c>
      <c r="R192" s="34">
        <f t="shared" ref="R192:R198" si="213">INDEX(AlocTable,MATCH($B192,AlocList),12)*$H192</f>
        <v>10978.958099771091</v>
      </c>
      <c r="S192" s="34">
        <f t="shared" ref="S192:S198" si="214">INDEX(AlocTable,MATCH($B192,AlocList),13)*$H192</f>
        <v>25568.084142511838</v>
      </c>
      <c r="T192" s="26">
        <f t="shared" ref="T192:T194" si="215">SUM(I192:S192)-H192</f>
        <v>0</v>
      </c>
    </row>
    <row r="193" spans="1:20" x14ac:dyDescent="0.2">
      <c r="A193" s="33">
        <f>+A192+1</f>
        <v>135</v>
      </c>
      <c r="B193" s="36">
        <v>1.1000000000000001</v>
      </c>
      <c r="C193" s="20" t="s">
        <v>70</v>
      </c>
      <c r="E193" s="20" t="s">
        <v>353</v>
      </c>
      <c r="H193" s="34">
        <f>'FUN-2 (Test Year)'!I202</f>
        <v>0</v>
      </c>
      <c r="I193" s="34">
        <f t="shared" si="204"/>
        <v>0</v>
      </c>
      <c r="J193" s="34">
        <f t="shared" si="205"/>
        <v>0</v>
      </c>
      <c r="K193" s="34">
        <f t="shared" si="206"/>
        <v>0</v>
      </c>
      <c r="L193" s="34">
        <f t="shared" si="207"/>
        <v>0</v>
      </c>
      <c r="M193" s="34">
        <f t="shared" si="208"/>
        <v>0</v>
      </c>
      <c r="N193" s="34">
        <f t="shared" si="209"/>
        <v>0</v>
      </c>
      <c r="O193" s="34">
        <f t="shared" si="210"/>
        <v>0</v>
      </c>
      <c r="P193" s="34">
        <f t="shared" si="211"/>
        <v>0</v>
      </c>
      <c r="Q193" s="34">
        <f t="shared" si="212"/>
        <v>0</v>
      </c>
      <c r="R193" s="34">
        <f t="shared" si="213"/>
        <v>0</v>
      </c>
      <c r="S193" s="34">
        <f t="shared" si="214"/>
        <v>0</v>
      </c>
      <c r="T193" s="26">
        <f t="shared" si="215"/>
        <v>0</v>
      </c>
    </row>
    <row r="194" spans="1:20" x14ac:dyDescent="0.2">
      <c r="A194" s="33">
        <f>+A193+1</f>
        <v>136</v>
      </c>
      <c r="B194" s="36">
        <v>1.1000000000000001</v>
      </c>
      <c r="C194" s="20" t="s">
        <v>70</v>
      </c>
      <c r="E194" s="20" t="s">
        <v>312</v>
      </c>
      <c r="H194" s="34">
        <f>'FUN-2 (Test Year)'!I203</f>
        <v>101810.29</v>
      </c>
      <c r="I194" s="34">
        <f t="shared" si="204"/>
        <v>101810.29</v>
      </c>
      <c r="J194" s="34">
        <f t="shared" si="205"/>
        <v>0</v>
      </c>
      <c r="K194" s="34">
        <f t="shared" si="206"/>
        <v>0</v>
      </c>
      <c r="L194" s="34">
        <f t="shared" si="207"/>
        <v>0</v>
      </c>
      <c r="M194" s="34">
        <f t="shared" si="208"/>
        <v>0</v>
      </c>
      <c r="N194" s="34">
        <f t="shared" si="209"/>
        <v>0</v>
      </c>
      <c r="O194" s="34">
        <f t="shared" si="210"/>
        <v>0</v>
      </c>
      <c r="P194" s="34">
        <f t="shared" si="211"/>
        <v>0</v>
      </c>
      <c r="Q194" s="34">
        <f t="shared" si="212"/>
        <v>0</v>
      </c>
      <c r="R194" s="34">
        <f t="shared" si="213"/>
        <v>0</v>
      </c>
      <c r="S194" s="34">
        <f t="shared" si="214"/>
        <v>0</v>
      </c>
      <c r="T194" s="26">
        <f t="shared" si="215"/>
        <v>0</v>
      </c>
    </row>
    <row r="195" spans="1:20" x14ac:dyDescent="0.2">
      <c r="A195" s="33">
        <f t="shared" ref="A195:A199" si="216">+A194+1</f>
        <v>137</v>
      </c>
      <c r="B195" s="36">
        <v>44</v>
      </c>
      <c r="C195" s="33" t="s">
        <v>70</v>
      </c>
      <c r="E195" s="20" t="s">
        <v>154</v>
      </c>
      <c r="H195" s="34">
        <f>'FUN-2 (Test Year)'!I204</f>
        <v>8717550.8699999992</v>
      </c>
      <c r="I195" s="34">
        <f t="shared" si="204"/>
        <v>0</v>
      </c>
      <c r="J195" s="34">
        <f t="shared" si="205"/>
        <v>1017919.8684220865</v>
      </c>
      <c r="K195" s="34">
        <f t="shared" si="206"/>
        <v>3227639.6579149077</v>
      </c>
      <c r="L195" s="34">
        <f t="shared" si="207"/>
        <v>2790930.9160788096</v>
      </c>
      <c r="M195" s="34">
        <f t="shared" si="208"/>
        <v>1480511.0551266475</v>
      </c>
      <c r="N195" s="34">
        <f t="shared" si="209"/>
        <v>192817.63339951981</v>
      </c>
      <c r="O195" s="34">
        <f t="shared" si="210"/>
        <v>7731.7390580268384</v>
      </c>
      <c r="P195" s="34">
        <f t="shared" si="211"/>
        <v>0</v>
      </c>
      <c r="Q195" s="34">
        <f t="shared" si="212"/>
        <v>0</v>
      </c>
      <c r="R195" s="34">
        <f t="shared" si="213"/>
        <v>0</v>
      </c>
      <c r="S195" s="34">
        <f t="shared" si="214"/>
        <v>0</v>
      </c>
      <c r="T195" s="26"/>
    </row>
    <row r="196" spans="1:20" x14ac:dyDescent="0.2">
      <c r="A196" s="33">
        <f t="shared" si="216"/>
        <v>138</v>
      </c>
      <c r="B196" s="36">
        <v>40</v>
      </c>
      <c r="C196" s="33" t="s">
        <v>70</v>
      </c>
      <c r="E196" s="20" t="s">
        <v>183</v>
      </c>
      <c r="H196" s="34">
        <f>'FUN-2 (Test Year)'!I205</f>
        <v>418815.24</v>
      </c>
      <c r="I196" s="34">
        <f t="shared" si="204"/>
        <v>11962.973761763813</v>
      </c>
      <c r="J196" s="34">
        <f t="shared" si="205"/>
        <v>34161.129222089301</v>
      </c>
      <c r="K196" s="34">
        <f t="shared" si="206"/>
        <v>108318.75755337099</v>
      </c>
      <c r="L196" s="34">
        <f t="shared" si="207"/>
        <v>94765.108609851668</v>
      </c>
      <c r="M196" s="34">
        <f t="shared" si="208"/>
        <v>58216.123437545502</v>
      </c>
      <c r="N196" s="34">
        <f t="shared" si="209"/>
        <v>4440.5092781382264</v>
      </c>
      <c r="O196" s="34">
        <f t="shared" si="210"/>
        <v>57.051386930723112</v>
      </c>
      <c r="P196" s="34">
        <f t="shared" si="211"/>
        <v>95005.617782509929</v>
      </c>
      <c r="Q196" s="34">
        <f t="shared" si="212"/>
        <v>1933.9221289982704</v>
      </c>
      <c r="R196" s="34">
        <f t="shared" si="213"/>
        <v>2990.257390512551</v>
      </c>
      <c r="S196" s="34">
        <f t="shared" si="214"/>
        <v>6963.7894482889824</v>
      </c>
      <c r="T196" s="26"/>
    </row>
    <row r="197" spans="1:20" x14ac:dyDescent="0.2">
      <c r="A197" s="33">
        <f t="shared" si="216"/>
        <v>139</v>
      </c>
      <c r="B197" s="36">
        <v>47</v>
      </c>
      <c r="C197" s="251" t="s">
        <v>70</v>
      </c>
      <c r="E197" s="20" t="s">
        <v>67</v>
      </c>
      <c r="H197" s="34">
        <f>'FUN-2 (Test Year)'!I206</f>
        <v>0</v>
      </c>
      <c r="I197" s="34">
        <f t="shared" si="204"/>
        <v>0</v>
      </c>
      <c r="J197" s="34">
        <f t="shared" si="205"/>
        <v>0</v>
      </c>
      <c r="K197" s="34">
        <f t="shared" si="206"/>
        <v>0</v>
      </c>
      <c r="L197" s="34">
        <f t="shared" si="207"/>
        <v>0</v>
      </c>
      <c r="M197" s="34">
        <f t="shared" si="208"/>
        <v>0</v>
      </c>
      <c r="N197" s="34">
        <f t="shared" si="209"/>
        <v>0</v>
      </c>
      <c r="O197" s="34">
        <f t="shared" si="210"/>
        <v>0</v>
      </c>
      <c r="P197" s="34">
        <f t="shared" si="211"/>
        <v>0</v>
      </c>
      <c r="Q197" s="34">
        <f t="shared" si="212"/>
        <v>0</v>
      </c>
      <c r="R197" s="34">
        <f t="shared" si="213"/>
        <v>0</v>
      </c>
      <c r="S197" s="34">
        <f t="shared" si="214"/>
        <v>0</v>
      </c>
      <c r="T197" s="26">
        <f t="shared" ref="T197:T199" si="217">SUM(I197:S197)-H197</f>
        <v>0</v>
      </c>
    </row>
    <row r="198" spans="1:20" x14ac:dyDescent="0.2">
      <c r="A198" s="35">
        <f t="shared" si="216"/>
        <v>140</v>
      </c>
      <c r="B198" s="38">
        <v>47</v>
      </c>
      <c r="C198" s="35"/>
      <c r="D198" s="23"/>
      <c r="E198" s="23" t="s">
        <v>1080</v>
      </c>
      <c r="F198" s="23"/>
      <c r="G198" s="23"/>
      <c r="H198" s="9">
        <f>'FUN-2 (Test Year)'!I207</f>
        <v>189825.15333333332</v>
      </c>
      <c r="I198" s="9">
        <f t="shared" si="204"/>
        <v>3182.9105915430287</v>
      </c>
      <c r="J198" s="9">
        <f t="shared" si="205"/>
        <v>21193.372132828837</v>
      </c>
      <c r="K198" s="9">
        <f t="shared" si="206"/>
        <v>67200.347004625568</v>
      </c>
      <c r="L198" s="9">
        <f t="shared" si="207"/>
        <v>58157.522192452314</v>
      </c>
      <c r="M198" s="9">
        <f t="shared" si="208"/>
        <v>31208.315799018383</v>
      </c>
      <c r="N198" s="9">
        <f t="shared" si="209"/>
        <v>3923.1975243096567</v>
      </c>
      <c r="O198" s="9">
        <f t="shared" si="210"/>
        <v>151.87278325720629</v>
      </c>
      <c r="P198" s="9">
        <f t="shared" si="211"/>
        <v>4272.9454219496274</v>
      </c>
      <c r="Q198" s="9">
        <f t="shared" si="212"/>
        <v>86.979527109938061</v>
      </c>
      <c r="R198" s="9">
        <f t="shared" si="213"/>
        <v>134.48895892126777</v>
      </c>
      <c r="S198" s="9">
        <f t="shared" si="214"/>
        <v>313.20139731742734</v>
      </c>
      <c r="T198" s="246">
        <f t="shared" si="217"/>
        <v>0</v>
      </c>
    </row>
    <row r="199" spans="1:20" x14ac:dyDescent="0.2">
      <c r="A199" s="33">
        <f t="shared" si="216"/>
        <v>141</v>
      </c>
      <c r="D199" s="20" t="s">
        <v>69</v>
      </c>
      <c r="H199" s="34">
        <f t="shared" ref="H199:S199" si="218">SUM(H192:H198)</f>
        <v>10965713.653333332</v>
      </c>
      <c r="I199" s="34">
        <f t="shared" si="218"/>
        <v>160879.14502993916</v>
      </c>
      <c r="J199" s="34">
        <f t="shared" si="218"/>
        <v>1198699.5614545336</v>
      </c>
      <c r="K199" s="34">
        <f t="shared" si="218"/>
        <v>3800859.3431556532</v>
      </c>
      <c r="L199" s="34">
        <f t="shared" si="218"/>
        <v>3291790.8716240786</v>
      </c>
      <c r="M199" s="34">
        <f t="shared" si="218"/>
        <v>1783680.4321668292</v>
      </c>
      <c r="N199" s="34">
        <f t="shared" si="218"/>
        <v>217485.00872930067</v>
      </c>
      <c r="O199" s="34">
        <f t="shared" si="218"/>
        <v>8150.131747089953</v>
      </c>
      <c r="P199" s="34">
        <f t="shared" si="218"/>
        <v>448098.9357203705</v>
      </c>
      <c r="Q199" s="34">
        <f t="shared" si="218"/>
        <v>9121.4442682118188</v>
      </c>
      <c r="R199" s="34">
        <f t="shared" si="218"/>
        <v>14103.704449204908</v>
      </c>
      <c r="S199" s="34">
        <f t="shared" si="218"/>
        <v>32845.074988118249</v>
      </c>
      <c r="T199" s="26">
        <f t="shared" si="217"/>
        <v>0</v>
      </c>
    </row>
    <row r="200" spans="1:20" x14ac:dyDescent="0.2">
      <c r="A200" s="33"/>
      <c r="H200" s="26"/>
      <c r="T200" s="26"/>
    </row>
    <row r="201" spans="1:20" x14ac:dyDescent="0.2">
      <c r="A201" s="33"/>
      <c r="D201" s="20" t="s">
        <v>68</v>
      </c>
      <c r="H201" s="34"/>
      <c r="T201" s="26"/>
    </row>
    <row r="202" spans="1:20" x14ac:dyDescent="0.2">
      <c r="A202" s="33">
        <f>+A199+1</f>
        <v>142</v>
      </c>
      <c r="B202" s="36">
        <v>58.1</v>
      </c>
      <c r="C202" s="33" t="s">
        <v>354</v>
      </c>
      <c r="E202" s="20" t="s">
        <v>355</v>
      </c>
      <c r="H202" s="34">
        <f>'FUN-2 (Test Year)'!I211</f>
        <v>815989.8018069946</v>
      </c>
      <c r="I202" s="34">
        <f t="shared" ref="I202:I205" si="219">INDEX(AlocTable,MATCH($B202,AlocList),3)*$H202</f>
        <v>29575.672043670384</v>
      </c>
      <c r="J202" s="34">
        <f t="shared" ref="J202:J205" si="220">INDEX(AlocTable,MATCH($B202,AlocList),4)*$H202</f>
        <v>58945.959786867956</v>
      </c>
      <c r="K202" s="34">
        <f t="shared" ref="K202:K205" si="221">INDEX(AlocTable,MATCH($B202,AlocList),5)*$H202</f>
        <v>186906.96918695129</v>
      </c>
      <c r="L202" s="34">
        <f t="shared" ref="L202:L205" si="222">INDEX(AlocTable,MATCH($B202,AlocList),6)*$H202</f>
        <v>168597.77677720631</v>
      </c>
      <c r="M202" s="34">
        <f t="shared" ref="M202:M205" si="223">INDEX(AlocTable,MATCH($B202,AlocList),7)*$H202</f>
        <v>257525.59906413383</v>
      </c>
      <c r="N202" s="34">
        <f t="shared" ref="N202:N205" si="224">INDEX(AlocTable,MATCH($B202,AlocList),8)*$H202</f>
        <v>27465.800572487507</v>
      </c>
      <c r="O202" s="34">
        <f t="shared" ref="O202:O205" si="225">INDEX(AlocTable,MATCH($B202,AlocList),9)*$H202</f>
        <v>69.982688280463549</v>
      </c>
      <c r="P202" s="34">
        <f t="shared" ref="P202:P205" si="226">INDEX(AlocTable,MATCH($B202,AlocList),10)*$H202</f>
        <v>58028.627837514134</v>
      </c>
      <c r="Q202" s="34">
        <f>INDEX(AlocTable,MATCH($B202,AlocList),11)*$H202</f>
        <v>480.1397420335926</v>
      </c>
      <c r="R202" s="34">
        <f>INDEX(AlocTable,MATCH($B202,AlocList),12)*$H202</f>
        <v>742.39877116377102</v>
      </c>
      <c r="S202" s="34">
        <f>INDEX(AlocTable,MATCH($B202,AlocList),13)*$H202</f>
        <v>27650.875336685342</v>
      </c>
      <c r="T202" s="26">
        <f t="shared" ref="T202:T206" si="227">SUM(I202:S202)-H202</f>
        <v>0</v>
      </c>
    </row>
    <row r="203" spans="1:20" x14ac:dyDescent="0.2">
      <c r="A203" s="33">
        <f>+A202+1</f>
        <v>143</v>
      </c>
      <c r="B203" s="36">
        <v>46</v>
      </c>
      <c r="C203" s="33" t="s">
        <v>356</v>
      </c>
      <c r="E203" s="20" t="s">
        <v>357</v>
      </c>
      <c r="H203" s="34">
        <f>'FUN-2 (Test Year)'!I212</f>
        <v>1567010.8599999999</v>
      </c>
      <c r="I203" s="34">
        <f t="shared" si="219"/>
        <v>34201.558932161286</v>
      </c>
      <c r="J203" s="34">
        <f t="shared" si="220"/>
        <v>175884.42618099591</v>
      </c>
      <c r="K203" s="34">
        <f t="shared" si="221"/>
        <v>557697.68010461202</v>
      </c>
      <c r="L203" s="34">
        <f t="shared" si="222"/>
        <v>482495.36026180733</v>
      </c>
      <c r="M203" s="34">
        <f t="shared" si="223"/>
        <v>257794.07955401001</v>
      </c>
      <c r="N203" s="34">
        <f t="shared" si="224"/>
        <v>32845.46091223757</v>
      </c>
      <c r="O203" s="34">
        <f t="shared" si="225"/>
        <v>1288.9825036743828</v>
      </c>
      <c r="P203" s="34">
        <f t="shared" si="226"/>
        <v>22044.857961514412</v>
      </c>
      <c r="Q203" s="34">
        <f>INDEX(AlocTable,MATCH($B203,AlocList),11)*$H203</f>
        <v>448.74229163998922</v>
      </c>
      <c r="R203" s="34">
        <f>INDEX(AlocTable,MATCH($B203,AlocList),12)*$H203</f>
        <v>693.85159510381538</v>
      </c>
      <c r="S203" s="34">
        <f>INDEX(AlocTable,MATCH($B203,AlocList),13)*$H203</f>
        <v>1615.8597022426279</v>
      </c>
      <c r="T203" s="26">
        <f t="shared" si="227"/>
        <v>0</v>
      </c>
    </row>
    <row r="204" spans="1:20" x14ac:dyDescent="0.2">
      <c r="A204" s="33">
        <f t="shared" ref="A204:A206" si="228">+A203+1</f>
        <v>144</v>
      </c>
      <c r="B204" s="36">
        <v>39</v>
      </c>
      <c r="C204" s="33" t="s">
        <v>358</v>
      </c>
      <c r="E204" s="20" t="s">
        <v>359</v>
      </c>
      <c r="H204" s="34">
        <f>'FUN-2 (Test Year)'!I213</f>
        <v>17631</v>
      </c>
      <c r="I204" s="34">
        <f t="shared" si="219"/>
        <v>390.01558175728127</v>
      </c>
      <c r="J204" s="34">
        <f t="shared" si="220"/>
        <v>1955.2569530353971</v>
      </c>
      <c r="K204" s="34">
        <f t="shared" si="221"/>
        <v>6199.7658939633511</v>
      </c>
      <c r="L204" s="34">
        <f t="shared" si="222"/>
        <v>5365.7032536794432</v>
      </c>
      <c r="M204" s="34">
        <f t="shared" si="223"/>
        <v>2880.8387838918015</v>
      </c>
      <c r="N204" s="34">
        <f t="shared" si="224"/>
        <v>361.55967182362804</v>
      </c>
      <c r="O204" s="34">
        <f t="shared" si="225"/>
        <v>13.972941318904182</v>
      </c>
      <c r="P204" s="34">
        <f t="shared" si="226"/>
        <v>412.29661017122726</v>
      </c>
      <c r="Q204" s="34">
        <f>INDEX(AlocTable,MATCH($B204,AlocList),11)*$H204</f>
        <v>8.392656736851384</v>
      </c>
      <c r="R204" s="34">
        <f>INDEX(AlocTable,MATCH($B204,AlocList),12)*$H204</f>
        <v>12.976842995433374</v>
      </c>
      <c r="S204" s="34">
        <f>INDEX(AlocTable,MATCH($B204,AlocList),13)*$H204</f>
        <v>30.220810626677199</v>
      </c>
      <c r="T204" s="26">
        <f t="shared" si="227"/>
        <v>0</v>
      </c>
    </row>
    <row r="205" spans="1:20" x14ac:dyDescent="0.2">
      <c r="A205" s="35">
        <f t="shared" si="228"/>
        <v>145</v>
      </c>
      <c r="B205" s="38">
        <v>39</v>
      </c>
      <c r="C205" s="35">
        <v>408181</v>
      </c>
      <c r="D205" s="23"/>
      <c r="E205" s="23" t="s">
        <v>360</v>
      </c>
      <c r="F205" s="23"/>
      <c r="G205" s="23"/>
      <c r="H205" s="9">
        <f>'FUN-2 (Test Year)'!I214</f>
        <v>0</v>
      </c>
      <c r="I205" s="9">
        <f t="shared" si="219"/>
        <v>0</v>
      </c>
      <c r="J205" s="9">
        <f t="shared" si="220"/>
        <v>0</v>
      </c>
      <c r="K205" s="9">
        <f t="shared" si="221"/>
        <v>0</v>
      </c>
      <c r="L205" s="9">
        <f t="shared" si="222"/>
        <v>0</v>
      </c>
      <c r="M205" s="9">
        <f t="shared" si="223"/>
        <v>0</v>
      </c>
      <c r="N205" s="9">
        <f t="shared" si="224"/>
        <v>0</v>
      </c>
      <c r="O205" s="9">
        <f t="shared" si="225"/>
        <v>0</v>
      </c>
      <c r="P205" s="9">
        <f t="shared" si="226"/>
        <v>0</v>
      </c>
      <c r="Q205" s="9">
        <f>INDEX(AlocTable,MATCH($B205,AlocList),11)*$H205</f>
        <v>0</v>
      </c>
      <c r="R205" s="9">
        <f>INDEX(AlocTable,MATCH($B205,AlocList),12)*$H205</f>
        <v>0</v>
      </c>
      <c r="S205" s="9">
        <f>INDEX(AlocTable,MATCH($B205,AlocList),13)*$H205</f>
        <v>0</v>
      </c>
      <c r="T205" s="246">
        <f t="shared" si="227"/>
        <v>0</v>
      </c>
    </row>
    <row r="206" spans="1:20" x14ac:dyDescent="0.2">
      <c r="A206" s="33">
        <f t="shared" si="228"/>
        <v>146</v>
      </c>
      <c r="C206" s="33"/>
      <c r="D206" s="20" t="s">
        <v>66</v>
      </c>
      <c r="H206" s="34">
        <f t="shared" ref="H206:S206" si="229">SUM(H202:H205)</f>
        <v>2400631.6618069946</v>
      </c>
      <c r="I206" s="34">
        <f t="shared" si="229"/>
        <v>64167.246557588951</v>
      </c>
      <c r="J206" s="34">
        <f t="shared" si="229"/>
        <v>236785.64292089926</v>
      </c>
      <c r="K206" s="34">
        <f t="shared" si="229"/>
        <v>750804.41518552671</v>
      </c>
      <c r="L206" s="34">
        <f t="shared" si="229"/>
        <v>656458.84029269312</v>
      </c>
      <c r="M206" s="34">
        <f t="shared" si="229"/>
        <v>518200.51740203565</v>
      </c>
      <c r="N206" s="34">
        <f t="shared" si="229"/>
        <v>60672.821156548707</v>
      </c>
      <c r="O206" s="34">
        <f t="shared" si="229"/>
        <v>1372.9381332737505</v>
      </c>
      <c r="P206" s="34">
        <f t="shared" si="229"/>
        <v>80485.782409199761</v>
      </c>
      <c r="Q206" s="34">
        <f t="shared" si="229"/>
        <v>937.27469041043321</v>
      </c>
      <c r="R206" s="34">
        <f t="shared" si="229"/>
        <v>1449.2272092630196</v>
      </c>
      <c r="S206" s="34">
        <f t="shared" si="229"/>
        <v>29296.955849554648</v>
      </c>
      <c r="T206" s="26">
        <f t="shared" si="227"/>
        <v>0</v>
      </c>
    </row>
    <row r="207" spans="1:20" x14ac:dyDescent="0.2">
      <c r="A207" s="33"/>
      <c r="C207" s="33"/>
      <c r="H207" s="26"/>
      <c r="T207" s="26"/>
    </row>
    <row r="208" spans="1:20" x14ac:dyDescent="0.2">
      <c r="A208" s="33">
        <f>+A206+1</f>
        <v>147</v>
      </c>
      <c r="B208" s="255"/>
      <c r="C208" s="252"/>
      <c r="D208" s="20" t="s">
        <v>65</v>
      </c>
      <c r="H208" s="34">
        <f t="shared" ref="H208:S208" si="230">H199+H206</f>
        <v>13366345.315140327</v>
      </c>
      <c r="I208" s="34">
        <f t="shared" si="230"/>
        <v>225046.39158752811</v>
      </c>
      <c r="J208" s="34">
        <f t="shared" si="230"/>
        <v>1435485.2043754328</v>
      </c>
      <c r="K208" s="34">
        <f t="shared" si="230"/>
        <v>4551663.7583411802</v>
      </c>
      <c r="L208" s="34">
        <f t="shared" si="230"/>
        <v>3948249.7119167717</v>
      </c>
      <c r="M208" s="34">
        <f t="shared" si="230"/>
        <v>2301880.9495688649</v>
      </c>
      <c r="N208" s="34">
        <f t="shared" si="230"/>
        <v>278157.82988584938</v>
      </c>
      <c r="O208" s="34">
        <f t="shared" si="230"/>
        <v>9523.0698803637042</v>
      </c>
      <c r="P208" s="34">
        <f t="shared" si="230"/>
        <v>528584.71812957025</v>
      </c>
      <c r="Q208" s="34">
        <f t="shared" ref="Q208:R208" si="231">Q199+Q206</f>
        <v>10058.718958622252</v>
      </c>
      <c r="R208" s="34">
        <f t="shared" si="231"/>
        <v>15552.931658467927</v>
      </c>
      <c r="S208" s="34">
        <f t="shared" si="230"/>
        <v>62142.030837672894</v>
      </c>
      <c r="T208" s="26">
        <f>SUM(I208:S208)-H208</f>
        <v>0</v>
      </c>
    </row>
    <row r="209" spans="1:20" x14ac:dyDescent="0.2">
      <c r="A209" s="33"/>
      <c r="H209" s="26"/>
      <c r="T209" s="26"/>
    </row>
    <row r="210" spans="1:20" ht="18" x14ac:dyDescent="0.25">
      <c r="A210" s="32" t="s">
        <v>182</v>
      </c>
      <c r="B210" s="20"/>
      <c r="C210" s="32"/>
      <c r="H210" s="26"/>
      <c r="T210" s="26"/>
    </row>
    <row r="211" spans="1:20" x14ac:dyDescent="0.2">
      <c r="A211" s="33"/>
      <c r="C211" s="33"/>
      <c r="H211" s="34"/>
      <c r="I211" s="34"/>
      <c r="T211" s="26"/>
    </row>
    <row r="212" spans="1:20" x14ac:dyDescent="0.2">
      <c r="A212" s="33">
        <f>+A208+1</f>
        <v>148</v>
      </c>
      <c r="C212" s="33" t="s">
        <v>362</v>
      </c>
      <c r="D212" s="20" t="s">
        <v>63</v>
      </c>
      <c r="H212" s="34">
        <f>'FUN-2 (Test Year)'!$I$224</f>
        <v>39244301.447882377</v>
      </c>
      <c r="I212" s="34">
        <f>(I$238*I$255+I$86*$H$261+I$245+I$246+I$249+I$250)/(1-'FUN-3 (Functional COS)'!I$255)-I$224+I$231</f>
        <v>960489.31684132735</v>
      </c>
      <c r="J212" s="34">
        <f>(J$238*J$255+J$86*$H$261+J$245+J$246+J$249+J$250)/(1-'FUN-3 (Functional COS)'!J$255)-J$224+J$231</f>
        <v>3799303.0458260239</v>
      </c>
      <c r="K212" s="34">
        <f>(K$238*K$255+K$86*$H$261+K$245+K$246+K$249+K$250)/(1-'FUN-3 (Functional COS)'!K$255)-K$224+K$231</f>
        <v>12046902.279404316</v>
      </c>
      <c r="L212" s="34">
        <f>(L$238*L$255+L$86*$H$261+L$245+L$246+L$249+L$250)/(1-'FUN-3 (Functional COS)'!L$255)-L$224+L$231</f>
        <v>10480067.85328407</v>
      </c>
      <c r="M212" s="34">
        <f>(M$238*M$255+M$86*$H$261+M$245+M$246+M$249+M$250)/(1-'FUN-3 (Functional COS)'!M$255)-M$224+M$231</f>
        <v>6398864.4457139391</v>
      </c>
      <c r="N212" s="34">
        <f>(N$238*N$255+N$86*$H$261+N$245+N$246+N$249+N$250)/(1-'FUN-3 (Functional COS)'!N$255)-N$224+N$231</f>
        <v>685837.29917142587</v>
      </c>
      <c r="O212" s="34">
        <f>(O$238*O$255+O$86*$H$261+O$245+O$246+O$249+O$250)/(1-'FUN-3 (Functional COS)'!O$255)-O$224+O$231</f>
        <v>19501.873094635601</v>
      </c>
      <c r="P212" s="34">
        <f>(P$238*P$255+P$86*$H$261+P$245+P$246+P$249+P$250)/(1-'FUN-3 (Functional COS)'!P$255)-P$224+P$231</f>
        <v>4277920.4394488791</v>
      </c>
      <c r="Q212" s="34">
        <f>(Q$238*Q$255+Q$86*$H$261+Q$245+Q$246+Q$249+Q$250)/(1-'FUN-3 (Functional COS)'!Q$255)-Q$224+Q$231</f>
        <v>81358.371134478264</v>
      </c>
      <c r="R212" s="34">
        <f>(R$238*R$255+R$86*$H$261+R$245+R$246+R$249+R$250)/(1-'FUN-3 (Functional COS)'!R$255)-R$224+R$231</f>
        <v>125797.44908909629</v>
      </c>
      <c r="S212" s="34">
        <f>(S$238*S$255+S$86*$H$261+S$245+S$246+S$249+S$250)/(1-'FUN-3 (Functional COS)'!S$255)-S$224+S$231</f>
        <v>368259.07487418462</v>
      </c>
      <c r="T212" s="26">
        <f>SUM(I212:S212)-H212</f>
        <v>0</v>
      </c>
    </row>
    <row r="213" spans="1:20" x14ac:dyDescent="0.2">
      <c r="A213" s="33"/>
      <c r="C213" s="33"/>
      <c r="K213" s="34"/>
      <c r="T213" s="26"/>
    </row>
    <row r="214" spans="1:20" x14ac:dyDescent="0.2">
      <c r="A214" s="33"/>
      <c r="C214" s="33"/>
      <c r="D214" s="20" t="s">
        <v>6</v>
      </c>
      <c r="H214" s="34"/>
      <c r="I214" s="26"/>
      <c r="J214" s="26"/>
      <c r="K214" s="26"/>
      <c r="L214" s="26"/>
      <c r="M214" s="26"/>
      <c r="N214" s="26"/>
      <c r="O214" s="26"/>
      <c r="P214" s="26"/>
      <c r="Q214" s="26"/>
      <c r="R214" s="26"/>
      <c r="S214" s="26"/>
      <c r="T214" s="26"/>
    </row>
    <row r="215" spans="1:20" x14ac:dyDescent="0.2">
      <c r="A215" s="33">
        <f>+A212+1</f>
        <v>149</v>
      </c>
      <c r="B215" s="36">
        <v>1.9</v>
      </c>
      <c r="C215" s="33">
        <v>481</v>
      </c>
      <c r="E215" s="20" t="s">
        <v>363</v>
      </c>
      <c r="H215" s="34">
        <f>'FUN-2 (Test Year)'!I227</f>
        <v>0</v>
      </c>
      <c r="I215" s="34">
        <f t="shared" ref="I215:I223" si="232">INDEX(AlocTable,MATCH($B215,AlocList),3)*$H215</f>
        <v>0</v>
      </c>
      <c r="J215" s="34">
        <f t="shared" ref="J215:J223" si="233">INDEX(AlocTable,MATCH($B215,AlocList),4)*$H215</f>
        <v>0</v>
      </c>
      <c r="K215" s="34">
        <f t="shared" ref="K215:K223" si="234">INDEX(AlocTable,MATCH($B215,AlocList),5)*$H215</f>
        <v>0</v>
      </c>
      <c r="L215" s="34">
        <f t="shared" ref="L215:L223" si="235">INDEX(AlocTable,MATCH($B215,AlocList),6)*$H215</f>
        <v>0</v>
      </c>
      <c r="M215" s="34">
        <f t="shared" ref="M215:M223" si="236">INDEX(AlocTable,MATCH($B215,AlocList),7)*$H215</f>
        <v>0</v>
      </c>
      <c r="N215" s="34">
        <f t="shared" ref="N215:N223" si="237">INDEX(AlocTable,MATCH($B215,AlocList),8)*$H215</f>
        <v>0</v>
      </c>
      <c r="O215" s="34">
        <f t="shared" ref="O215:O223" si="238">INDEX(AlocTable,MATCH($B215,AlocList),9)*$H215</f>
        <v>0</v>
      </c>
      <c r="P215" s="34">
        <f t="shared" ref="P215:P223" si="239">INDEX(AlocTable,MATCH($B215,AlocList),10)*$H215</f>
        <v>0</v>
      </c>
      <c r="Q215" s="34">
        <f t="shared" ref="Q215:Q223" si="240">INDEX(AlocTable,MATCH($B215,AlocList),11)*$H215</f>
        <v>0</v>
      </c>
      <c r="R215" s="34">
        <f t="shared" ref="R215:R223" si="241">INDEX(AlocTable,MATCH($B215,AlocList),12)*$H215</f>
        <v>0</v>
      </c>
      <c r="S215" s="34">
        <f t="shared" ref="S215:S223" si="242">INDEX(AlocTable,MATCH($B215,AlocList),13)*$H215</f>
        <v>0</v>
      </c>
      <c r="T215" s="26">
        <f t="shared" ref="T215:T223" si="243">SUM(I215:S215)-H215</f>
        <v>0</v>
      </c>
    </row>
    <row r="216" spans="1:20" x14ac:dyDescent="0.2">
      <c r="A216" s="33">
        <f>+A215+1</f>
        <v>150</v>
      </c>
      <c r="B216" s="36">
        <v>1.9</v>
      </c>
      <c r="C216" s="33">
        <v>483</v>
      </c>
      <c r="E216" s="20" t="s">
        <v>364</v>
      </c>
      <c r="H216" s="34">
        <f>'FUN-2 (Test Year)'!I228</f>
        <v>0</v>
      </c>
      <c r="I216" s="34">
        <f t="shared" si="232"/>
        <v>0</v>
      </c>
      <c r="J216" s="34">
        <f t="shared" si="233"/>
        <v>0</v>
      </c>
      <c r="K216" s="34">
        <f t="shared" si="234"/>
        <v>0</v>
      </c>
      <c r="L216" s="34">
        <f t="shared" si="235"/>
        <v>0</v>
      </c>
      <c r="M216" s="34">
        <f t="shared" si="236"/>
        <v>0</v>
      </c>
      <c r="N216" s="34">
        <f t="shared" si="237"/>
        <v>0</v>
      </c>
      <c r="O216" s="34">
        <f t="shared" si="238"/>
        <v>0</v>
      </c>
      <c r="P216" s="34">
        <f t="shared" si="239"/>
        <v>0</v>
      </c>
      <c r="Q216" s="34">
        <f t="shared" si="240"/>
        <v>0</v>
      </c>
      <c r="R216" s="34">
        <f t="shared" si="241"/>
        <v>0</v>
      </c>
      <c r="S216" s="34">
        <f t="shared" si="242"/>
        <v>0</v>
      </c>
      <c r="T216" s="26">
        <f t="shared" si="243"/>
        <v>0</v>
      </c>
    </row>
    <row r="217" spans="1:20" x14ac:dyDescent="0.2">
      <c r="A217" s="33">
        <f t="shared" ref="A217:A224" si="244">+A216+1</f>
        <v>151</v>
      </c>
      <c r="B217" s="36">
        <v>1.9</v>
      </c>
      <c r="C217" s="33">
        <v>484</v>
      </c>
      <c r="E217" s="20" t="s">
        <v>58</v>
      </c>
      <c r="H217" s="34">
        <f>'FUN-2 (Test Year)'!I229</f>
        <v>0</v>
      </c>
      <c r="I217" s="34">
        <f t="shared" si="232"/>
        <v>0</v>
      </c>
      <c r="J217" s="34">
        <f t="shared" si="233"/>
        <v>0</v>
      </c>
      <c r="K217" s="34">
        <f t="shared" si="234"/>
        <v>0</v>
      </c>
      <c r="L217" s="34">
        <f t="shared" si="235"/>
        <v>0</v>
      </c>
      <c r="M217" s="34">
        <f t="shared" si="236"/>
        <v>0</v>
      </c>
      <c r="N217" s="34">
        <f t="shared" si="237"/>
        <v>0</v>
      </c>
      <c r="O217" s="34">
        <f t="shared" si="238"/>
        <v>0</v>
      </c>
      <c r="P217" s="34">
        <f t="shared" si="239"/>
        <v>0</v>
      </c>
      <c r="Q217" s="34">
        <f t="shared" si="240"/>
        <v>0</v>
      </c>
      <c r="R217" s="34">
        <f t="shared" si="241"/>
        <v>0</v>
      </c>
      <c r="S217" s="34">
        <f t="shared" si="242"/>
        <v>0</v>
      </c>
      <c r="T217" s="26">
        <f t="shared" si="243"/>
        <v>0</v>
      </c>
    </row>
    <row r="218" spans="1:20" x14ac:dyDescent="0.2">
      <c r="A218" s="33">
        <f t="shared" si="244"/>
        <v>152</v>
      </c>
      <c r="B218" s="36">
        <v>1.7</v>
      </c>
      <c r="C218" s="33">
        <v>487011</v>
      </c>
      <c r="E218" s="20" t="s">
        <v>57</v>
      </c>
      <c r="H218" s="34">
        <f>'FUN-2 (Test Year)'!I230</f>
        <v>-0.19000000000232831</v>
      </c>
      <c r="I218" s="34">
        <f t="shared" si="232"/>
        <v>0</v>
      </c>
      <c r="J218" s="34">
        <f t="shared" si="233"/>
        <v>0</v>
      </c>
      <c r="K218" s="34">
        <f t="shared" si="234"/>
        <v>0</v>
      </c>
      <c r="L218" s="34">
        <f t="shared" si="235"/>
        <v>0</v>
      </c>
      <c r="M218" s="34">
        <f t="shared" si="236"/>
        <v>0</v>
      </c>
      <c r="N218" s="34">
        <f t="shared" si="237"/>
        <v>0</v>
      </c>
      <c r="O218" s="34">
        <f t="shared" si="238"/>
        <v>0</v>
      </c>
      <c r="P218" s="34">
        <f t="shared" si="239"/>
        <v>-0.19000000000232831</v>
      </c>
      <c r="Q218" s="34">
        <f t="shared" si="240"/>
        <v>0</v>
      </c>
      <c r="R218" s="34">
        <f t="shared" si="241"/>
        <v>0</v>
      </c>
      <c r="S218" s="34">
        <f t="shared" si="242"/>
        <v>0</v>
      </c>
      <c r="T218" s="26">
        <f t="shared" si="243"/>
        <v>0</v>
      </c>
    </row>
    <row r="219" spans="1:20" x14ac:dyDescent="0.2">
      <c r="A219" s="33">
        <f t="shared" si="244"/>
        <v>153</v>
      </c>
      <c r="B219" s="36">
        <v>1.7</v>
      </c>
      <c r="C219" s="33">
        <v>488</v>
      </c>
      <c r="E219" s="20" t="s">
        <v>56</v>
      </c>
      <c r="H219" s="34">
        <f>'FUN-2 (Test Year)'!I231</f>
        <v>183208.08000000002</v>
      </c>
      <c r="I219" s="34">
        <f t="shared" si="232"/>
        <v>0</v>
      </c>
      <c r="J219" s="34">
        <f t="shared" si="233"/>
        <v>0</v>
      </c>
      <c r="K219" s="34">
        <f t="shared" si="234"/>
        <v>0</v>
      </c>
      <c r="L219" s="34">
        <f t="shared" si="235"/>
        <v>0</v>
      </c>
      <c r="M219" s="34">
        <f t="shared" si="236"/>
        <v>0</v>
      </c>
      <c r="N219" s="34">
        <f t="shared" si="237"/>
        <v>0</v>
      </c>
      <c r="O219" s="34">
        <f t="shared" si="238"/>
        <v>0</v>
      </c>
      <c r="P219" s="34">
        <f t="shared" si="239"/>
        <v>183208.08000000002</v>
      </c>
      <c r="Q219" s="34">
        <f t="shared" si="240"/>
        <v>0</v>
      </c>
      <c r="R219" s="34">
        <f t="shared" si="241"/>
        <v>0</v>
      </c>
      <c r="S219" s="34">
        <f t="shared" si="242"/>
        <v>0</v>
      </c>
      <c r="T219" s="26">
        <f t="shared" si="243"/>
        <v>0</v>
      </c>
    </row>
    <row r="220" spans="1:20" x14ac:dyDescent="0.2">
      <c r="A220" s="33">
        <f t="shared" si="244"/>
        <v>154</v>
      </c>
      <c r="B220" s="36">
        <v>1.8</v>
      </c>
      <c r="C220" s="33">
        <v>489</v>
      </c>
      <c r="E220" s="20" t="s">
        <v>365</v>
      </c>
      <c r="H220" s="34">
        <f>'FUN-2 (Test Year)'!I232</f>
        <v>0</v>
      </c>
      <c r="I220" s="34">
        <f t="shared" si="232"/>
        <v>0</v>
      </c>
      <c r="J220" s="34">
        <f t="shared" si="233"/>
        <v>0</v>
      </c>
      <c r="K220" s="34">
        <f t="shared" si="234"/>
        <v>0</v>
      </c>
      <c r="L220" s="34">
        <f t="shared" si="235"/>
        <v>0</v>
      </c>
      <c r="M220" s="34">
        <f t="shared" si="236"/>
        <v>0</v>
      </c>
      <c r="N220" s="34">
        <f t="shared" si="237"/>
        <v>0</v>
      </c>
      <c r="O220" s="34">
        <f t="shared" si="238"/>
        <v>0</v>
      </c>
      <c r="P220" s="34">
        <f t="shared" si="239"/>
        <v>0</v>
      </c>
      <c r="Q220" s="34">
        <f t="shared" si="240"/>
        <v>0</v>
      </c>
      <c r="R220" s="34">
        <f t="shared" si="241"/>
        <v>0</v>
      </c>
      <c r="S220" s="34">
        <f t="shared" si="242"/>
        <v>0</v>
      </c>
      <c r="T220" s="26">
        <f t="shared" si="243"/>
        <v>0</v>
      </c>
    </row>
    <row r="221" spans="1:20" x14ac:dyDescent="0.2">
      <c r="A221" s="33">
        <f t="shared" si="244"/>
        <v>155</v>
      </c>
      <c r="B221" s="36">
        <v>47</v>
      </c>
      <c r="C221" s="33">
        <v>493001</v>
      </c>
      <c r="E221" s="20" t="s">
        <v>366</v>
      </c>
      <c r="H221" s="34">
        <f>'FUN-2 (Test Year)'!I233</f>
        <v>53174.669999999991</v>
      </c>
      <c r="I221" s="34">
        <f t="shared" si="232"/>
        <v>891.61113462978017</v>
      </c>
      <c r="J221" s="34">
        <f t="shared" si="233"/>
        <v>5936.782083728609</v>
      </c>
      <c r="K221" s="34">
        <f t="shared" si="234"/>
        <v>18824.461422041535</v>
      </c>
      <c r="L221" s="34">
        <f t="shared" si="235"/>
        <v>16291.34493662639</v>
      </c>
      <c r="M221" s="34">
        <f t="shared" si="236"/>
        <v>8742.2128454942831</v>
      </c>
      <c r="N221" s="34">
        <f t="shared" si="237"/>
        <v>1098.9836174853765</v>
      </c>
      <c r="O221" s="34">
        <f t="shared" si="238"/>
        <v>42.543282541183437</v>
      </c>
      <c r="P221" s="34">
        <f t="shared" si="239"/>
        <v>1196.956561079114</v>
      </c>
      <c r="Q221" s="34">
        <f t="shared" si="240"/>
        <v>24.365093717086648</v>
      </c>
      <c r="R221" s="34">
        <f t="shared" si="241"/>
        <v>37.673648005562711</v>
      </c>
      <c r="S221" s="34">
        <f t="shared" si="242"/>
        <v>87.735374651050364</v>
      </c>
      <c r="T221" s="26">
        <f t="shared" si="243"/>
        <v>0</v>
      </c>
    </row>
    <row r="222" spans="1:20" x14ac:dyDescent="0.2">
      <c r="A222" s="33">
        <f t="shared" si="244"/>
        <v>156</v>
      </c>
      <c r="B222" s="36">
        <v>39</v>
      </c>
      <c r="C222" s="33">
        <v>495051</v>
      </c>
      <c r="E222" s="20" t="s">
        <v>367</v>
      </c>
      <c r="H222" s="34">
        <f>'FUN-2 (Test Year)'!I234</f>
        <v>0</v>
      </c>
      <c r="I222" s="34">
        <f t="shared" si="232"/>
        <v>0</v>
      </c>
      <c r="J222" s="34">
        <f t="shared" si="233"/>
        <v>0</v>
      </c>
      <c r="K222" s="34">
        <f t="shared" si="234"/>
        <v>0</v>
      </c>
      <c r="L222" s="34">
        <f t="shared" si="235"/>
        <v>0</v>
      </c>
      <c r="M222" s="34">
        <f t="shared" si="236"/>
        <v>0</v>
      </c>
      <c r="N222" s="34">
        <f t="shared" si="237"/>
        <v>0</v>
      </c>
      <c r="O222" s="34">
        <f t="shared" si="238"/>
        <v>0</v>
      </c>
      <c r="P222" s="34">
        <f t="shared" si="239"/>
        <v>0</v>
      </c>
      <c r="Q222" s="34">
        <f t="shared" si="240"/>
        <v>0</v>
      </c>
      <c r="R222" s="34">
        <f t="shared" si="241"/>
        <v>0</v>
      </c>
      <c r="S222" s="34">
        <f t="shared" si="242"/>
        <v>0</v>
      </c>
      <c r="T222" s="26">
        <f t="shared" si="243"/>
        <v>0</v>
      </c>
    </row>
    <row r="223" spans="1:20" x14ac:dyDescent="0.2">
      <c r="A223" s="35">
        <f t="shared" si="244"/>
        <v>157</v>
      </c>
      <c r="B223" s="38">
        <v>39</v>
      </c>
      <c r="C223" s="35">
        <v>495061</v>
      </c>
      <c r="D223" s="23"/>
      <c r="E223" s="23" t="s">
        <v>368</v>
      </c>
      <c r="F223" s="23"/>
      <c r="G223" s="23"/>
      <c r="H223" s="9">
        <f>'FUN-2 (Test Year)'!I235</f>
        <v>0</v>
      </c>
      <c r="I223" s="9">
        <f t="shared" si="232"/>
        <v>0</v>
      </c>
      <c r="J223" s="9">
        <f t="shared" si="233"/>
        <v>0</v>
      </c>
      <c r="K223" s="9">
        <f t="shared" si="234"/>
        <v>0</v>
      </c>
      <c r="L223" s="9">
        <f t="shared" si="235"/>
        <v>0</v>
      </c>
      <c r="M223" s="9">
        <f t="shared" si="236"/>
        <v>0</v>
      </c>
      <c r="N223" s="9">
        <f t="shared" si="237"/>
        <v>0</v>
      </c>
      <c r="O223" s="9">
        <f t="shared" si="238"/>
        <v>0</v>
      </c>
      <c r="P223" s="9">
        <f t="shared" si="239"/>
        <v>0</v>
      </c>
      <c r="Q223" s="9">
        <f t="shared" si="240"/>
        <v>0</v>
      </c>
      <c r="R223" s="9">
        <f t="shared" si="241"/>
        <v>0</v>
      </c>
      <c r="S223" s="9">
        <f t="shared" si="242"/>
        <v>0</v>
      </c>
      <c r="T223" s="246">
        <f t="shared" si="243"/>
        <v>0</v>
      </c>
    </row>
    <row r="224" spans="1:20" x14ac:dyDescent="0.2">
      <c r="A224" s="33">
        <f t="shared" si="244"/>
        <v>158</v>
      </c>
      <c r="C224" s="33"/>
      <c r="D224" s="20" t="s">
        <v>55</v>
      </c>
      <c r="H224" s="34">
        <f t="shared" ref="H224:S224" si="245">SUM(H215:H223)</f>
        <v>236382.56</v>
      </c>
      <c r="I224" s="34">
        <f t="shared" si="245"/>
        <v>891.61113462978017</v>
      </c>
      <c r="J224" s="34">
        <f t="shared" si="245"/>
        <v>5936.782083728609</v>
      </c>
      <c r="K224" s="34">
        <f t="shared" si="245"/>
        <v>18824.461422041535</v>
      </c>
      <c r="L224" s="34">
        <f t="shared" si="245"/>
        <v>16291.34493662639</v>
      </c>
      <c r="M224" s="34">
        <f t="shared" si="245"/>
        <v>8742.2128454942831</v>
      </c>
      <c r="N224" s="34">
        <f t="shared" si="245"/>
        <v>1098.9836174853765</v>
      </c>
      <c r="O224" s="34">
        <f t="shared" si="245"/>
        <v>42.543282541183437</v>
      </c>
      <c r="P224" s="34">
        <f t="shared" si="245"/>
        <v>184404.84656107912</v>
      </c>
      <c r="Q224" s="34">
        <f t="shared" si="245"/>
        <v>24.365093717086648</v>
      </c>
      <c r="R224" s="34">
        <f t="shared" si="245"/>
        <v>37.673648005562711</v>
      </c>
      <c r="S224" s="34">
        <f t="shared" si="245"/>
        <v>87.735374651050364</v>
      </c>
      <c r="T224" s="26">
        <f>SUM(I224:S224)-H224</f>
        <v>0</v>
      </c>
    </row>
    <row r="225" spans="1:20" x14ac:dyDescent="0.2">
      <c r="A225" s="33"/>
      <c r="C225" s="33"/>
      <c r="H225" s="34"/>
      <c r="I225" s="34"/>
      <c r="T225" s="26"/>
    </row>
    <row r="226" spans="1:20" x14ac:dyDescent="0.2">
      <c r="A226" s="33">
        <f>+A224+1</f>
        <v>159</v>
      </c>
      <c r="B226" s="255"/>
      <c r="C226" s="252"/>
      <c r="D226" s="42" t="s">
        <v>16</v>
      </c>
      <c r="E226" s="42"/>
      <c r="F226" s="42"/>
      <c r="H226" s="41">
        <f>H212+H224</f>
        <v>39480684.007882379</v>
      </c>
      <c r="I226" s="41">
        <f>I212+I224</f>
        <v>961380.92797595717</v>
      </c>
      <c r="J226" s="41">
        <f t="shared" ref="J226:P226" si="246">J212+J224</f>
        <v>3805239.8279097527</v>
      </c>
      <c r="K226" s="41">
        <f t="shared" si="246"/>
        <v>12065726.740826357</v>
      </c>
      <c r="L226" s="41">
        <f t="shared" si="246"/>
        <v>10496359.198220696</v>
      </c>
      <c r="M226" s="41">
        <f t="shared" si="246"/>
        <v>6407606.6585594332</v>
      </c>
      <c r="N226" s="41">
        <f t="shared" si="246"/>
        <v>686936.28278891125</v>
      </c>
      <c r="O226" s="41">
        <f t="shared" si="246"/>
        <v>19544.416377176785</v>
      </c>
      <c r="P226" s="41">
        <f t="shared" si="246"/>
        <v>4462325.286009958</v>
      </c>
      <c r="Q226" s="41">
        <f t="shared" ref="Q226:R226" si="247">Q212+Q224</f>
        <v>81382.736228195354</v>
      </c>
      <c r="R226" s="41">
        <f t="shared" si="247"/>
        <v>125835.12273710186</v>
      </c>
      <c r="S226" s="41">
        <f>S212+S224</f>
        <v>368346.81024883565</v>
      </c>
      <c r="T226" s="26">
        <f>SUM(I226:S226)-H226</f>
        <v>0</v>
      </c>
    </row>
    <row r="227" spans="1:20" x14ac:dyDescent="0.2">
      <c r="A227" s="33"/>
      <c r="H227" s="26"/>
      <c r="S227" s="26"/>
      <c r="T227" s="26"/>
    </row>
    <row r="228" spans="1:20" x14ac:dyDescent="0.2">
      <c r="A228" s="33"/>
      <c r="D228" s="20" t="s">
        <v>8</v>
      </c>
      <c r="H228" s="34"/>
      <c r="T228" s="26"/>
    </row>
    <row r="229" spans="1:20" x14ac:dyDescent="0.2">
      <c r="A229" s="33">
        <f>+A226+1</f>
        <v>160</v>
      </c>
      <c r="E229" s="20" t="s">
        <v>14</v>
      </c>
      <c r="H229" s="34">
        <f>'FUN-3 (Functional COS)'!H188</f>
        <v>16793257.068939619</v>
      </c>
      <c r="I229" s="34">
        <f>'FUN-3 (Functional COS)'!I188</f>
        <v>525572.67106506636</v>
      </c>
      <c r="J229" s="34">
        <f>'FUN-3 (Functional COS)'!J188</f>
        <v>1332989.4406348993</v>
      </c>
      <c r="K229" s="34">
        <f>'FUN-3 (Functional COS)'!K188</f>
        <v>4226668.2433896577</v>
      </c>
      <c r="L229" s="34">
        <f>'FUN-3 (Functional COS)'!L188</f>
        <v>3706125.5628149984</v>
      </c>
      <c r="M229" s="34">
        <f>'FUN-3 (Functional COS)'!M188</f>
        <v>2563458.5237787822</v>
      </c>
      <c r="N229" s="34">
        <f>'FUN-3 (Functional COS)'!N188</f>
        <v>214218.14870165999</v>
      </c>
      <c r="O229" s="34">
        <f>'FUN-3 (Functional COS)'!O188</f>
        <v>2441.9082230962713</v>
      </c>
      <c r="P229" s="34">
        <f>'FUN-3 (Functional COS)'!P188</f>
        <v>3757662.2191902404</v>
      </c>
      <c r="Q229" s="34">
        <f>'FUN-3 (Functional COS)'!Q188</f>
        <v>67361.593723557438</v>
      </c>
      <c r="R229" s="34">
        <f>'FUN-3 (Functional COS)'!R188</f>
        <v>104155.4364822885</v>
      </c>
      <c r="S229" s="34">
        <f>'FUN-3 (Functional COS)'!S188</f>
        <v>292603.32093537331</v>
      </c>
      <c r="T229" s="26">
        <f t="shared" ref="T229:T231" si="248">SUM(I229:S229)-H229</f>
        <v>0</v>
      </c>
    </row>
    <row r="230" spans="1:20" x14ac:dyDescent="0.2">
      <c r="A230" s="35">
        <f>+A229+1</f>
        <v>161</v>
      </c>
      <c r="B230" s="38"/>
      <c r="C230" s="23"/>
      <c r="D230" s="23"/>
      <c r="E230" s="23" t="s">
        <v>12</v>
      </c>
      <c r="F230" s="23"/>
      <c r="G230" s="23"/>
      <c r="H230" s="9">
        <f>'FUN-3 (Functional COS)'!H208</f>
        <v>13366345.315140327</v>
      </c>
      <c r="I230" s="9">
        <f>'FUN-3 (Functional COS)'!I208</f>
        <v>225046.39158752811</v>
      </c>
      <c r="J230" s="9">
        <f>'FUN-3 (Functional COS)'!J208</f>
        <v>1435485.2043754328</v>
      </c>
      <c r="K230" s="9">
        <f>'FUN-3 (Functional COS)'!K208</f>
        <v>4551663.7583411802</v>
      </c>
      <c r="L230" s="9">
        <f>'FUN-3 (Functional COS)'!L208</f>
        <v>3948249.7119167717</v>
      </c>
      <c r="M230" s="9">
        <f>'FUN-3 (Functional COS)'!M208</f>
        <v>2301880.9495688649</v>
      </c>
      <c r="N230" s="9">
        <f>'FUN-3 (Functional COS)'!N208</f>
        <v>278157.82988584938</v>
      </c>
      <c r="O230" s="9">
        <f>'FUN-3 (Functional COS)'!O208</f>
        <v>9523.0698803637042</v>
      </c>
      <c r="P230" s="9">
        <f>'FUN-3 (Functional COS)'!P208</f>
        <v>528584.71812957025</v>
      </c>
      <c r="Q230" s="9">
        <f>'FUN-3 (Functional COS)'!Q208</f>
        <v>10058.718958622252</v>
      </c>
      <c r="R230" s="9">
        <f>'FUN-3 (Functional COS)'!R208</f>
        <v>15552.931658467927</v>
      </c>
      <c r="S230" s="9">
        <f>'FUN-3 (Functional COS)'!S208</f>
        <v>62142.030837672894</v>
      </c>
      <c r="T230" s="246">
        <f t="shared" si="248"/>
        <v>0</v>
      </c>
    </row>
    <row r="231" spans="1:20" x14ac:dyDescent="0.2">
      <c r="A231" s="33">
        <f>+A230+1</f>
        <v>162</v>
      </c>
      <c r="D231" s="20" t="s">
        <v>8</v>
      </c>
      <c r="H231" s="34">
        <f t="shared" ref="H231:S231" si="249">SUM(H229:H230)</f>
        <v>30159602.384079948</v>
      </c>
      <c r="I231" s="34">
        <f t="shared" si="249"/>
        <v>750619.06265259441</v>
      </c>
      <c r="J231" s="34">
        <f t="shared" si="249"/>
        <v>2768474.6450103321</v>
      </c>
      <c r="K231" s="34">
        <f t="shared" si="249"/>
        <v>8778332.0017308369</v>
      </c>
      <c r="L231" s="34">
        <f t="shared" si="249"/>
        <v>7654375.2747317702</v>
      </c>
      <c r="M231" s="34">
        <f t="shared" si="249"/>
        <v>4865339.4733476471</v>
      </c>
      <c r="N231" s="34">
        <f t="shared" si="249"/>
        <v>492375.97858750937</v>
      </c>
      <c r="O231" s="34">
        <f t="shared" si="249"/>
        <v>11964.978103459976</v>
      </c>
      <c r="P231" s="34">
        <f t="shared" si="249"/>
        <v>4286246.9373198105</v>
      </c>
      <c r="Q231" s="34">
        <f t="shared" ref="Q231:R231" si="250">SUM(Q229:Q230)</f>
        <v>77420.31268217969</v>
      </c>
      <c r="R231" s="34">
        <f t="shared" si="250"/>
        <v>119708.36814075643</v>
      </c>
      <c r="S231" s="34">
        <f t="shared" si="249"/>
        <v>354745.35177304619</v>
      </c>
      <c r="T231" s="26">
        <f t="shared" si="248"/>
        <v>0</v>
      </c>
    </row>
    <row r="232" spans="1:20" x14ac:dyDescent="0.2">
      <c r="A232" s="33"/>
      <c r="H232" s="26"/>
      <c r="T232" s="26"/>
    </row>
    <row r="233" spans="1:20" x14ac:dyDescent="0.2">
      <c r="A233" s="33">
        <f>+A231+1</f>
        <v>163</v>
      </c>
      <c r="D233" s="20" t="s">
        <v>172</v>
      </c>
      <c r="H233" s="34">
        <f t="shared" ref="H233:S233" si="251">H226-H231</f>
        <v>9321081.6238024309</v>
      </c>
      <c r="I233" s="34">
        <f>I226-I231</f>
        <v>210761.86532336276</v>
      </c>
      <c r="J233" s="34">
        <f t="shared" si="251"/>
        <v>1036765.1828994206</v>
      </c>
      <c r="K233" s="34">
        <f t="shared" si="251"/>
        <v>3287394.7390955202</v>
      </c>
      <c r="L233" s="34">
        <f t="shared" si="251"/>
        <v>2841983.9234889261</v>
      </c>
      <c r="M233" s="34">
        <f t="shared" si="251"/>
        <v>1542267.1852117861</v>
      </c>
      <c r="N233" s="34">
        <f t="shared" si="251"/>
        <v>194560.30420140189</v>
      </c>
      <c r="O233" s="34">
        <f t="shared" si="251"/>
        <v>7579.4382737168089</v>
      </c>
      <c r="P233" s="34">
        <f t="shared" si="251"/>
        <v>176078.34869014751</v>
      </c>
      <c r="Q233" s="34">
        <f t="shared" ref="Q233:R233" si="252">Q226-Q231</f>
        <v>3962.4235460156633</v>
      </c>
      <c r="R233" s="34">
        <f t="shared" si="252"/>
        <v>6126.7545963454322</v>
      </c>
      <c r="S233" s="34">
        <f t="shared" si="251"/>
        <v>13601.458475789463</v>
      </c>
      <c r="T233" s="26">
        <f>SUM(I233:S233)-H233</f>
        <v>0</v>
      </c>
    </row>
    <row r="234" spans="1:20" x14ac:dyDescent="0.2">
      <c r="A234" s="33"/>
      <c r="H234" s="34"/>
      <c r="I234" s="34"/>
      <c r="J234" s="34"/>
      <c r="K234" s="34"/>
      <c r="L234" s="34"/>
      <c r="M234" s="34"/>
      <c r="N234" s="34"/>
      <c r="O234" s="34"/>
      <c r="P234" s="34"/>
      <c r="Q234" s="34"/>
      <c r="R234" s="34"/>
      <c r="S234" s="34"/>
      <c r="T234" s="26"/>
    </row>
    <row r="235" spans="1:20" x14ac:dyDescent="0.2">
      <c r="A235" s="33"/>
      <c r="D235" s="20" t="s">
        <v>53</v>
      </c>
      <c r="H235" s="34"/>
      <c r="I235" s="34"/>
      <c r="J235" s="34"/>
      <c r="K235" s="34"/>
      <c r="L235" s="34"/>
      <c r="M235" s="34"/>
      <c r="N235" s="34"/>
      <c r="O235" s="34"/>
      <c r="P235" s="34"/>
      <c r="Q235" s="34"/>
      <c r="R235" s="34"/>
      <c r="S235" s="34"/>
      <c r="T235" s="26"/>
    </row>
    <row r="236" spans="1:20" x14ac:dyDescent="0.2">
      <c r="A236" s="33">
        <f>+A233+1</f>
        <v>164</v>
      </c>
      <c r="B236" s="36">
        <v>47</v>
      </c>
      <c r="C236" s="33">
        <v>427</v>
      </c>
      <c r="E236" s="20" t="s">
        <v>52</v>
      </c>
      <c r="H236" s="34">
        <f>'FUN-2 (Test Year)'!I248</f>
        <v>-3795948.86</v>
      </c>
      <c r="I236" s="34">
        <f>INDEX(AlocTable,MATCH($B236,AlocList),3)*$H236</f>
        <v>-63648.919119972365</v>
      </c>
      <c r="J236" s="34">
        <f>INDEX(AlocTable,MATCH($B236,AlocList),4)*$H236</f>
        <v>-423805.56725219061</v>
      </c>
      <c r="K236" s="34">
        <f>INDEX(AlocTable,MATCH($B236,AlocList),5)*$H236</f>
        <v>-1343810.7443847335</v>
      </c>
      <c r="L236" s="34">
        <f>INDEX(AlocTable,MATCH($B236,AlocList),6)*$H236</f>
        <v>-1162980.6492462242</v>
      </c>
      <c r="M236" s="34">
        <f>INDEX(AlocTable,MATCH($B236,AlocList),7)*$H236</f>
        <v>-624075.20130790444</v>
      </c>
      <c r="N236" s="34">
        <f>INDEX(AlocTable,MATCH($B236,AlocList),8)*$H236</f>
        <v>-78452.496460293813</v>
      </c>
      <c r="O236" s="34">
        <f>INDEX(AlocTable,MATCH($B236,AlocList),9)*$H236</f>
        <v>-3037.0122628473896</v>
      </c>
      <c r="P236" s="34">
        <f>INDEX(AlocTable,MATCH($B236,AlocList),10)*$H236</f>
        <v>-85446.433301754078</v>
      </c>
      <c r="Q236" s="34">
        <f>INDEX(AlocTable,MATCH($B236,AlocList),11)*$H236</f>
        <v>-1739.3365999106009</v>
      </c>
      <c r="R236" s="34">
        <f>INDEX(AlocTable,MATCH($B236,AlocList),12)*$H236</f>
        <v>-2689.3865293147483</v>
      </c>
      <c r="S236" s="34">
        <f>INDEX(AlocTable,MATCH($B236,AlocList),13)*$H236</f>
        <v>-6263.1135348527332</v>
      </c>
      <c r="T236" s="26">
        <f t="shared" ref="T236:T238" si="253">SUM(I236:S236)-H236</f>
        <v>0</v>
      </c>
    </row>
    <row r="237" spans="1:20" x14ac:dyDescent="0.2">
      <c r="A237" s="35">
        <f>+A236+1</f>
        <v>165</v>
      </c>
      <c r="B237" s="38">
        <v>47</v>
      </c>
      <c r="C237" s="23"/>
      <c r="D237" s="23"/>
      <c r="E237" s="23" t="s">
        <v>181</v>
      </c>
      <c r="F237" s="23"/>
      <c r="G237" s="23"/>
      <c r="H237" s="9">
        <f>'FUN-2 (Test Year)'!I249</f>
        <v>0</v>
      </c>
      <c r="I237" s="9">
        <f>INDEX(AlocTable,MATCH($B237,AlocList),3)*$H237</f>
        <v>0</v>
      </c>
      <c r="J237" s="9">
        <f>INDEX(AlocTable,MATCH($B237,AlocList),4)*$H237</f>
        <v>0</v>
      </c>
      <c r="K237" s="9">
        <f>INDEX(AlocTable,MATCH($B237,AlocList),5)*$H237</f>
        <v>0</v>
      </c>
      <c r="L237" s="9">
        <f>INDEX(AlocTable,MATCH($B237,AlocList),6)*$H237</f>
        <v>0</v>
      </c>
      <c r="M237" s="9">
        <f>INDEX(AlocTable,MATCH($B237,AlocList),7)*$H237</f>
        <v>0</v>
      </c>
      <c r="N237" s="9">
        <f>INDEX(AlocTable,MATCH($B237,AlocList),8)*$H237</f>
        <v>0</v>
      </c>
      <c r="O237" s="9">
        <f>INDEX(AlocTable,MATCH($B237,AlocList),9)*$H237</f>
        <v>0</v>
      </c>
      <c r="P237" s="9">
        <f>INDEX(AlocTable,MATCH($B237,AlocList),10)*$H237</f>
        <v>0</v>
      </c>
      <c r="Q237" s="9">
        <f>INDEX(AlocTable,MATCH($B237,AlocList),11)*$H237</f>
        <v>0</v>
      </c>
      <c r="R237" s="9">
        <f>INDEX(AlocTable,MATCH($B237,AlocList),12)*$H237</f>
        <v>0</v>
      </c>
      <c r="S237" s="9">
        <f>INDEX(AlocTable,MATCH($B237,AlocList),13)*$H237</f>
        <v>0</v>
      </c>
      <c r="T237" s="246">
        <f t="shared" si="253"/>
        <v>0</v>
      </c>
    </row>
    <row r="238" spans="1:20" x14ac:dyDescent="0.2">
      <c r="A238" s="33">
        <f>+A237+1</f>
        <v>166</v>
      </c>
      <c r="D238" s="20" t="s">
        <v>156</v>
      </c>
      <c r="H238" s="34">
        <f t="shared" ref="H238:S238" si="254">SUM(H236:H237)</f>
        <v>-3795948.86</v>
      </c>
      <c r="I238" s="34">
        <f t="shared" si="254"/>
        <v>-63648.919119972365</v>
      </c>
      <c r="J238" s="34">
        <f t="shared" si="254"/>
        <v>-423805.56725219061</v>
      </c>
      <c r="K238" s="34">
        <f t="shared" si="254"/>
        <v>-1343810.7443847335</v>
      </c>
      <c r="L238" s="34">
        <f t="shared" si="254"/>
        <v>-1162980.6492462242</v>
      </c>
      <c r="M238" s="34">
        <f t="shared" si="254"/>
        <v>-624075.20130790444</v>
      </c>
      <c r="N238" s="34">
        <f t="shared" si="254"/>
        <v>-78452.496460293813</v>
      </c>
      <c r="O238" s="34">
        <f t="shared" si="254"/>
        <v>-3037.0122628473896</v>
      </c>
      <c r="P238" s="34">
        <f t="shared" si="254"/>
        <v>-85446.433301754078</v>
      </c>
      <c r="Q238" s="34">
        <f t="shared" ref="Q238:R238" si="255">SUM(Q236:Q237)</f>
        <v>-1739.3365999106009</v>
      </c>
      <c r="R238" s="34">
        <f t="shared" si="255"/>
        <v>-2689.3865293147483</v>
      </c>
      <c r="S238" s="34">
        <f t="shared" si="254"/>
        <v>-6263.1135348527332</v>
      </c>
      <c r="T238" s="26">
        <f t="shared" si="253"/>
        <v>0</v>
      </c>
    </row>
    <row r="239" spans="1:20" x14ac:dyDescent="0.2">
      <c r="A239" s="33"/>
      <c r="H239" s="34"/>
      <c r="I239" s="34"/>
      <c r="J239" s="34"/>
      <c r="K239" s="34"/>
      <c r="L239" s="34"/>
      <c r="M239" s="34"/>
      <c r="N239" s="34"/>
      <c r="O239" s="34"/>
      <c r="P239" s="34"/>
      <c r="Q239" s="34"/>
      <c r="R239" s="34"/>
      <c r="S239" s="34"/>
      <c r="T239" s="26"/>
    </row>
    <row r="240" spans="1:20" x14ac:dyDescent="0.2">
      <c r="A240" s="33">
        <f>+A238+1</f>
        <v>167</v>
      </c>
      <c r="B240" s="255"/>
      <c r="D240" s="42" t="s">
        <v>180</v>
      </c>
      <c r="E240" s="42"/>
      <c r="H240" s="41">
        <f t="shared" ref="H240:S240" si="256">H233+H238</f>
        <v>5525132.7638024315</v>
      </c>
      <c r="I240" s="41">
        <f>I233+I238</f>
        <v>147112.9462033904</v>
      </c>
      <c r="J240" s="41">
        <f t="shared" si="256"/>
        <v>612959.61564723006</v>
      </c>
      <c r="K240" s="41">
        <f t="shared" si="256"/>
        <v>1943583.9947107867</v>
      </c>
      <c r="L240" s="41">
        <f t="shared" si="256"/>
        <v>1679003.2742427019</v>
      </c>
      <c r="M240" s="41">
        <f t="shared" si="256"/>
        <v>918191.98390388163</v>
      </c>
      <c r="N240" s="41">
        <f t="shared" si="256"/>
        <v>116107.80774110807</v>
      </c>
      <c r="O240" s="41">
        <f t="shared" si="256"/>
        <v>4542.4260108694198</v>
      </c>
      <c r="P240" s="41">
        <f t="shared" si="256"/>
        <v>90631.915388393434</v>
      </c>
      <c r="Q240" s="41">
        <f t="shared" ref="Q240:R240" si="257">Q233+Q238</f>
        <v>2223.0869461050625</v>
      </c>
      <c r="R240" s="41">
        <f t="shared" si="257"/>
        <v>3437.368067030684</v>
      </c>
      <c r="S240" s="41">
        <f t="shared" si="256"/>
        <v>7338.3449409367295</v>
      </c>
      <c r="T240" s="26">
        <f>SUM(I240:S240)-H240</f>
        <v>0</v>
      </c>
    </row>
    <row r="241" spans="1:32" x14ac:dyDescent="0.2">
      <c r="A241" s="33"/>
      <c r="H241" s="26"/>
      <c r="T241" s="26"/>
    </row>
    <row r="242" spans="1:32" x14ac:dyDescent="0.2">
      <c r="A242" s="33"/>
      <c r="D242" s="20" t="s">
        <v>13</v>
      </c>
      <c r="H242" s="26"/>
      <c r="T242" s="26"/>
    </row>
    <row r="243" spans="1:32" x14ac:dyDescent="0.2">
      <c r="A243" s="33"/>
      <c r="E243" s="20" t="s">
        <v>479</v>
      </c>
      <c r="H243" s="26"/>
      <c r="T243" s="26"/>
    </row>
    <row r="244" spans="1:32" x14ac:dyDescent="0.2">
      <c r="A244" s="33">
        <f>+A240+1</f>
        <v>168</v>
      </c>
      <c r="B244" s="36">
        <v>47</v>
      </c>
      <c r="C244" s="33">
        <v>409111</v>
      </c>
      <c r="E244" s="19" t="s">
        <v>480</v>
      </c>
      <c r="H244" s="34">
        <f>'FUN-2 (Test Year)'!I258</f>
        <v>1160277.8803985054</v>
      </c>
      <c r="I244" s="34">
        <f>I240*I255</f>
        <v>30893.718702711983</v>
      </c>
      <c r="J244" s="34">
        <f t="shared" ref="J244:S244" si="258">J240*J255</f>
        <v>128721.51928591832</v>
      </c>
      <c r="K244" s="34">
        <f t="shared" si="258"/>
        <v>408152.63888926519</v>
      </c>
      <c r="L244" s="34">
        <f t="shared" si="258"/>
        <v>352590.6875909674</v>
      </c>
      <c r="M244" s="34">
        <f t="shared" si="258"/>
        <v>192820.31661981513</v>
      </c>
      <c r="N244" s="34">
        <f t="shared" si="258"/>
        <v>24382.639625632695</v>
      </c>
      <c r="O244" s="34">
        <f t="shared" si="258"/>
        <v>953.90946228257815</v>
      </c>
      <c r="P244" s="34">
        <f t="shared" si="258"/>
        <v>19032.70223156262</v>
      </c>
      <c r="Q244" s="34">
        <f t="shared" si="258"/>
        <v>466.84825868206309</v>
      </c>
      <c r="R244" s="34">
        <f t="shared" si="258"/>
        <v>721.84729407644363</v>
      </c>
      <c r="S244" s="34">
        <f t="shared" si="258"/>
        <v>1541.0524375967132</v>
      </c>
      <c r="T244" s="26">
        <f t="shared" ref="T244:T253" si="259">SUM(I244:S244)-H244</f>
        <v>5.8207660913467407E-9</v>
      </c>
    </row>
    <row r="245" spans="1:32" x14ac:dyDescent="0.2">
      <c r="A245" s="33">
        <f t="shared" ref="A245:A251" si="260">+A244+1</f>
        <v>169</v>
      </c>
      <c r="B245" s="36">
        <v>47</v>
      </c>
      <c r="C245" s="33">
        <v>409118</v>
      </c>
      <c r="E245" s="19" t="s">
        <v>481</v>
      </c>
      <c r="H245" s="34">
        <f>'FUN-2 (Test Year)'!I259</f>
        <v>-6956.7988582348262</v>
      </c>
      <c r="I245" s="34">
        <f>INDEX(AlocTable,MATCH($B245,AlocList),3)*$H245</f>
        <v>-116.64876008411362</v>
      </c>
      <c r="J245" s="34">
        <f>INDEX(AlocTable,MATCH($B245,AlocList),4)*$H245</f>
        <v>-776.70437487759057</v>
      </c>
      <c r="K245" s="34">
        <f>INDEX(AlocTable,MATCH($B245,AlocList),5)*$H245</f>
        <v>-2462.7889882108175</v>
      </c>
      <c r="L245" s="34">
        <f>INDEX(AlocTable,MATCH($B245,AlocList),6)*$H245</f>
        <v>-2131.3834172216248</v>
      </c>
      <c r="M245" s="34">
        <f>INDEX(AlocTable,MATCH($B245,AlocList),7)*$H245</f>
        <v>-1143.736601317516</v>
      </c>
      <c r="N245" s="34">
        <f>INDEX(AlocTable,MATCH($B245,AlocList),8)*$H245</f>
        <v>-143.77913347353257</v>
      </c>
      <c r="O245" s="34">
        <f>INDEX(AlocTable,MATCH($B245,AlocList),9)*$H245</f>
        <v>-5.5659030776884295</v>
      </c>
      <c r="P245" s="34">
        <f>INDEX(AlocTable,MATCH($B245,AlocList),10)*$H245</f>
        <v>-156.59685405611103</v>
      </c>
      <c r="Q245" s="34">
        <f>INDEX(AlocTable,MATCH($B245,AlocList),11)*$H245</f>
        <v>-3.1876654082068203</v>
      </c>
      <c r="R245" s="34">
        <f>INDEX(AlocTable,MATCH($B245,AlocList),12)*$H245</f>
        <v>-4.92881274920257</v>
      </c>
      <c r="S245" s="34">
        <f>INDEX(AlocTable,MATCH($B245,AlocList),13)*$H245</f>
        <v>-11.478347758420165</v>
      </c>
      <c r="T245" s="26">
        <f t="shared" si="259"/>
        <v>0</v>
      </c>
    </row>
    <row r="246" spans="1:32" x14ac:dyDescent="0.2">
      <c r="A246" s="33">
        <f t="shared" si="260"/>
        <v>170</v>
      </c>
      <c r="B246" s="36">
        <v>47</v>
      </c>
      <c r="C246" s="33">
        <v>409119</v>
      </c>
      <c r="E246" s="19" t="s">
        <v>110</v>
      </c>
      <c r="H246" s="34">
        <f>'FUN-2 (Test Year)'!I260</f>
        <v>-856239.83339999826</v>
      </c>
      <c r="I246" s="34">
        <f>INDEX(AlocTable,MATCH($B246,AlocList),3)*$H246</f>
        <v>-14357.079590206889</v>
      </c>
      <c r="J246" s="34">
        <f>INDEX(AlocTable,MATCH($B246,AlocList),4)*$H246</f>
        <v>-95596.442860931333</v>
      </c>
      <c r="K246" s="34">
        <f>INDEX(AlocTable,MATCH($B246,AlocList),5)*$H246</f>
        <v>-303119.01722857036</v>
      </c>
      <c r="L246" s="34">
        <f>INDEX(AlocTable,MATCH($B246,AlocList),6)*$H246</f>
        <v>-262329.7610384585</v>
      </c>
      <c r="M246" s="34">
        <f>INDEX(AlocTable,MATCH($B246,AlocList),7)*$H246</f>
        <v>-140770.61259380361</v>
      </c>
      <c r="N246" s="34">
        <f>INDEX(AlocTable,MATCH($B246,AlocList),8)*$H246</f>
        <v>-17696.274364185174</v>
      </c>
      <c r="O246" s="34">
        <f>INDEX(AlocTable,MATCH($B246,AlocList),9)*$H246</f>
        <v>-685.04897454656452</v>
      </c>
      <c r="P246" s="34">
        <f>INDEX(AlocTable,MATCH($B246,AlocList),10)*$H246</f>
        <v>-19273.87394120952</v>
      </c>
      <c r="Q246" s="34">
        <f>INDEX(AlocTable,MATCH($B246,AlocList),11)*$H246</f>
        <v>-392.33649752962492</v>
      </c>
      <c r="R246" s="34">
        <f>INDEX(AlocTable,MATCH($B246,AlocList),12)*$H246</f>
        <v>-606.63616890999413</v>
      </c>
      <c r="S246" s="34">
        <f>INDEX(AlocTable,MATCH($B246,AlocList),13)*$H246</f>
        <v>-1412.7501416464231</v>
      </c>
      <c r="T246" s="26">
        <f t="shared" ref="T246" si="261">SUM(I246:S246)-H246</f>
        <v>0</v>
      </c>
    </row>
    <row r="247" spans="1:32" x14ac:dyDescent="0.2">
      <c r="A247" s="33">
        <f t="shared" si="260"/>
        <v>171</v>
      </c>
      <c r="B247" s="20"/>
      <c r="C247" s="33"/>
      <c r="D247" s="20" t="s">
        <v>680</v>
      </c>
      <c r="H247" s="191"/>
      <c r="I247" s="27"/>
      <c r="J247" s="248"/>
      <c r="K247" s="191"/>
      <c r="L247" s="191"/>
      <c r="M247" s="191"/>
      <c r="N247" s="191"/>
      <c r="O247" s="191"/>
      <c r="P247" s="191"/>
      <c r="Q247" s="191"/>
      <c r="R247" s="191"/>
      <c r="S247" s="191"/>
      <c r="T247" s="191"/>
      <c r="U247" s="191"/>
      <c r="V247" s="191"/>
      <c r="W247" s="191"/>
      <c r="X247" s="191"/>
      <c r="Y247" s="191"/>
      <c r="Z247" s="191"/>
      <c r="AA247" s="191"/>
      <c r="AB247" s="191"/>
      <c r="AC247" s="191"/>
      <c r="AD247" s="191"/>
      <c r="AE247" s="191"/>
      <c r="AF247" s="191"/>
    </row>
    <row r="248" spans="1:32" x14ac:dyDescent="0.2">
      <c r="A248" s="33">
        <f t="shared" si="260"/>
        <v>172</v>
      </c>
      <c r="B248" s="36">
        <v>47</v>
      </c>
      <c r="C248" s="33">
        <v>409121</v>
      </c>
      <c r="D248" s="19"/>
      <c r="E248" s="20" t="s">
        <v>480</v>
      </c>
      <c r="H248" s="27">
        <f>'FUN-2 (Test Year)'!I262</f>
        <v>0</v>
      </c>
      <c r="I248" s="34">
        <f>INDEX(AlocTable,MATCH($B248,AlocList),3)*$H248</f>
        <v>0</v>
      </c>
      <c r="J248" s="34">
        <f>INDEX(AlocTable,MATCH($B248,AlocList),4)*$H248</f>
        <v>0</v>
      </c>
      <c r="K248" s="34">
        <f>INDEX(AlocTable,MATCH($B248,AlocList),5)*$H248</f>
        <v>0</v>
      </c>
      <c r="L248" s="34">
        <f>INDEX(AlocTable,MATCH($B248,AlocList),6)*$H248</f>
        <v>0</v>
      </c>
      <c r="M248" s="34">
        <f>INDEX(AlocTable,MATCH($B248,AlocList),7)*$H248</f>
        <v>0</v>
      </c>
      <c r="N248" s="34">
        <f>INDEX(AlocTable,MATCH($B248,AlocList),8)*$H248</f>
        <v>0</v>
      </c>
      <c r="O248" s="34">
        <f>INDEX(AlocTable,MATCH($B248,AlocList),9)*$H248</f>
        <v>0</v>
      </c>
      <c r="P248" s="34">
        <f>INDEX(AlocTable,MATCH($B248,AlocList),10)*$H248</f>
        <v>0</v>
      </c>
      <c r="Q248" s="34">
        <f>INDEX(AlocTable,MATCH($B248,AlocList),11)*$H248</f>
        <v>0</v>
      </c>
      <c r="R248" s="34">
        <f>INDEX(AlocTable,MATCH($B248,AlocList),12)*$H248</f>
        <v>0</v>
      </c>
      <c r="S248" s="34">
        <f>INDEX(AlocTable,MATCH($B248,AlocList),13)*$H248</f>
        <v>0</v>
      </c>
      <c r="T248" s="26">
        <f t="shared" si="259"/>
        <v>0</v>
      </c>
      <c r="U248" s="191"/>
      <c r="V248" s="191"/>
      <c r="W248" s="191"/>
      <c r="X248" s="191"/>
      <c r="Y248" s="191"/>
      <c r="Z248" s="191"/>
      <c r="AA248" s="191"/>
      <c r="AB248" s="191"/>
      <c r="AC248" s="191"/>
      <c r="AD248" s="191"/>
      <c r="AE248" s="191"/>
      <c r="AF248" s="191"/>
    </row>
    <row r="249" spans="1:32" x14ac:dyDescent="0.2">
      <c r="A249" s="33">
        <f t="shared" si="260"/>
        <v>173</v>
      </c>
      <c r="B249" s="36">
        <v>47</v>
      </c>
      <c r="C249" s="33" t="s">
        <v>482</v>
      </c>
      <c r="E249" s="20" t="s">
        <v>369</v>
      </c>
      <c r="H249" s="34">
        <f>'FUN-2 (Test Year)'!I263</f>
        <v>564080.31000000006</v>
      </c>
      <c r="I249" s="34">
        <f>INDEX(AlocTable,MATCH($B249,AlocList),3)*$H249</f>
        <v>9458.2681043703378</v>
      </c>
      <c r="J249" s="34">
        <f>INDEX(AlocTable,MATCH($B249,AlocList),4)*$H249</f>
        <v>62977.765131256681</v>
      </c>
      <c r="K249" s="34">
        <f>INDEX(AlocTable,MATCH($B249,AlocList),5)*$H249</f>
        <v>199691.0941718723</v>
      </c>
      <c r="L249" s="34">
        <f>INDEX(AlocTable,MATCH($B249,AlocList),6)*$H249</f>
        <v>172819.63201970313</v>
      </c>
      <c r="M249" s="34">
        <f>INDEX(AlocTable,MATCH($B249,AlocList),7)*$H249</f>
        <v>92737.95459327531</v>
      </c>
      <c r="N249" s="34">
        <f>INDEX(AlocTable,MATCH($B249,AlocList),8)*$H249</f>
        <v>11658.088703438551</v>
      </c>
      <c r="O249" s="34">
        <f>INDEX(AlocTable,MATCH($B249,AlocList),9)*$H249</f>
        <v>451.30186993635033</v>
      </c>
      <c r="P249" s="34">
        <f>INDEX(AlocTable,MATCH($B249,AlocList),10)*$H249</f>
        <v>12697.391973096228</v>
      </c>
      <c r="Q249" s="34">
        <f>INDEX(AlocTable,MATCH($B249,AlocList),11)*$H249</f>
        <v>258.46647693560283</v>
      </c>
      <c r="R249" s="34">
        <f>INDEX(AlocTable,MATCH($B249,AlocList),12)*$H249</f>
        <v>399.6444744426002</v>
      </c>
      <c r="S249" s="34">
        <f>INDEX(AlocTable,MATCH($B249,AlocList),13)*$H249</f>
        <v>930.702481672771</v>
      </c>
      <c r="T249" s="26">
        <f t="shared" si="259"/>
        <v>0</v>
      </c>
    </row>
    <row r="250" spans="1:32" x14ac:dyDescent="0.2">
      <c r="A250" s="35">
        <f t="shared" si="260"/>
        <v>174</v>
      </c>
      <c r="B250" s="38">
        <v>47</v>
      </c>
      <c r="C250" s="35">
        <v>411401</v>
      </c>
      <c r="D250" s="23"/>
      <c r="E250" s="23" t="s">
        <v>179</v>
      </c>
      <c r="F250" s="23"/>
      <c r="G250" s="23"/>
      <c r="H250" s="9">
        <f>'FUN-2 (Test Year)'!I264</f>
        <v>-860.07</v>
      </c>
      <c r="I250" s="9">
        <f>INDEX(AlocTable,MATCH($B250,AlocList),3)*$H250</f>
        <v>-14.421302258406779</v>
      </c>
      <c r="J250" s="9">
        <f>INDEX(AlocTable,MATCH($B250,AlocList),4)*$H250</f>
        <v>-96.024068729574921</v>
      </c>
      <c r="K250" s="9">
        <f>INDEX(AlocTable,MATCH($B250,AlocList),5)*$H250</f>
        <v>-304.47494145718758</v>
      </c>
      <c r="L250" s="9">
        <f>INDEX(AlocTable,MATCH($B250,AlocList),6)*$H250</f>
        <v>-263.5032251191077</v>
      </c>
      <c r="M250" s="9">
        <f>INDEX(AlocTable,MATCH($B250,AlocList),7)*$H250</f>
        <v>-141.40031338274918</v>
      </c>
      <c r="N250" s="9">
        <f>INDEX(AlocTable,MATCH($B250,AlocList),8)*$H250</f>
        <v>-17.775434053293573</v>
      </c>
      <c r="O250" s="9">
        <f>INDEX(AlocTable,MATCH($B250,AlocList),9)*$H250</f>
        <v>-0.68811336328360195</v>
      </c>
      <c r="P250" s="9">
        <f>INDEX(AlocTable,MATCH($B250,AlocList),10)*$H250</f>
        <v>-19.360090612453522</v>
      </c>
      <c r="Q250" s="9">
        <f>INDEX(AlocTable,MATCH($B250,AlocList),11)*$H250</f>
        <v>-0.39409151299396344</v>
      </c>
      <c r="R250" s="9">
        <f>INDEX(AlocTable,MATCH($B250,AlocList),12)*$H250</f>
        <v>-0.6093497983183408</v>
      </c>
      <c r="S250" s="9">
        <f>INDEX(AlocTable,MATCH($B250,AlocList),13)*$H250</f>
        <v>-1.4190697126306362</v>
      </c>
      <c r="T250" s="246">
        <f t="shared" si="259"/>
        <v>0</v>
      </c>
    </row>
    <row r="251" spans="1:32" x14ac:dyDescent="0.2">
      <c r="A251" s="33">
        <f t="shared" si="260"/>
        <v>175</v>
      </c>
      <c r="D251" s="42"/>
      <c r="E251" s="20" t="s">
        <v>286</v>
      </c>
      <c r="H251" s="34">
        <f>SUM(H244:H250)</f>
        <v>860301.48814027233</v>
      </c>
      <c r="I251" s="26">
        <f>SUM(I244:I250)</f>
        <v>25863.83715453291</v>
      </c>
      <c r="J251" s="26">
        <f t="shared" ref="J251:S251" si="262">SUM(J244:J250)</f>
        <v>95230.113112636493</v>
      </c>
      <c r="K251" s="26">
        <f t="shared" si="262"/>
        <v>301957.45190289908</v>
      </c>
      <c r="L251" s="26">
        <f t="shared" si="262"/>
        <v>260685.67192987131</v>
      </c>
      <c r="M251" s="26">
        <f t="shared" si="262"/>
        <v>143502.52170458657</v>
      </c>
      <c r="N251" s="26">
        <f t="shared" si="262"/>
        <v>18182.899397359244</v>
      </c>
      <c r="O251" s="26">
        <f t="shared" si="262"/>
        <v>713.908341231392</v>
      </c>
      <c r="P251" s="26">
        <f t="shared" si="262"/>
        <v>12280.263318780762</v>
      </c>
      <c r="Q251" s="26">
        <f t="shared" si="262"/>
        <v>329.3964811668402</v>
      </c>
      <c r="R251" s="26">
        <f t="shared" si="262"/>
        <v>509.31743706152872</v>
      </c>
      <c r="S251" s="26">
        <f t="shared" si="262"/>
        <v>1046.1073601520102</v>
      </c>
      <c r="T251" s="26">
        <f t="shared" si="259"/>
        <v>5.9371814131736755E-9</v>
      </c>
    </row>
    <row r="252" spans="1:32" s="4" customFormat="1" x14ac:dyDescent="0.2"/>
    <row r="253" spans="1:32" x14ac:dyDescent="0.2">
      <c r="A253" s="33">
        <f>+A251+1</f>
        <v>176</v>
      </c>
      <c r="D253" s="42" t="s">
        <v>173</v>
      </c>
      <c r="E253" s="42"/>
      <c r="F253" s="42"/>
      <c r="G253" s="42"/>
      <c r="H253" s="41">
        <f t="shared" ref="H253:S253" si="263">SUM(H251:H252)</f>
        <v>860301.48814027233</v>
      </c>
      <c r="I253" s="41">
        <f t="shared" si="263"/>
        <v>25863.83715453291</v>
      </c>
      <c r="J253" s="41">
        <f t="shared" si="263"/>
        <v>95230.113112636493</v>
      </c>
      <c r="K253" s="41">
        <f t="shared" si="263"/>
        <v>301957.45190289908</v>
      </c>
      <c r="L253" s="41">
        <f t="shared" si="263"/>
        <v>260685.67192987131</v>
      </c>
      <c r="M253" s="41">
        <f t="shared" si="263"/>
        <v>143502.52170458657</v>
      </c>
      <c r="N253" s="41">
        <f t="shared" si="263"/>
        <v>18182.899397359244</v>
      </c>
      <c r="O253" s="41">
        <f t="shared" si="263"/>
        <v>713.908341231392</v>
      </c>
      <c r="P253" s="41">
        <f t="shared" si="263"/>
        <v>12280.263318780762</v>
      </c>
      <c r="Q253" s="41">
        <f t="shared" ref="Q253:R253" si="264">SUM(Q251:Q252)</f>
        <v>329.3964811668402</v>
      </c>
      <c r="R253" s="41">
        <f t="shared" si="264"/>
        <v>509.31743706152872</v>
      </c>
      <c r="S253" s="41">
        <f t="shared" si="263"/>
        <v>1046.1073601520102</v>
      </c>
      <c r="T253" s="41">
        <f t="shared" si="259"/>
        <v>5.9371814131736755E-9</v>
      </c>
    </row>
    <row r="254" spans="1:32" x14ac:dyDescent="0.2">
      <c r="A254" s="33"/>
      <c r="H254" s="26"/>
      <c r="I254" s="274"/>
      <c r="J254" s="274"/>
      <c r="K254" s="274"/>
      <c r="L254" s="274"/>
      <c r="M254" s="274"/>
      <c r="N254" s="274"/>
      <c r="O254" s="274"/>
      <c r="P254" s="274"/>
      <c r="Q254" s="274"/>
      <c r="R254" s="274"/>
      <c r="S254" s="274"/>
    </row>
    <row r="255" spans="1:32" x14ac:dyDescent="0.2">
      <c r="A255" s="33">
        <f>+A253+1</f>
        <v>177</v>
      </c>
      <c r="D255" s="20" t="s">
        <v>571</v>
      </c>
      <c r="H255" s="40">
        <f>'FUN-2 (Test Year)'!I271</f>
        <v>0.21</v>
      </c>
      <c r="I255" s="40">
        <f t="shared" ref="I255:T255" si="265">$H$255</f>
        <v>0.21</v>
      </c>
      <c r="J255" s="40">
        <f t="shared" si="265"/>
        <v>0.21</v>
      </c>
      <c r="K255" s="40">
        <f t="shared" si="265"/>
        <v>0.21</v>
      </c>
      <c r="L255" s="40">
        <f t="shared" si="265"/>
        <v>0.21</v>
      </c>
      <c r="M255" s="40">
        <f t="shared" si="265"/>
        <v>0.21</v>
      </c>
      <c r="N255" s="40">
        <f t="shared" si="265"/>
        <v>0.21</v>
      </c>
      <c r="O255" s="40">
        <f t="shared" si="265"/>
        <v>0.21</v>
      </c>
      <c r="P255" s="40">
        <f t="shared" si="265"/>
        <v>0.21</v>
      </c>
      <c r="Q255" s="40">
        <f t="shared" si="265"/>
        <v>0.21</v>
      </c>
      <c r="R255" s="40">
        <f t="shared" si="265"/>
        <v>0.21</v>
      </c>
      <c r="S255" s="40">
        <f t="shared" si="265"/>
        <v>0.21</v>
      </c>
      <c r="T255" s="40">
        <f t="shared" si="265"/>
        <v>0.21</v>
      </c>
    </row>
    <row r="256" spans="1:32" x14ac:dyDescent="0.2">
      <c r="A256" s="33"/>
      <c r="H256" s="275"/>
      <c r="I256" s="276"/>
    </row>
    <row r="257" spans="1:20" x14ac:dyDescent="0.2">
      <c r="A257" s="33">
        <f>+A255+1</f>
        <v>178</v>
      </c>
      <c r="D257" s="20" t="s">
        <v>48</v>
      </c>
      <c r="H257" s="275">
        <f t="shared" ref="H257:S257" si="266">H233-H253</f>
        <v>8460780.135662159</v>
      </c>
      <c r="I257" s="275">
        <f t="shared" si="266"/>
        <v>184898.02816882986</v>
      </c>
      <c r="J257" s="275">
        <f t="shared" si="266"/>
        <v>941535.06978678412</v>
      </c>
      <c r="K257" s="275">
        <f t="shared" si="266"/>
        <v>2985437.2871926213</v>
      </c>
      <c r="L257" s="275">
        <f t="shared" si="266"/>
        <v>2581298.2515590549</v>
      </c>
      <c r="M257" s="275">
        <f t="shared" si="266"/>
        <v>1398764.6635071994</v>
      </c>
      <c r="N257" s="275">
        <f t="shared" si="266"/>
        <v>176377.40480404266</v>
      </c>
      <c r="O257" s="275">
        <f t="shared" si="266"/>
        <v>6865.5299324854168</v>
      </c>
      <c r="P257" s="275">
        <f t="shared" si="266"/>
        <v>163798.08537136676</v>
      </c>
      <c r="Q257" s="275">
        <f t="shared" si="266"/>
        <v>3633.0270648488231</v>
      </c>
      <c r="R257" s="275">
        <f>R233-R253</f>
        <v>5617.4371592839034</v>
      </c>
      <c r="S257" s="275">
        <f t="shared" si="266"/>
        <v>12555.351115637452</v>
      </c>
      <c r="T257" s="275"/>
    </row>
    <row r="258" spans="1:20" x14ac:dyDescent="0.2">
      <c r="A258" s="33"/>
      <c r="H258" s="275"/>
      <c r="I258" s="275"/>
      <c r="J258" s="275"/>
      <c r="K258" s="275"/>
      <c r="L258" s="275"/>
      <c r="M258" s="275"/>
      <c r="N258" s="275"/>
      <c r="O258" s="275"/>
      <c r="P258" s="275"/>
      <c r="Q258" s="275"/>
      <c r="R258" s="275"/>
      <c r="S258" s="275"/>
      <c r="T258" s="275"/>
    </row>
    <row r="259" spans="1:20" x14ac:dyDescent="0.2">
      <c r="A259" s="33">
        <f>+A257+1</f>
        <v>179</v>
      </c>
      <c r="D259" s="20" t="s">
        <v>178</v>
      </c>
      <c r="H259" s="275">
        <f>H86</f>
        <v>198457117.23538473</v>
      </c>
      <c r="I259" s="275">
        <f t="shared" ref="I259:S259" si="267">I86</f>
        <v>4336991.2779350523</v>
      </c>
      <c r="J259" s="275">
        <f t="shared" si="267"/>
        <v>22084764.375132687</v>
      </c>
      <c r="K259" s="275">
        <f t="shared" si="267"/>
        <v>70026790.461788341</v>
      </c>
      <c r="L259" s="275">
        <f t="shared" si="267"/>
        <v>60547254.687532097</v>
      </c>
      <c r="M259" s="275">
        <f t="shared" si="267"/>
        <v>32809598.921061736</v>
      </c>
      <c r="N259" s="275">
        <f t="shared" si="267"/>
        <v>4137130.4704314196</v>
      </c>
      <c r="O259" s="275">
        <f t="shared" si="267"/>
        <v>161038.72891712576</v>
      </c>
      <c r="P259" s="275">
        <f t="shared" si="267"/>
        <v>3842068.3802502332</v>
      </c>
      <c r="Q259" s="275">
        <f t="shared" si="267"/>
        <v>85216.737294592444</v>
      </c>
      <c r="R259" s="275">
        <f t="shared" ref="R259" si="268">R86</f>
        <v>131763.30870287563</v>
      </c>
      <c r="S259" s="275">
        <f t="shared" si="267"/>
        <v>294499.88633849245</v>
      </c>
      <c r="T259" s="275"/>
    </row>
    <row r="260" spans="1:20" x14ac:dyDescent="0.2">
      <c r="A260" s="33"/>
      <c r="H260" s="275"/>
      <c r="I260" s="275"/>
      <c r="J260" s="275"/>
      <c r="K260" s="275"/>
      <c r="L260" s="275"/>
      <c r="M260" s="275"/>
      <c r="N260" s="275"/>
      <c r="O260" s="275"/>
      <c r="P260" s="275"/>
      <c r="Q260" s="275"/>
      <c r="R260" s="275"/>
      <c r="S260" s="275"/>
      <c r="T260" s="275"/>
    </row>
    <row r="261" spans="1:20" x14ac:dyDescent="0.2">
      <c r="A261" s="33">
        <f>+A259+1</f>
        <v>180</v>
      </c>
      <c r="D261" s="20" t="s">
        <v>10</v>
      </c>
      <c r="H261" s="277">
        <f>H257/H259</f>
        <v>4.2632787644632832E-2</v>
      </c>
      <c r="I261" s="277">
        <f>I257/I259</f>
        <v>4.2632787644632832E-2</v>
      </c>
      <c r="J261" s="277">
        <f>J257/J259</f>
        <v>4.2632787644632832E-2</v>
      </c>
      <c r="K261" s="277">
        <f t="shared" ref="K261:P261" si="269">K257/K259</f>
        <v>4.2632787644632818E-2</v>
      </c>
      <c r="L261" s="277">
        <f t="shared" si="269"/>
        <v>4.2632787644632818E-2</v>
      </c>
      <c r="M261" s="277">
        <f t="shared" si="269"/>
        <v>4.2632787644632832E-2</v>
      </c>
      <c r="N261" s="277">
        <f t="shared" si="269"/>
        <v>4.2632787644632839E-2</v>
      </c>
      <c r="O261" s="277">
        <f t="shared" si="269"/>
        <v>4.2632787644632845E-2</v>
      </c>
      <c r="P261" s="277">
        <f t="shared" si="269"/>
        <v>4.2632787644632866E-2</v>
      </c>
      <c r="Q261" s="277">
        <f>Q257/Q259</f>
        <v>4.2632787644632839E-2</v>
      </c>
      <c r="R261" s="277">
        <f>R257/R259</f>
        <v>4.2632787644632873E-2</v>
      </c>
      <c r="S261" s="277">
        <f>S257/S259</f>
        <v>4.2632787644632825E-2</v>
      </c>
      <c r="T261" s="277"/>
    </row>
    <row r="262" spans="1:20" x14ac:dyDescent="0.2">
      <c r="H262" s="277"/>
      <c r="I262" s="276"/>
    </row>
    <row r="263" spans="1:20" x14ac:dyDescent="0.2">
      <c r="A263" s="20" t="s">
        <v>45</v>
      </c>
    </row>
    <row r="264" spans="1:20" x14ac:dyDescent="0.2">
      <c r="A264" s="20" t="s">
        <v>301</v>
      </c>
    </row>
    <row r="266" spans="1:20" x14ac:dyDescent="0.2">
      <c r="A266" s="20" t="s">
        <v>843</v>
      </c>
    </row>
    <row r="267" spans="1:20" x14ac:dyDescent="0.2">
      <c r="A267" s="20" t="s">
        <v>253</v>
      </c>
    </row>
    <row r="269" spans="1:20" x14ac:dyDescent="0.2">
      <c r="A269" s="20" t="s">
        <v>254</v>
      </c>
    </row>
    <row r="270" spans="1:20" x14ac:dyDescent="0.2">
      <c r="A270" s="20" t="s">
        <v>839</v>
      </c>
    </row>
    <row r="272" spans="1:20" x14ac:dyDescent="0.2">
      <c r="A272" s="20" t="s">
        <v>46</v>
      </c>
    </row>
    <row r="273" spans="1:1" x14ac:dyDescent="0.2">
      <c r="A273" s="20" t="s">
        <v>562</v>
      </c>
    </row>
    <row r="274" spans="1:1" x14ac:dyDescent="0.2">
      <c r="A274" s="20" t="s">
        <v>564</v>
      </c>
    </row>
    <row r="275" spans="1:1" x14ac:dyDescent="0.2">
      <c r="A275" s="20" t="s">
        <v>844</v>
      </c>
    </row>
    <row r="276" spans="1:1" x14ac:dyDescent="0.2">
      <c r="A276" s="20" t="s">
        <v>566</v>
      </c>
    </row>
    <row r="277" spans="1:1" x14ac:dyDescent="0.2">
      <c r="A277" s="20" t="s">
        <v>568</v>
      </c>
    </row>
    <row r="278" spans="1:1" x14ac:dyDescent="0.2">
      <c r="A278" s="20" t="s">
        <v>1173</v>
      </c>
    </row>
  </sheetData>
  <pageMargins left="0.7" right="0.7" top="1.5083333333333333" bottom="0.75" header="0.3" footer="0.3"/>
  <pageSetup scale="80" fitToWidth="2" fitToHeight="6" pageOrder="overThenDown" orientation="landscape" useFirstPageNumber="1" r:id="rId1"/>
  <headerFooter alignWithMargins="0">
    <oddHeader>&amp;CRULE 20:10:13:98
STATEMENT O WORKPAPER - Tab &amp;A
Functional Cost of Service
Test Year Ending December 31, 2025
Utility: MidAmerican Energy Company
Docket No. NG26-___
Individual Responsible: Stephen Stratton&amp;RPage &amp;P of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V35"/>
  <sheetViews>
    <sheetView view="pageLayout" zoomScaleNormal="90" workbookViewId="0"/>
  </sheetViews>
  <sheetFormatPr defaultColWidth="9.140625" defaultRowHeight="12.75" x14ac:dyDescent="0.2"/>
  <cols>
    <col min="1" max="1" width="7.140625" style="20" customWidth="1"/>
    <col min="2" max="2" width="6.28515625" style="36" customWidth="1"/>
    <col min="3" max="3" width="40.28515625" style="20" customWidth="1"/>
    <col min="4" max="11" width="12.7109375" style="47" customWidth="1"/>
    <col min="12" max="13" width="11.85546875" style="47" customWidth="1"/>
    <col min="14" max="14" width="12.7109375" style="47" customWidth="1"/>
    <col min="15" max="15" width="12.42578125" style="47" customWidth="1"/>
    <col min="16" max="16" width="4.140625" style="47" customWidth="1"/>
    <col min="17" max="17" width="17.5703125" style="47" customWidth="1"/>
    <col min="18" max="18" width="4.28515625" style="20" customWidth="1"/>
    <col min="19" max="19" width="24.42578125" style="20" customWidth="1"/>
    <col min="20" max="16384" width="9.140625" style="20"/>
  </cols>
  <sheetData>
    <row r="1" spans="1:22" ht="18" x14ac:dyDescent="0.25">
      <c r="A1" s="32" t="s">
        <v>840</v>
      </c>
      <c r="B1" s="20"/>
      <c r="D1" s="278"/>
      <c r="E1" s="278"/>
      <c r="F1" s="278"/>
      <c r="L1" s="45" t="s">
        <v>713</v>
      </c>
      <c r="M1" s="45" t="s">
        <v>714</v>
      </c>
      <c r="O1" s="20"/>
      <c r="P1" s="20"/>
      <c r="Q1" s="20"/>
    </row>
    <row r="2" spans="1:22" x14ac:dyDescent="0.2">
      <c r="D2" s="13"/>
      <c r="E2" s="13" t="s">
        <v>303</v>
      </c>
      <c r="F2" s="13" t="s">
        <v>303</v>
      </c>
      <c r="G2" s="13"/>
      <c r="H2" s="13"/>
      <c r="I2" s="13"/>
      <c r="J2" s="13" t="s">
        <v>60</v>
      </c>
      <c r="K2" s="13" t="s">
        <v>22</v>
      </c>
      <c r="L2" s="13" t="s">
        <v>374</v>
      </c>
      <c r="M2" s="13" t="s">
        <v>374</v>
      </c>
      <c r="N2" s="13"/>
    </row>
    <row r="3" spans="1:22" x14ac:dyDescent="0.2">
      <c r="A3" s="23" t="s">
        <v>24</v>
      </c>
      <c r="B3" s="38" t="s">
        <v>193</v>
      </c>
      <c r="C3" s="23" t="s">
        <v>203</v>
      </c>
      <c r="D3" s="12" t="s">
        <v>373</v>
      </c>
      <c r="E3" s="12" t="s">
        <v>304</v>
      </c>
      <c r="F3" s="12" t="s">
        <v>305</v>
      </c>
      <c r="G3" s="12" t="s">
        <v>19</v>
      </c>
      <c r="H3" s="12" t="s">
        <v>18</v>
      </c>
      <c r="I3" s="12" t="s">
        <v>306</v>
      </c>
      <c r="J3" s="12" t="s">
        <v>18</v>
      </c>
      <c r="K3" s="12" t="s">
        <v>250</v>
      </c>
      <c r="L3" s="12" t="s">
        <v>375</v>
      </c>
      <c r="M3" s="12" t="s">
        <v>375</v>
      </c>
      <c r="N3" s="12" t="s">
        <v>308</v>
      </c>
      <c r="O3" s="52" t="s">
        <v>177</v>
      </c>
      <c r="P3" s="52"/>
      <c r="Q3" s="52" t="s">
        <v>174</v>
      </c>
      <c r="R3" s="23"/>
      <c r="S3" s="23" t="s">
        <v>21</v>
      </c>
      <c r="T3" s="23"/>
      <c r="U3" s="23"/>
      <c r="V3" s="23"/>
    </row>
    <row r="4" spans="1:22" x14ac:dyDescent="0.2">
      <c r="B4" s="36" t="s">
        <v>26</v>
      </c>
      <c r="C4" s="36" t="s">
        <v>27</v>
      </c>
      <c r="D4" s="36" t="s">
        <v>28</v>
      </c>
      <c r="E4" s="36" t="s">
        <v>29</v>
      </c>
      <c r="F4" s="36" t="s">
        <v>36</v>
      </c>
      <c r="G4" s="36" t="s">
        <v>30</v>
      </c>
      <c r="H4" s="36" t="s">
        <v>31</v>
      </c>
      <c r="I4" s="36" t="s">
        <v>32</v>
      </c>
      <c r="J4" s="36" t="s">
        <v>33</v>
      </c>
      <c r="K4" s="36" t="s">
        <v>34</v>
      </c>
      <c r="L4" s="36" t="s">
        <v>35</v>
      </c>
      <c r="M4" s="36" t="s">
        <v>157</v>
      </c>
      <c r="N4" s="36" t="s">
        <v>158</v>
      </c>
      <c r="O4" s="36" t="s">
        <v>159</v>
      </c>
      <c r="P4" s="36"/>
      <c r="Q4" s="36" t="s">
        <v>160</v>
      </c>
      <c r="R4" s="36"/>
      <c r="S4" s="36" t="s">
        <v>161</v>
      </c>
    </row>
    <row r="5" spans="1:22" x14ac:dyDescent="0.2">
      <c r="B5" s="20"/>
      <c r="D5" s="36"/>
      <c r="E5" s="20"/>
      <c r="F5" s="20"/>
      <c r="G5" s="20"/>
      <c r="H5" s="20"/>
      <c r="I5" s="20"/>
      <c r="J5" s="20"/>
      <c r="K5" s="20"/>
      <c r="L5" s="20"/>
      <c r="M5" s="20"/>
      <c r="N5" s="20"/>
      <c r="O5" s="20"/>
      <c r="P5" s="20"/>
      <c r="Q5" s="20"/>
    </row>
    <row r="6" spans="1:22" x14ac:dyDescent="0.2">
      <c r="A6" s="33">
        <v>1</v>
      </c>
      <c r="B6" s="36">
        <v>1.1000000000000001</v>
      </c>
      <c r="C6" s="20" t="s">
        <v>376</v>
      </c>
      <c r="D6" s="89">
        <v>1</v>
      </c>
      <c r="E6" s="89">
        <v>0</v>
      </c>
      <c r="F6" s="89">
        <v>0</v>
      </c>
      <c r="G6" s="89">
        <v>0</v>
      </c>
      <c r="H6" s="89">
        <v>0</v>
      </c>
      <c r="I6" s="89">
        <v>0</v>
      </c>
      <c r="J6" s="89">
        <v>0</v>
      </c>
      <c r="K6" s="89">
        <v>0</v>
      </c>
      <c r="L6" s="279">
        <v>0</v>
      </c>
      <c r="M6" s="279"/>
      <c r="N6" s="279">
        <v>0</v>
      </c>
      <c r="O6" s="51">
        <f t="shared" ref="O6:O29" si="0">SUM(D6:N6)</f>
        <v>1</v>
      </c>
      <c r="S6" s="20" t="s">
        <v>201</v>
      </c>
    </row>
    <row r="7" spans="1:22" x14ac:dyDescent="0.2">
      <c r="A7" s="33">
        <f>A6+1</f>
        <v>2</v>
      </c>
      <c r="B7" s="36">
        <v>1.2</v>
      </c>
      <c r="C7" s="20" t="s">
        <v>303</v>
      </c>
      <c r="D7" s="89">
        <v>0</v>
      </c>
      <c r="E7" s="90">
        <f>'ALO-1 (Design Day Peak)'!F43</f>
        <v>0.23976106379088566</v>
      </c>
      <c r="F7" s="90">
        <f>1-E7</f>
        <v>0.76023893620911431</v>
      </c>
      <c r="G7" s="89">
        <v>0</v>
      </c>
      <c r="H7" s="89">
        <v>0</v>
      </c>
      <c r="I7" s="89">
        <v>0</v>
      </c>
      <c r="J7" s="89">
        <v>0</v>
      </c>
      <c r="K7" s="89">
        <v>0</v>
      </c>
      <c r="L7" s="279">
        <v>0</v>
      </c>
      <c r="M7" s="279"/>
      <c r="N7" s="279">
        <v>0</v>
      </c>
      <c r="O7" s="51">
        <f t="shared" si="0"/>
        <v>1</v>
      </c>
      <c r="S7" s="20" t="s">
        <v>842</v>
      </c>
    </row>
    <row r="8" spans="1:22" x14ac:dyDescent="0.2">
      <c r="A8" s="33">
        <f t="shared" ref="A8:A29" si="1">A7+1</f>
        <v>3</v>
      </c>
      <c r="B8" s="36">
        <v>1.3</v>
      </c>
      <c r="C8" s="20" t="s">
        <v>19</v>
      </c>
      <c r="D8" s="89">
        <v>0</v>
      </c>
      <c r="E8" s="89">
        <v>0</v>
      </c>
      <c r="F8" s="89">
        <v>0</v>
      </c>
      <c r="G8" s="89">
        <v>1</v>
      </c>
      <c r="H8" s="89">
        <v>0</v>
      </c>
      <c r="I8" s="89">
        <v>0</v>
      </c>
      <c r="J8" s="89">
        <v>0</v>
      </c>
      <c r="K8" s="89">
        <v>0</v>
      </c>
      <c r="L8" s="279">
        <v>0</v>
      </c>
      <c r="M8" s="279"/>
      <c r="N8" s="279">
        <v>0</v>
      </c>
      <c r="O8" s="51">
        <f t="shared" si="0"/>
        <v>1</v>
      </c>
      <c r="S8" s="20" t="s">
        <v>201</v>
      </c>
    </row>
    <row r="9" spans="1:22" x14ac:dyDescent="0.2">
      <c r="A9" s="33">
        <f t="shared" si="1"/>
        <v>4</v>
      </c>
      <c r="B9" s="36">
        <v>1.4</v>
      </c>
      <c r="C9" s="20" t="s">
        <v>18</v>
      </c>
      <c r="D9" s="89">
        <v>0</v>
      </c>
      <c r="E9" s="89">
        <v>0</v>
      </c>
      <c r="F9" s="89">
        <v>0</v>
      </c>
      <c r="G9" s="89">
        <v>0</v>
      </c>
      <c r="H9" s="89">
        <v>1</v>
      </c>
      <c r="I9" s="89">
        <v>0</v>
      </c>
      <c r="J9" s="89">
        <v>0</v>
      </c>
      <c r="K9" s="89">
        <v>0</v>
      </c>
      <c r="L9" s="279">
        <v>0</v>
      </c>
      <c r="M9" s="279"/>
      <c r="N9" s="279">
        <v>0</v>
      </c>
      <c r="O9" s="51">
        <f t="shared" si="0"/>
        <v>1</v>
      </c>
      <c r="S9" s="20" t="s">
        <v>201</v>
      </c>
    </row>
    <row r="10" spans="1:22" x14ac:dyDescent="0.2">
      <c r="A10" s="33">
        <f t="shared" si="1"/>
        <v>5</v>
      </c>
      <c r="B10" s="36">
        <v>1.5</v>
      </c>
      <c r="C10" s="20" t="s">
        <v>306</v>
      </c>
      <c r="D10" s="89">
        <v>0</v>
      </c>
      <c r="E10" s="89">
        <v>0</v>
      </c>
      <c r="F10" s="89">
        <v>0</v>
      </c>
      <c r="G10" s="89">
        <v>0</v>
      </c>
      <c r="H10" s="89">
        <v>0</v>
      </c>
      <c r="I10" s="89">
        <v>1</v>
      </c>
      <c r="J10" s="89">
        <f>J8/($F$8+$G$8+$H$8+$J$8+$K$8)</f>
        <v>0</v>
      </c>
      <c r="K10" s="89">
        <f>K8/($F$8+$G$8+$H$8+$J$8+$K$8)</f>
        <v>0</v>
      </c>
      <c r="L10" s="279">
        <f>L8/($F$8+$G$8+$H$8+$J$8+$K$8)</f>
        <v>0</v>
      </c>
      <c r="M10" s="279"/>
      <c r="N10" s="279">
        <v>0</v>
      </c>
      <c r="O10" s="51">
        <f t="shared" si="0"/>
        <v>1</v>
      </c>
      <c r="S10" s="20" t="s">
        <v>201</v>
      </c>
      <c r="U10" s="280"/>
    </row>
    <row r="11" spans="1:22" x14ac:dyDescent="0.2">
      <c r="A11" s="33">
        <f t="shared" si="1"/>
        <v>6</v>
      </c>
      <c r="B11" s="36">
        <v>1.6</v>
      </c>
      <c r="C11" s="20" t="s">
        <v>377</v>
      </c>
      <c r="D11" s="89">
        <v>0</v>
      </c>
      <c r="E11" s="89">
        <v>0</v>
      </c>
      <c r="F11" s="89">
        <v>0</v>
      </c>
      <c r="G11" s="89">
        <v>0</v>
      </c>
      <c r="H11" s="89">
        <v>0</v>
      </c>
      <c r="I11" s="89">
        <v>0</v>
      </c>
      <c r="J11" s="89">
        <v>1</v>
      </c>
      <c r="K11" s="89">
        <v>0</v>
      </c>
      <c r="L11" s="279">
        <v>0</v>
      </c>
      <c r="M11" s="279"/>
      <c r="N11" s="279">
        <v>0</v>
      </c>
      <c r="O11" s="51">
        <f t="shared" si="0"/>
        <v>1</v>
      </c>
      <c r="S11" s="20" t="s">
        <v>201</v>
      </c>
      <c r="U11" s="280"/>
    </row>
    <row r="12" spans="1:22" x14ac:dyDescent="0.2">
      <c r="A12" s="33">
        <f t="shared" si="1"/>
        <v>7</v>
      </c>
      <c r="B12" s="36">
        <v>1.7</v>
      </c>
      <c r="C12" s="20" t="s">
        <v>275</v>
      </c>
      <c r="D12" s="89">
        <v>0</v>
      </c>
      <c r="E12" s="89">
        <v>0</v>
      </c>
      <c r="F12" s="89">
        <v>0</v>
      </c>
      <c r="G12" s="89">
        <v>0</v>
      </c>
      <c r="H12" s="89">
        <v>0</v>
      </c>
      <c r="I12" s="89">
        <v>0</v>
      </c>
      <c r="J12" s="89">
        <v>0</v>
      </c>
      <c r="K12" s="89">
        <v>1</v>
      </c>
      <c r="L12" s="279">
        <f>L8/($F$8+$G$8+$J$8+$K$8)</f>
        <v>0</v>
      </c>
      <c r="M12" s="279"/>
      <c r="N12" s="279">
        <v>0</v>
      </c>
      <c r="O12" s="51">
        <f t="shared" si="0"/>
        <v>1</v>
      </c>
      <c r="S12" s="20" t="s">
        <v>201</v>
      </c>
    </row>
    <row r="13" spans="1:22" x14ac:dyDescent="0.2">
      <c r="A13" s="33">
        <f t="shared" si="1"/>
        <v>8</v>
      </c>
      <c r="B13" s="36">
        <v>1.8</v>
      </c>
      <c r="C13" s="20" t="s">
        <v>352</v>
      </c>
      <c r="D13" s="90">
        <v>0</v>
      </c>
      <c r="E13" s="90">
        <v>0</v>
      </c>
      <c r="F13" s="90">
        <v>0</v>
      </c>
      <c r="G13" s="90">
        <v>0</v>
      </c>
      <c r="H13" s="90">
        <v>0</v>
      </c>
      <c r="I13" s="90">
        <v>0</v>
      </c>
      <c r="J13" s="90">
        <v>0</v>
      </c>
      <c r="K13" s="90">
        <v>0</v>
      </c>
      <c r="L13" s="90">
        <f>'CLS1-1 (Class COS)'!C73/SUM('CLS1-1 (Class COS)'!C73:C74)</f>
        <v>0.39273997248386067</v>
      </c>
      <c r="M13" s="90">
        <f>1-L13</f>
        <v>0.60726002751613928</v>
      </c>
      <c r="N13" s="281">
        <v>0</v>
      </c>
      <c r="O13" s="48">
        <f t="shared" si="0"/>
        <v>1</v>
      </c>
      <c r="P13" s="50"/>
      <c r="Q13" s="50"/>
      <c r="S13" s="20" t="s">
        <v>841</v>
      </c>
    </row>
    <row r="14" spans="1:22" x14ac:dyDescent="0.2">
      <c r="A14" s="33">
        <f t="shared" si="1"/>
        <v>9</v>
      </c>
      <c r="B14" s="36">
        <v>1.9</v>
      </c>
      <c r="C14" s="20" t="s">
        <v>494</v>
      </c>
      <c r="D14" s="279">
        <v>0</v>
      </c>
      <c r="E14" s="279">
        <v>0</v>
      </c>
      <c r="F14" s="279">
        <v>0</v>
      </c>
      <c r="G14" s="279">
        <v>0</v>
      </c>
      <c r="H14" s="279">
        <v>0</v>
      </c>
      <c r="I14" s="279">
        <v>0</v>
      </c>
      <c r="J14" s="279">
        <v>0</v>
      </c>
      <c r="K14" s="279">
        <v>0</v>
      </c>
      <c r="L14" s="279">
        <v>0</v>
      </c>
      <c r="M14" s="279"/>
      <c r="N14" s="89">
        <v>1</v>
      </c>
      <c r="O14" s="51">
        <f t="shared" si="0"/>
        <v>1</v>
      </c>
      <c r="S14" s="20" t="s">
        <v>201</v>
      </c>
    </row>
    <row r="15" spans="1:22" x14ac:dyDescent="0.2">
      <c r="A15" s="33">
        <f>A14+1</f>
        <v>10</v>
      </c>
      <c r="B15" s="36">
        <v>39</v>
      </c>
      <c r="C15" s="20" t="s">
        <v>200</v>
      </c>
      <c r="D15" s="89">
        <f>'FUN-3 (Functional COS)'!I53/$Q15</f>
        <v>2.2121013088156161E-2</v>
      </c>
      <c r="E15" s="89">
        <f>'FUN-3 (Functional COS)'!J53/$Q15</f>
        <v>0.11089881192419018</v>
      </c>
      <c r="F15" s="89">
        <f>'FUN-3 (Functional COS)'!K53/$Q15</f>
        <v>0.35164005977898877</v>
      </c>
      <c r="G15" s="89">
        <f>'FUN-3 (Functional COS)'!L53/$Q15</f>
        <v>0.30433346115815568</v>
      </c>
      <c r="H15" s="89">
        <f>'FUN-3 (Functional COS)'!M53/$Q15</f>
        <v>0.16339622164890258</v>
      </c>
      <c r="I15" s="89">
        <f>'FUN-3 (Functional COS)'!N53/$Q15</f>
        <v>2.0507042812298114E-2</v>
      </c>
      <c r="J15" s="89">
        <f>'FUN-3 (Functional COS)'!O53/$Q15</f>
        <v>7.9252120236538944E-4</v>
      </c>
      <c r="K15" s="89">
        <f>'FUN-3 (Functional COS)'!P53/$Q15</f>
        <v>2.3384754703149411E-2</v>
      </c>
      <c r="L15" s="89">
        <f>'FUN-3 (Functional COS)'!Q53/$Q15</f>
        <v>4.7601705727703388E-4</v>
      </c>
      <c r="M15" s="89">
        <f>'FUN-3 (Functional COS)'!R53/$Q15</f>
        <v>7.3602421844667768E-4</v>
      </c>
      <c r="N15" s="89">
        <f>'FUN-3 (Functional COS)'!S53/$Q15</f>
        <v>1.7140724080697181E-3</v>
      </c>
      <c r="O15" s="51">
        <f>SUM(D15:N15)</f>
        <v>0.99999999999999978</v>
      </c>
      <c r="Q15" s="28">
        <f>'FUN-3 (Functional COS)'!H53</f>
        <v>348966605.06000012</v>
      </c>
      <c r="S15" s="20" t="s">
        <v>575</v>
      </c>
    </row>
    <row r="16" spans="1:22" x14ac:dyDescent="0.2">
      <c r="A16" s="33">
        <f t="shared" si="1"/>
        <v>11</v>
      </c>
      <c r="B16" s="36">
        <v>40</v>
      </c>
      <c r="C16" s="20" t="s">
        <v>378</v>
      </c>
      <c r="D16" s="89">
        <f>'FUN-3 (Functional COS)'!I189/$Q16</f>
        <v>2.856384538863441E-2</v>
      </c>
      <c r="E16" s="89">
        <f>'FUN-3 (Functional COS)'!J189/$Q16</f>
        <v>8.1566108296558887E-2</v>
      </c>
      <c r="F16" s="89">
        <f>'FUN-3 (Functional COS)'!K189/$Q16</f>
        <v>0.25863136583418261</v>
      </c>
      <c r="G16" s="89">
        <f>'FUN-3 (Functional COS)'!L189/$Q16</f>
        <v>0.22626948486843906</v>
      </c>
      <c r="H16" s="89">
        <f>'FUN-3 (Functional COS)'!M189/$Q16</f>
        <v>0.13900192227375849</v>
      </c>
      <c r="I16" s="89">
        <f>'FUN-3 (Functional COS)'!N189/$Q16</f>
        <v>1.0602549415676054E-2</v>
      </c>
      <c r="J16" s="89">
        <f>'FUN-3 (Functional COS)'!O189/$Q16</f>
        <v>1.3622089523466986E-4</v>
      </c>
      <c r="K16" s="89">
        <f>'FUN-3 (Functional COS)'!P189/$Q16</f>
        <v>0.22684374566338592</v>
      </c>
      <c r="L16" s="89">
        <f>'FUN-3 (Functional COS)'!Q189/$Q16</f>
        <v>4.6176020934631471E-3</v>
      </c>
      <c r="M16" s="89">
        <f>'FUN-3 (Functional COS)'!R189/$Q16</f>
        <v>7.1398008117196281E-3</v>
      </c>
      <c r="N16" s="89">
        <f>'FUN-3 (Functional COS)'!S189/$Q16</f>
        <v>1.6627354458947058E-2</v>
      </c>
      <c r="O16" s="51">
        <f>SUM(D16:N16)</f>
        <v>1</v>
      </c>
      <c r="Q16" s="28">
        <f>'FUN-3 (Functional COS)'!H189</f>
        <v>11662745.625276519</v>
      </c>
      <c r="R16" s="42"/>
      <c r="S16" s="20" t="s">
        <v>576</v>
      </c>
    </row>
    <row r="17" spans="1:19" x14ac:dyDescent="0.2">
      <c r="A17" s="33">
        <f t="shared" si="1"/>
        <v>12</v>
      </c>
      <c r="B17" s="36">
        <v>41</v>
      </c>
      <c r="C17" s="20" t="s">
        <v>380</v>
      </c>
      <c r="D17" s="89">
        <f>('FUN-3 (Functional COS)'!I189+'FUN-3 (Functional COS)'!I206)/'FUN-4 (Functional Allocators)'!$Q17</f>
        <v>2.8250689809044622E-2</v>
      </c>
      <c r="E17" s="89">
        <f>('FUN-3 (Functional COS)'!J189+'FUN-3 (Functional COS)'!J206)/'FUN-4 (Functional Allocators)'!$Q17</f>
        <v>8.4479737076996686E-2</v>
      </c>
      <c r="F17" s="89">
        <f>('FUN-3 (Functional COS)'!K189+'FUN-3 (Functional COS)'!K206)/'FUN-4 (Functional Allocators)'!$Q17</f>
        <v>0.26786995532626218</v>
      </c>
      <c r="G17" s="89">
        <f>('FUN-3 (Functional COS)'!L189+'FUN-3 (Functional COS)'!L206)/'FUN-4 (Functional Allocators)'!$Q17</f>
        <v>0.23432367757795214</v>
      </c>
      <c r="H17" s="89">
        <f>('FUN-3 (Functional COS)'!M189+'FUN-3 (Functional COS)'!M206)/'FUN-4 (Functional Allocators)'!$Q17</f>
        <v>0.15212167992322989</v>
      </c>
      <c r="I17" s="89">
        <f>('FUN-3 (Functional COS)'!N189+'FUN-3 (Functional COS)'!N206)/'FUN-4 (Functional Allocators)'!$Q17</f>
        <v>1.3106926893037147E-2</v>
      </c>
      <c r="J17" s="89">
        <f>('FUN-3 (Functional COS)'!O189+'FUN-3 (Functional COS)'!O206)/'FUN-4 (Functional Allocators)'!$Q17</f>
        <v>2.1059292677607874E-4</v>
      </c>
      <c r="K17" s="89">
        <f>('FUN-3 (Functional COS)'!P189+'FUN-3 (Functional COS)'!P206)/'FUN-4 (Functional Allocators)'!$Q17</f>
        <v>0.1938443824066344</v>
      </c>
      <c r="L17" s="89">
        <f>('FUN-3 (Functional COS)'!Q189+'FUN-3 (Functional COS)'!Q206)/'FUN-4 (Functional Allocators)'!$Q17</f>
        <v>3.8960195824041732E-3</v>
      </c>
      <c r="M17" s="89">
        <f>('FUN-3 (Functional COS)'!R189+'FUN-3 (Functional COS)'!R206)/'FUN-4 (Functional Allocators)'!$Q17</f>
        <v>6.0240798609094981E-3</v>
      </c>
      <c r="N17" s="89">
        <f>('FUN-3 (Functional COS)'!S189+'FUN-3 (Functional COS)'!S206)/'FUN-4 (Functional Allocators)'!$Q17</f>
        <v>1.5872258616753124E-2</v>
      </c>
      <c r="O17" s="51">
        <f t="shared" si="0"/>
        <v>0.99999999999999989</v>
      </c>
      <c r="Q17" s="28">
        <f>'FUN-3 (Functional COS)'!H189+'FUN-3 (Functional COS)'!H206</f>
        <v>14063377.287083514</v>
      </c>
      <c r="S17" s="20" t="s">
        <v>577</v>
      </c>
    </row>
    <row r="18" spans="1:19" x14ac:dyDescent="0.2">
      <c r="A18" s="33">
        <f t="shared" si="1"/>
        <v>13</v>
      </c>
      <c r="B18" s="36">
        <v>42</v>
      </c>
      <c r="C18" s="20" t="s">
        <v>381</v>
      </c>
      <c r="D18" s="89">
        <f>('FUN-3 (Functional COS)'!I188+'FUN-3 (Functional COS)'!I208)/'FUN-4 (Functional Allocators)'!$Q18</f>
        <v>2.4888228070566881E-2</v>
      </c>
      <c r="E18" s="89">
        <f>('FUN-3 (Functional COS)'!J188+'FUN-3 (Functional COS)'!J208)/'FUN-4 (Functional Allocators)'!$Q18</f>
        <v>9.1794136068309024E-2</v>
      </c>
      <c r="F18" s="89">
        <f>('FUN-3 (Functional COS)'!K188+'FUN-3 (Functional COS)'!K208)/'FUN-4 (Functional Allocators)'!$Q18</f>
        <v>0.29106259061175715</v>
      </c>
      <c r="G18" s="89">
        <f>('FUN-3 (Functional COS)'!L188+'FUN-3 (Functional COS)'!L208)/'FUN-4 (Functional Allocators)'!$Q18</f>
        <v>0.25379562957276286</v>
      </c>
      <c r="H18" s="89">
        <f>('FUN-3 (Functional COS)'!M188+'FUN-3 (Functional COS)'!M208)/'FUN-4 (Functional Allocators)'!$Q18</f>
        <v>0.16131974856259595</v>
      </c>
      <c r="I18" s="89">
        <f>('FUN-3 (Functional COS)'!N188+'FUN-3 (Functional COS)'!N208)/'FUN-4 (Functional Allocators)'!$Q18</f>
        <v>1.6325678711447966E-2</v>
      </c>
      <c r="J18" s="89">
        <f>('FUN-3 (Functional COS)'!O188+'FUN-3 (Functional COS)'!O208)/'FUN-4 (Functional Allocators)'!$Q18</f>
        <v>3.9672201082384997E-4</v>
      </c>
      <c r="K18" s="89">
        <f>('FUN-3 (Functional COS)'!P188+'FUN-3 (Functional COS)'!P208)/'FUN-4 (Functional Allocators)'!$Q18</f>
        <v>0.14211881452330916</v>
      </c>
      <c r="L18" s="89">
        <f>('FUN-3 (Functional COS)'!Q188+'FUN-3 (Functional COS)'!Q208)/'FUN-4 (Functional Allocators)'!$Q18</f>
        <v>2.5670203372126282E-3</v>
      </c>
      <c r="M18" s="89">
        <f>('FUN-3 (Functional COS)'!R188+'FUN-3 (Functional COS)'!R208)/'FUN-4 (Functional Allocators)'!$Q18</f>
        <v>3.9691626771560396E-3</v>
      </c>
      <c r="N18" s="89">
        <f>('FUN-3 (Functional COS)'!S188+'FUN-3 (Functional COS)'!S208)/'FUN-4 (Functional Allocators)'!$Q18</f>
        <v>1.1762268854058306E-2</v>
      </c>
      <c r="O18" s="51">
        <f t="shared" si="0"/>
        <v>0.99999999999999978</v>
      </c>
      <c r="Q18" s="28">
        <f>'FUN-3 (Functional COS)'!H188+'FUN-3 (Functional COS)'!H208</f>
        <v>30159602.384079948</v>
      </c>
      <c r="S18" s="20" t="s">
        <v>578</v>
      </c>
    </row>
    <row r="19" spans="1:19" x14ac:dyDescent="0.2">
      <c r="A19" s="33">
        <f t="shared" si="1"/>
        <v>14</v>
      </c>
      <c r="B19" s="36">
        <v>44</v>
      </c>
      <c r="C19" s="20" t="s">
        <v>199</v>
      </c>
      <c r="D19" s="89">
        <f>'FUN-3 (Functional COS)'!I43/$Q19</f>
        <v>0</v>
      </c>
      <c r="E19" s="89">
        <f>'FUN-3 (Functional COS)'!J43/$Q19</f>
        <v>0.1167667253798413</v>
      </c>
      <c r="F19" s="89">
        <f>'FUN-3 (Functional COS)'!K43/$Q19</f>
        <v>0.37024615124670995</v>
      </c>
      <c r="G19" s="89">
        <f>'FUN-3 (Functional COS)'!L43/$Q19</f>
        <v>0.32015080355691805</v>
      </c>
      <c r="H19" s="89">
        <f>'FUN-3 (Functional COS)'!M43/$Q19</f>
        <v>0.16983107723771132</v>
      </c>
      <c r="I19" s="89">
        <f>'FUN-3 (Functional COS)'!N43/$Q19</f>
        <v>2.2118326153171025E-2</v>
      </c>
      <c r="J19" s="89">
        <f>'FUN-3 (Functional COS)'!O43/$Q19</f>
        <v>8.8691642564820946E-4</v>
      </c>
      <c r="K19" s="89">
        <f>'FUN-3 (Functional COS)'!P43/$Q19</f>
        <v>0</v>
      </c>
      <c r="L19" s="89">
        <f>'FUN-3 (Functional COS)'!Q43/$Q19</f>
        <v>0</v>
      </c>
      <c r="M19" s="89">
        <f>'FUN-3 (Functional COS)'!R43/$Q19</f>
        <v>0</v>
      </c>
      <c r="N19" s="89">
        <f>'FUN-3 (Functional COS)'!S43/$Q19</f>
        <v>0</v>
      </c>
      <c r="O19" s="51">
        <f t="shared" si="0"/>
        <v>0.99999999999999978</v>
      </c>
      <c r="Q19" s="28">
        <f>'FUN-3 (Functional COS)'!H43</f>
        <v>306300573.70000005</v>
      </c>
      <c r="S19" s="20" t="s">
        <v>855</v>
      </c>
    </row>
    <row r="20" spans="1:19" x14ac:dyDescent="0.2">
      <c r="A20" s="33">
        <f t="shared" si="1"/>
        <v>15</v>
      </c>
      <c r="B20" s="36">
        <v>44.1</v>
      </c>
      <c r="C20" s="20" t="s">
        <v>382</v>
      </c>
      <c r="D20" s="89">
        <f>('FUN-3 (Functional COS)'!I33+'FUN-3 (Functional COS)'!I37)/'FUN-4 (Functional Allocators)'!$Q20</f>
        <v>0</v>
      </c>
      <c r="E20" s="89">
        <f>('FUN-3 (Functional COS)'!J33+'FUN-3 (Functional COS)'!J37)/'FUN-4 (Functional Allocators)'!$Q20</f>
        <v>0.1408893758768073</v>
      </c>
      <c r="F20" s="89">
        <f>('FUN-3 (Functional COS)'!K33+'FUN-3 (Functional COS)'!K37)/'FUN-4 (Functional Allocators)'!$Q20</f>
        <v>0.44673470974073037</v>
      </c>
      <c r="G20" s="89">
        <f>('FUN-3 (Functional COS)'!L33+'FUN-3 (Functional COS)'!L37)/'FUN-4 (Functional Allocators)'!$Q20</f>
        <v>0.41237591438246229</v>
      </c>
      <c r="H20" s="89">
        <f>('FUN-3 (Functional COS)'!M33+'FUN-3 (Functional COS)'!M37)/'FUN-4 (Functional Allocators)'!$Q20</f>
        <v>0</v>
      </c>
      <c r="I20" s="89">
        <f>('FUN-3 (Functional COS)'!N33+'FUN-3 (Functional COS)'!N37)/'FUN-4 (Functional Allocators)'!$Q20</f>
        <v>0</v>
      </c>
      <c r="J20" s="89">
        <f>('FUN-3 (Functional COS)'!O33+'FUN-3 (Functional COS)'!O37)/'FUN-4 (Functional Allocators)'!$Q20</f>
        <v>0</v>
      </c>
      <c r="K20" s="89">
        <f>('FUN-3 (Functional COS)'!P33+'FUN-3 (Functional COS)'!P37)/'FUN-4 (Functional Allocators)'!$Q20</f>
        <v>0</v>
      </c>
      <c r="L20" s="89">
        <f>('FUN-3 (Functional COS)'!Q33+'FUN-3 (Functional COS)'!Q37)/'FUN-4 (Functional Allocators)'!$Q20</f>
        <v>0</v>
      </c>
      <c r="M20" s="89">
        <f>('FUN-3 (Functional COS)'!R33+'FUN-3 (Functional COS)'!R37)/'FUN-4 (Functional Allocators)'!$Q20</f>
        <v>0</v>
      </c>
      <c r="N20" s="89">
        <f>('FUN-3 (Functional COS)'!S33+'FUN-3 (Functional COS)'!S37)/'FUN-4 (Functional Allocators)'!$Q20</f>
        <v>0</v>
      </c>
      <c r="O20" s="51">
        <f t="shared" si="0"/>
        <v>1</v>
      </c>
      <c r="Q20" s="28">
        <f>'FUN-3 (Functional COS)'!H33+'FUN-3 (Functional COS)'!H37</f>
        <v>237798502.24000001</v>
      </c>
      <c r="S20" s="20" t="s">
        <v>579</v>
      </c>
    </row>
    <row r="21" spans="1:19" x14ac:dyDescent="0.2">
      <c r="A21" s="33">
        <f t="shared" si="1"/>
        <v>16</v>
      </c>
      <c r="B21" s="36">
        <v>44.2</v>
      </c>
      <c r="C21" s="20" t="s">
        <v>383</v>
      </c>
      <c r="D21" s="89">
        <f>('FUN-3 (Functional COS)'!I37+'FUN-3 (Functional COS)'!I38+'FUN-3 (Functional COS)'!I39)/'FUN-4 (Functional Allocators)'!$Q21</f>
        <v>0</v>
      </c>
      <c r="E21" s="89">
        <f>('FUN-3 (Functional COS)'!J37+'FUN-3 (Functional COS)'!J38+'FUN-3 (Functional COS)'!J39)/'FUN-4 (Functional Allocators)'!$Q21</f>
        <v>0</v>
      </c>
      <c r="F21" s="89">
        <f>('FUN-3 (Functional COS)'!K37+'FUN-3 (Functional COS)'!K38+'FUN-3 (Functional COS)'!K39)/'FUN-4 (Functional Allocators)'!$Q21</f>
        <v>0</v>
      </c>
      <c r="G21" s="89">
        <f>('FUN-3 (Functional COS)'!L37+'FUN-3 (Functional COS)'!L38+'FUN-3 (Functional COS)'!L39)/'FUN-4 (Functional Allocators)'!$Q21</f>
        <v>0.6533931480031725</v>
      </c>
      <c r="H21" s="89">
        <f>('FUN-3 (Functional COS)'!M37+'FUN-3 (Functional COS)'!M38+'FUN-3 (Functional COS)'!M39)/'FUN-4 (Functional Allocators)'!$Q21</f>
        <v>0.34660685199682767</v>
      </c>
      <c r="I21" s="89">
        <f>('FUN-3 (Functional COS)'!N37+'FUN-3 (Functional COS)'!N38+'FUN-3 (Functional COS)'!N39)/'FUN-4 (Functional Allocators)'!$Q21</f>
        <v>0</v>
      </c>
      <c r="J21" s="89">
        <f>('FUN-3 (Functional COS)'!O37+'FUN-3 (Functional COS)'!O38+'FUN-3 (Functional COS)'!O39)/'FUN-4 (Functional Allocators)'!$Q21</f>
        <v>0</v>
      </c>
      <c r="K21" s="89">
        <f>('FUN-3 (Functional COS)'!P37+'FUN-3 (Functional COS)'!P38+'FUN-3 (Functional COS)'!P39)/'FUN-4 (Functional Allocators)'!$Q21</f>
        <v>0</v>
      </c>
      <c r="L21" s="89">
        <f>('FUN-3 (Functional COS)'!Q37+'FUN-3 (Functional COS)'!Q38+'FUN-3 (Functional COS)'!Q39)/'FUN-4 (Functional Allocators)'!$Q21</f>
        <v>0</v>
      </c>
      <c r="M21" s="89">
        <f>('FUN-3 (Functional COS)'!R37+'FUN-3 (Functional COS)'!R38+'FUN-3 (Functional COS)'!R39)/'FUN-4 (Functional Allocators)'!$Q21</f>
        <v>0</v>
      </c>
      <c r="N21" s="89">
        <f>('FUN-3 (Functional COS)'!S37+'FUN-3 (Functional COS)'!S38+'FUN-3 (Functional COS)'!S39)/'FUN-4 (Functional Allocators)'!$Q21</f>
        <v>0</v>
      </c>
      <c r="O21" s="51">
        <f t="shared" si="0"/>
        <v>1.0000000000000002</v>
      </c>
      <c r="Q21" s="28">
        <f>'FUN-3 (Functional COS)'!H37+'FUN-3 (Functional COS)'!H38+'FUN-3 (Functional COS)'!H39</f>
        <v>150081731.19</v>
      </c>
      <c r="S21" s="20" t="s">
        <v>580</v>
      </c>
    </row>
    <row r="22" spans="1:19" x14ac:dyDescent="0.2">
      <c r="A22" s="33">
        <f t="shared" si="1"/>
        <v>17</v>
      </c>
      <c r="B22" s="36">
        <v>44.3</v>
      </c>
      <c r="C22" s="20" t="s">
        <v>384</v>
      </c>
      <c r="D22" s="89">
        <f>('FUN-3 (Functional COS)'!I38+'FUN-3 (Functional COS)'!I39+'FUN-3 (Functional COS)'!I40+'FUN-3 (Functional COS)'!I41)/$Q22</f>
        <v>0</v>
      </c>
      <c r="E22" s="89">
        <f>('FUN-3 (Functional COS)'!J38+'FUN-3 (Functional COS)'!J39+'FUN-3 (Functional COS)'!J40+'FUN-3 (Functional COS)'!J41)/$Q22</f>
        <v>0</v>
      </c>
      <c r="F22" s="89">
        <f>('FUN-3 (Functional COS)'!K38+'FUN-3 (Functional COS)'!K39+'FUN-3 (Functional COS)'!K40+'FUN-3 (Functional COS)'!K41)/$Q22</f>
        <v>0</v>
      </c>
      <c r="G22" s="89">
        <f>('FUN-3 (Functional COS)'!L38+'FUN-3 (Functional COS)'!L39+'FUN-3 (Functional COS)'!L40+'FUN-3 (Functional COS)'!L41)/$Q22</f>
        <v>0</v>
      </c>
      <c r="H22" s="89">
        <f>('FUN-3 (Functional COS)'!M38+'FUN-3 (Functional COS)'!M39+'FUN-3 (Functional COS)'!M40+'FUN-3 (Functional COS)'!M41)/$Q22</f>
        <v>0.88477001875265193</v>
      </c>
      <c r="I22" s="89">
        <f>('FUN-3 (Functional COS)'!N38+'FUN-3 (Functional COS)'!N39+'FUN-3 (Functional COS)'!N40+'FUN-3 (Functional COS)'!N41)/$Q22</f>
        <v>0.11522998124734807</v>
      </c>
      <c r="J22" s="89">
        <f>('FUN-3 (Functional COS)'!O38+'FUN-3 (Functional COS)'!O39+'FUN-3 (Functional COS)'!O40+'FUN-3 (Functional COS)'!O41)/$Q22</f>
        <v>0</v>
      </c>
      <c r="K22" s="89">
        <f>('FUN-3 (Functional COS)'!P38+'FUN-3 (Functional COS)'!P39+'FUN-3 (Functional COS)'!P40+'FUN-3 (Functional COS)'!P41)/$Q22</f>
        <v>0</v>
      </c>
      <c r="L22" s="89">
        <f>('FUN-3 (Functional COS)'!Q38+'FUN-3 (Functional COS)'!Q39+'FUN-3 (Functional COS)'!Q40+'FUN-3 (Functional COS)'!Q41)/$Q22</f>
        <v>0</v>
      </c>
      <c r="M22" s="89">
        <f>('FUN-3 (Functional COS)'!R38+'FUN-3 (Functional COS)'!R39+'FUN-3 (Functional COS)'!R40+'FUN-3 (Functional COS)'!R41)/$Q22</f>
        <v>0</v>
      </c>
      <c r="N22" s="89">
        <f>('FUN-3 (Functional COS)'!S38+'FUN-3 (Functional COS)'!S39+'FUN-3 (Functional COS)'!S40+'FUN-3 (Functional COS)'!S41)/$Q22</f>
        <v>0</v>
      </c>
      <c r="O22" s="51">
        <f t="shared" si="0"/>
        <v>1</v>
      </c>
      <c r="Q22" s="28">
        <f>'FUN-3 (Functional COS)'!H38+'FUN-3 (Functional COS)'!H39+'FUN-3 (Functional COS)'!H40+'FUN-3 (Functional COS)'!H41</f>
        <v>58794212.380000003</v>
      </c>
      <c r="S22" s="20" t="s">
        <v>581</v>
      </c>
    </row>
    <row r="23" spans="1:19" x14ac:dyDescent="0.2">
      <c r="A23" s="33">
        <f t="shared" si="1"/>
        <v>18</v>
      </c>
      <c r="B23" s="36">
        <v>44.4</v>
      </c>
      <c r="C23" s="20" t="s">
        <v>385</v>
      </c>
      <c r="D23" s="89">
        <f>('FUN-3 (Functional COS)'!I32+'FUN-3 (Functional COS)'!I34+'FUN-3 (Functional COS)'!I35+'FUN-3 (Functional COS)'!I36)/$Q23</f>
        <v>0</v>
      </c>
      <c r="E23" s="89">
        <f>('FUN-3 (Functional COS)'!J32+'FUN-3 (Functional COS)'!J34+'FUN-3 (Functional COS)'!J35+'FUN-3 (Functional COS)'!J36)/$Q23</f>
        <v>0.23976106379088566</v>
      </c>
      <c r="F23" s="89">
        <f>('FUN-3 (Functional COS)'!K32+'FUN-3 (Functional COS)'!K34+'FUN-3 (Functional COS)'!K35+'FUN-3 (Functional COS)'!K36)/$Q23</f>
        <v>0.7602389362091142</v>
      </c>
      <c r="G23" s="89">
        <f>('FUN-3 (Functional COS)'!L32+'FUN-3 (Functional COS)'!L34+'FUN-3 (Functional COS)'!L35+'FUN-3 (Functional COS)'!L36)/$Q23</f>
        <v>0</v>
      </c>
      <c r="H23" s="89">
        <f>('FUN-3 (Functional COS)'!M32+'FUN-3 (Functional COS)'!M34+'FUN-3 (Functional COS)'!M35+'FUN-3 (Functional COS)'!M36)/$Q23</f>
        <v>0</v>
      </c>
      <c r="I23" s="89">
        <f>('FUN-3 (Functional COS)'!N32+'FUN-3 (Functional COS)'!N34+'FUN-3 (Functional COS)'!N35+'FUN-3 (Functional COS)'!N36)/$Q23</f>
        <v>0</v>
      </c>
      <c r="J23" s="89">
        <f>('FUN-3 (Functional COS)'!O32+'FUN-3 (Functional COS)'!O34+'FUN-3 (Functional COS)'!O35+'FUN-3 (Functional COS)'!O36)/$Q23</f>
        <v>0</v>
      </c>
      <c r="K23" s="89">
        <f>('FUN-3 (Functional COS)'!P32+'FUN-3 (Functional COS)'!P34+'FUN-3 (Functional COS)'!P35+'FUN-3 (Functional COS)'!P36)/$Q23</f>
        <v>0</v>
      </c>
      <c r="L23" s="89">
        <f>('FUN-3 (Functional COS)'!Q32+'FUN-3 (Functional COS)'!Q34+'FUN-3 (Functional COS)'!Q35+'FUN-3 (Functional COS)'!Q36)/$Q23</f>
        <v>0</v>
      </c>
      <c r="M23" s="89">
        <f>('FUN-3 (Functional COS)'!R32+'FUN-3 (Functional COS)'!R34+'FUN-3 (Functional COS)'!R35+'FUN-3 (Functional COS)'!R36)/$Q23</f>
        <v>0</v>
      </c>
      <c r="N23" s="89">
        <f>('FUN-3 (Functional COS)'!S32+'FUN-3 (Functional COS)'!S34+'FUN-3 (Functional COS)'!S35+'FUN-3 (Functional COS)'!S36)/$Q23</f>
        <v>0</v>
      </c>
      <c r="O23" s="51">
        <f t="shared" si="0"/>
        <v>0.99999999999999989</v>
      </c>
      <c r="Q23" s="28">
        <f>'FUN-3 (Functional COS)'!H32+'FUN-3 (Functional COS)'!H34+'FUN-3 (Functional COS)'!H35+'FUN-3 (Functional COS)'!H36</f>
        <v>9062614.6199999992</v>
      </c>
      <c r="S23" s="20" t="s">
        <v>582</v>
      </c>
    </row>
    <row r="24" spans="1:19" x14ac:dyDescent="0.2">
      <c r="A24" s="33">
        <f t="shared" si="1"/>
        <v>19</v>
      </c>
      <c r="B24" s="36">
        <v>46</v>
      </c>
      <c r="C24" s="20" t="s">
        <v>198</v>
      </c>
      <c r="D24" s="89">
        <f>('FUN-3 (Functional COS)'!I53-'FUN-3 (Functional COS)'!I51)/$Q$24</f>
        <v>2.1825987174180328E-2</v>
      </c>
      <c r="E24" s="89">
        <f>('FUN-3 (Functional COS)'!J53-'FUN-3 (Functional COS)'!J51)/$Q$24</f>
        <v>0.11224199568150788</v>
      </c>
      <c r="F24" s="89">
        <f>('FUN-3 (Functional COS)'!K53-'FUN-3 (Functional COS)'!K51)/$Q$24</f>
        <v>0.35589905235539471</v>
      </c>
      <c r="G24" s="89">
        <f>('FUN-3 (Functional COS)'!L53-'FUN-3 (Functional COS)'!L51)/$Q$24</f>
        <v>0.30790811511147242</v>
      </c>
      <c r="H24" s="89">
        <f>('FUN-3 (Functional COS)'!M53-'FUN-3 (Functional COS)'!M51)/$Q$24</f>
        <v>0.16451326926605347</v>
      </c>
      <c r="I24" s="89">
        <f>('FUN-3 (Functional COS)'!N53-'FUN-3 (Functional COS)'!N51)/$Q$24</f>
        <v>2.0960582820873094E-2</v>
      </c>
      <c r="J24" s="89">
        <f>('FUN-3 (Functional COS)'!O53-'FUN-3 (Functional COS)'!O51)/$Q$24</f>
        <v>8.2257407180597519E-4</v>
      </c>
      <c r="K24" s="89">
        <f>('FUN-3 (Functional COS)'!P53-'FUN-3 (Functional COS)'!P51)/$Q$24</f>
        <v>1.4068095202297714E-2</v>
      </c>
      <c r="L24" s="89">
        <f>('FUN-3 (Functional COS)'!Q53-'FUN-3 (Functional COS)'!Q51)/$Q$24</f>
        <v>2.8636833546896365E-4</v>
      </c>
      <c r="M24" s="89">
        <f>('FUN-3 (Functional COS)'!R53-'FUN-3 (Functional COS)'!R51)/$Q$24</f>
        <v>4.4278671757502395E-4</v>
      </c>
      <c r="N24" s="89">
        <f>('FUN-3 (Functional COS)'!S53-'FUN-3 (Functional COS)'!S51)/$Q$24</f>
        <v>1.0311732633701263E-3</v>
      </c>
      <c r="O24" s="51">
        <f t="shared" si="0"/>
        <v>0.99999999999999967</v>
      </c>
      <c r="Q24" s="28">
        <f>('FUN-3 (Functional COS)'!$H$53-'FUN-3 (Functional COS)'!$H$51)</f>
        <v>333686646.9000001</v>
      </c>
      <c r="S24" s="20" t="s">
        <v>583</v>
      </c>
    </row>
    <row r="25" spans="1:19" x14ac:dyDescent="0.2">
      <c r="A25" s="33">
        <f t="shared" si="1"/>
        <v>20</v>
      </c>
      <c r="B25" s="36">
        <v>47</v>
      </c>
      <c r="C25" s="20" t="s">
        <v>197</v>
      </c>
      <c r="D25" s="89">
        <f>('FUN-3 (Functional COS)'!I53+'FUN-3 (Functional COS)'!I74)/$Q$25</f>
        <v>1.676759131048261E-2</v>
      </c>
      <c r="E25" s="89">
        <f>('FUN-3 (Functional COS)'!J53+'FUN-3 (Functional COS)'!J74)/$Q$25</f>
        <v>0.11164680634085007</v>
      </c>
      <c r="F25" s="89">
        <f>('FUN-3 (Functional COS)'!K53+'FUN-3 (Functional COS)'!K74)/$Q$25</f>
        <v>0.354011814686232</v>
      </c>
      <c r="G25" s="89">
        <f>('FUN-3 (Functional COS)'!L53+'FUN-3 (Functional COS)'!L74)/$Q$25</f>
        <v>0.30637416154395303</v>
      </c>
      <c r="H25" s="89">
        <f>('FUN-3 (Functional COS)'!M53+'FUN-3 (Functional COS)'!M74)/$Q$25</f>
        <v>0.16440558719958742</v>
      </c>
      <c r="I25" s="89">
        <f>('FUN-3 (Functional COS)'!N53+'FUN-3 (Functional COS)'!N74)/$Q$25</f>
        <v>2.0667427131853884E-2</v>
      </c>
      <c r="J25" s="89">
        <f>('FUN-3 (Functional COS)'!O53+'FUN-3 (Functional COS)'!O74)/$Q$25</f>
        <v>8.0006669606381097E-4</v>
      </c>
      <c r="K25" s="89">
        <f>('FUN-3 (Functional COS)'!P53+'FUN-3 (Functional COS)'!P74)/$Q$25</f>
        <v>2.2509901069044984E-2</v>
      </c>
      <c r="L25" s="89">
        <f>('FUN-3 (Functional COS)'!Q53+'FUN-3 (Functional COS)'!Q74)/$Q$25</f>
        <v>4.5820864928896882E-4</v>
      </c>
      <c r="M25" s="89">
        <f>('FUN-3 (Functional COS)'!R53+'FUN-3 (Functional COS)'!R74)/$Q$25</f>
        <v>7.0848860943683743E-4</v>
      </c>
      <c r="N25" s="89">
        <f>('FUN-3 (Functional COS)'!S53+'FUN-3 (Functional COS)'!S74)/$Q$25</f>
        <v>1.64994676320606E-3</v>
      </c>
      <c r="O25" s="51">
        <f t="shared" si="0"/>
        <v>0.99999999999999956</v>
      </c>
      <c r="Q25" s="28">
        <f>'FUN-3 (Functional COS)'!H53+'FUN-3 (Functional COS)'!H74</f>
        <v>234057132.98538473</v>
      </c>
      <c r="S25" s="20" t="s">
        <v>584</v>
      </c>
    </row>
    <row r="26" spans="1:19" x14ac:dyDescent="0.2">
      <c r="A26" s="33">
        <f t="shared" si="1"/>
        <v>21</v>
      </c>
      <c r="B26" s="36">
        <v>58.1</v>
      </c>
      <c r="C26" s="20" t="s">
        <v>196</v>
      </c>
      <c r="D26" s="89">
        <f>'FUN-5 (Payroll)'!F82</f>
        <v>3.624514911604973E-2</v>
      </c>
      <c r="E26" s="89">
        <f>'FUN-5 (Payroll)'!G82</f>
        <v>7.223859863975407E-2</v>
      </c>
      <c r="F26" s="89">
        <f>'FUN-5 (Payroll)'!H82</f>
        <v>0.22905552100412188</v>
      </c>
      <c r="G26" s="89">
        <f>'FUN-5 (Payroll)'!I82</f>
        <v>0.20661750478235094</v>
      </c>
      <c r="H26" s="89">
        <f>'FUN-5 (Payroll)'!J82</f>
        <v>0.31559904118145604</v>
      </c>
      <c r="I26" s="89">
        <f>'FUN-5 (Payroll)'!K82</f>
        <v>3.3659489998116389E-2</v>
      </c>
      <c r="J26" s="89">
        <f>'FUN-5 (Payroll)'!L82</f>
        <v>8.5764170245128258E-5</v>
      </c>
      <c r="K26" s="89">
        <f>'FUN-5 (Payroll)'!M82</f>
        <v>7.1114403279318922E-2</v>
      </c>
      <c r="L26" s="89">
        <f>'FUN-5 (Payroll)'!N82</f>
        <v>5.8841390048053528E-4</v>
      </c>
      <c r="M26" s="89">
        <f>'FUN-5 (Payroll)'!O82</f>
        <v>9.09813786299464E-4</v>
      </c>
      <c r="N26" s="89">
        <f>'FUN-5 (Payroll)'!P82</f>
        <v>3.3886300141806894E-2</v>
      </c>
      <c r="O26" s="48">
        <f t="shared" si="0"/>
        <v>1.0000000000000002</v>
      </c>
      <c r="Q26" s="28">
        <f>'FUN-5 (Payroll)'!E81</f>
        <v>6848528</v>
      </c>
      <c r="S26" s="20" t="s">
        <v>1118</v>
      </c>
    </row>
    <row r="27" spans="1:19" x14ac:dyDescent="0.2">
      <c r="A27" s="33">
        <f t="shared" si="1"/>
        <v>22</v>
      </c>
      <c r="B27" s="36">
        <v>58.2</v>
      </c>
      <c r="C27" s="20" t="s">
        <v>388</v>
      </c>
      <c r="D27" s="89">
        <f>'FUN-5 (Payroll)'!F84</f>
        <v>3.624592841699837E-2</v>
      </c>
      <c r="E27" s="89">
        <f>'FUN-5 (Payroll)'!G84</f>
        <v>7.2237021909552473E-2</v>
      </c>
      <c r="F27" s="89">
        <f>'FUN-5 (Payroll)'!H84</f>
        <v>0.22905052147804286</v>
      </c>
      <c r="G27" s="89">
        <f>'FUN-5 (Payroll)'!I84</f>
        <v>0.20661351349874016</v>
      </c>
      <c r="H27" s="89">
        <f>'FUN-5 (Payroll)'!J84</f>
        <v>0.31560509046151947</v>
      </c>
      <c r="I27" s="89">
        <f>'FUN-5 (Payroll)'!K84</f>
        <v>3.3660009813126952E-2</v>
      </c>
      <c r="J27" s="89">
        <f>'FUN-5 (Payroll)'!L84</f>
        <v>8.5735590859481301E-5</v>
      </c>
      <c r="K27" s="89">
        <f>'FUN-5 (Payroll)'!M84</f>
        <v>7.1116347955086742E-2</v>
      </c>
      <c r="L27" s="89">
        <f>'FUN-5 (Payroll)'!N84</f>
        <v>5.8841911001844473E-4</v>
      </c>
      <c r="M27" s="89">
        <f>'FUN-5 (Payroll)'!O84</f>
        <v>9.0982184135969698E-4</v>
      </c>
      <c r="N27" s="89">
        <f>'FUN-5 (Payroll)'!P84</f>
        <v>3.3887589924695455E-2</v>
      </c>
      <c r="O27" s="48">
        <f t="shared" si="0"/>
        <v>1</v>
      </c>
      <c r="Q27" s="28">
        <f>'FUN-5 (Payroll)'!E81-'FUN-5 (Payroll)'!E69</f>
        <v>6839081</v>
      </c>
      <c r="S27" s="20" t="s">
        <v>1119</v>
      </c>
    </row>
    <row r="28" spans="1:19" x14ac:dyDescent="0.2">
      <c r="A28" s="33">
        <f t="shared" si="1"/>
        <v>23</v>
      </c>
      <c r="B28" s="36">
        <v>59</v>
      </c>
      <c r="C28" s="20" t="s">
        <v>195</v>
      </c>
      <c r="D28" s="90">
        <f>(SUM('FUN-3 (Functional COS)'!I130:I138)+SUM('FUN-3 (Functional COS)'!I141:I148))/(SUM('FUN-3 (Functional COS)'!$H130:$H138)+SUM('FUN-3 (Functional COS)'!$H141:$H148))</f>
        <v>0</v>
      </c>
      <c r="E28" s="90">
        <f>(SUM('FUN-3 (Functional COS)'!J130:J138)+SUM('FUN-3 (Functional COS)'!J141:J148))/(SUM('FUN-3 (Functional COS)'!$H130:$H138)+SUM('FUN-3 (Functional COS)'!$H141:$H148))</f>
        <v>0.12231671016272069</v>
      </c>
      <c r="F28" s="90">
        <f>(SUM('FUN-3 (Functional COS)'!K130:K138)+SUM('FUN-3 (Functional COS)'!K141:K148))/(SUM('FUN-3 (Functional COS)'!$H130:$H138)+SUM('FUN-3 (Functional COS)'!$H141:$H148))</f>
        <v>0.38784414843858511</v>
      </c>
      <c r="G28" s="90">
        <f>(SUM('FUN-3 (Functional COS)'!L130:L138)+SUM('FUN-3 (Functional COS)'!L141:L148))/(SUM('FUN-3 (Functional COS)'!$H130:$H138)+SUM('FUN-3 (Functional COS)'!$H141:$H148))</f>
        <v>0.33930844169890945</v>
      </c>
      <c r="H28" s="90">
        <f>(SUM('FUN-3 (Functional COS)'!M130:M138)+SUM('FUN-3 (Functional COS)'!M141:M148))/(SUM('FUN-3 (Functional COS)'!$H130:$H138)+SUM('FUN-3 (Functional COS)'!$H141:$H148))</f>
        <v>0.13441514618757389</v>
      </c>
      <c r="I28" s="90">
        <f>(SUM('FUN-3 (Functional COS)'!N130:N138)+SUM('FUN-3 (Functional COS)'!N141:N148))/(SUM('FUN-3 (Functional COS)'!$H130:$H138)+SUM('FUN-3 (Functional COS)'!$H141:$H148))</f>
        <v>1.591021832948988E-2</v>
      </c>
      <c r="J28" s="90">
        <f>(SUM('FUN-3 (Functional COS)'!O130:O138)+SUM('FUN-3 (Functional COS)'!O141:O148))/(SUM('FUN-3 (Functional COS)'!$H130:$H138)+SUM('FUN-3 (Functional COS)'!$H141:$H148))</f>
        <v>2.0533518272099733E-4</v>
      </c>
      <c r="K28" s="90">
        <f>(SUM('FUN-3 (Functional COS)'!P130:P138)+SUM('FUN-3 (Functional COS)'!P141:P148))/(SUM('FUN-3 (Functional COS)'!$H130:$H138)+SUM('FUN-3 (Functional COS)'!$H141:$H148))</f>
        <v>0</v>
      </c>
      <c r="L28" s="90">
        <f>(SUM('FUN-3 (Functional COS)'!Q130:Q138)+SUM('FUN-3 (Functional COS)'!Q141:Q148))/(SUM('FUN-3 (Functional COS)'!$H130:$H138)+SUM('FUN-3 (Functional COS)'!$H141:$H148))</f>
        <v>0</v>
      </c>
      <c r="M28" s="90">
        <f>(SUM('FUN-3 (Functional COS)'!R130:R138)+SUM('FUN-3 (Functional COS)'!R141:R148))/(SUM('FUN-3 (Functional COS)'!$H130:$H138)+SUM('FUN-3 (Functional COS)'!$H141:$H148))</f>
        <v>0</v>
      </c>
      <c r="N28" s="90">
        <f>(SUM('FUN-3 (Functional COS)'!S130:S138)+SUM('FUN-3 (Functional COS)'!S141:S148))/(SUM('FUN-3 (Functional COS)'!$H130:$H138)+SUM('FUN-3 (Functional COS)'!$H141:$H148))</f>
        <v>0</v>
      </c>
      <c r="O28" s="48">
        <f t="shared" si="0"/>
        <v>1</v>
      </c>
      <c r="P28" s="50"/>
      <c r="Q28" s="34">
        <f>SUM('FUN-3 (Functional COS)'!$H130:$H138)+SUM('FUN-3 (Functional COS)'!$H141:$H148)</f>
        <v>6784721.6629624218</v>
      </c>
      <c r="S28" s="20" t="s">
        <v>585</v>
      </c>
    </row>
    <row r="29" spans="1:19" x14ac:dyDescent="0.2">
      <c r="A29" s="33">
        <f t="shared" si="1"/>
        <v>24</v>
      </c>
      <c r="B29" s="36">
        <v>59.1</v>
      </c>
      <c r="C29" s="20" t="s">
        <v>194</v>
      </c>
      <c r="D29" s="89">
        <f>SUM('FUN-3 (Functional COS)'!I153:I157)/SUM('FUN-3 (Functional COS)'!$H153:$H157)</f>
        <v>0</v>
      </c>
      <c r="E29" s="89">
        <f>SUM('FUN-3 (Functional COS)'!J153:J157)/SUM('FUN-3 (Functional COS)'!$H153:$H157)</f>
        <v>0</v>
      </c>
      <c r="F29" s="89">
        <f>SUM('FUN-3 (Functional COS)'!K153:K157)/SUM('FUN-3 (Functional COS)'!$H153:$H157)</f>
        <v>0</v>
      </c>
      <c r="G29" s="89">
        <f>SUM('FUN-3 (Functional COS)'!L153:L157)/SUM('FUN-3 (Functional COS)'!$H153:$H157)</f>
        <v>0</v>
      </c>
      <c r="H29" s="89">
        <f>SUM('FUN-3 (Functional COS)'!M153:M157)/SUM('FUN-3 (Functional COS)'!$H153:$H157)</f>
        <v>0.15986200520719707</v>
      </c>
      <c r="I29" s="89">
        <f>SUM('FUN-3 (Functional COS)'!N153:N157)/SUM('FUN-3 (Functional COS)'!$H153:$H157)</f>
        <v>0</v>
      </c>
      <c r="J29" s="89">
        <f>SUM('FUN-3 (Functional COS)'!O153:O157)/SUM('FUN-3 (Functional COS)'!$H153:$H157)</f>
        <v>0</v>
      </c>
      <c r="K29" s="89">
        <f>SUM('FUN-3 (Functional COS)'!P153:P157)/SUM('FUN-3 (Functional COS)'!$H153:$H157)</f>
        <v>0.8020982239928538</v>
      </c>
      <c r="L29" s="89">
        <f>SUM('FUN-3 (Functional COS)'!Q153:Q157)/SUM('FUN-3 (Functional COS)'!$H153:$H157)</f>
        <v>1.4939738537264408E-2</v>
      </c>
      <c r="M29" s="89">
        <f>SUM('FUN-3 (Functional COS)'!R153:R157)/SUM('FUN-3 (Functional COS)'!$H153:$H157)</f>
        <v>2.3100032262684769E-2</v>
      </c>
      <c r="N29" s="89">
        <f>SUM('FUN-3 (Functional COS)'!S153:S157)/SUM('FUN-3 (Functional COS)'!$H153:$H157)</f>
        <v>0</v>
      </c>
      <c r="O29" s="48">
        <f t="shared" si="0"/>
        <v>1</v>
      </c>
      <c r="Q29" s="28">
        <f>SUM('FUN-3 (Functional COS)'!$H153:$H157)</f>
        <v>3314323.2242351095</v>
      </c>
      <c r="S29" s="20" t="s">
        <v>586</v>
      </c>
    </row>
    <row r="30" spans="1:19" x14ac:dyDescent="0.2">
      <c r="D30" s="81"/>
      <c r="E30" s="81"/>
      <c r="F30" s="81"/>
      <c r="G30" s="81"/>
      <c r="H30" s="81"/>
      <c r="I30" s="81"/>
      <c r="J30" s="81"/>
      <c r="K30" s="81"/>
      <c r="L30" s="81"/>
      <c r="M30" s="81"/>
      <c r="N30" s="81"/>
      <c r="O30" s="49"/>
    </row>
    <row r="31" spans="1:19" x14ac:dyDescent="0.2">
      <c r="A31" s="20" t="s">
        <v>46</v>
      </c>
      <c r="B31" s="33"/>
      <c r="D31" s="20"/>
      <c r="O31" s="50"/>
    </row>
    <row r="32" spans="1:19" x14ac:dyDescent="0.2">
      <c r="A32" s="20" t="s">
        <v>858</v>
      </c>
      <c r="D32" s="89"/>
      <c r="E32" s="81"/>
      <c r="F32" s="81"/>
      <c r="G32" s="81"/>
      <c r="H32" s="81"/>
      <c r="I32" s="81"/>
      <c r="J32" s="81"/>
      <c r="K32" s="81"/>
      <c r="L32" s="81"/>
      <c r="M32" s="81"/>
      <c r="N32" s="81"/>
      <c r="O32" s="49"/>
      <c r="Q32" s="28"/>
    </row>
    <row r="33" spans="1:15" x14ac:dyDescent="0.2">
      <c r="A33" s="20" t="s">
        <v>856</v>
      </c>
      <c r="D33" s="45"/>
      <c r="E33" s="45"/>
      <c r="F33" s="45"/>
      <c r="G33" s="45"/>
      <c r="H33" s="45"/>
      <c r="I33" s="45"/>
      <c r="J33" s="45"/>
      <c r="K33" s="45"/>
      <c r="L33" s="45"/>
      <c r="M33" s="45"/>
      <c r="N33" s="45"/>
      <c r="O33" s="48"/>
    </row>
    <row r="34" spans="1:15" x14ac:dyDescent="0.2">
      <c r="A34" s="20" t="s">
        <v>857</v>
      </c>
      <c r="D34" s="45"/>
      <c r="E34" s="45"/>
      <c r="F34" s="45"/>
      <c r="G34" s="45"/>
      <c r="H34" s="45"/>
      <c r="I34" s="45"/>
      <c r="J34" s="45"/>
      <c r="K34" s="45"/>
      <c r="L34" s="45"/>
      <c r="M34" s="45"/>
      <c r="N34" s="45"/>
      <c r="O34" s="48"/>
    </row>
    <row r="35" spans="1:15" x14ac:dyDescent="0.2">
      <c r="D35" s="89"/>
      <c r="E35" s="89"/>
    </row>
  </sheetData>
  <printOptions verticalCentered="1"/>
  <pageMargins left="0.7" right="0.7" top="1.2476041666666666" bottom="0.75" header="0.3" footer="0.3"/>
  <pageSetup scale="59" fitToWidth="2" orientation="landscape" useFirstPageNumber="1" r:id="rId1"/>
  <headerFooter alignWithMargins="0">
    <oddHeader>&amp;CRULE 20:10:13:98
STATEMENT O WORKPAPER - Tab &amp;A
Functional Cost of Service Allocators
Test Year Ending December 31, 2025
Utility: MidAmerican Energy Company
Docket No. NG26-___
Individual Responsible: Stephen Stratton&amp;RPage &amp;P of &amp;N</oddHeader>
  </headerFooter>
  <colBreaks count="1" manualBreakCount="1">
    <brk id="11"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S101"/>
  <sheetViews>
    <sheetView view="pageLayout" zoomScaleNormal="100" workbookViewId="0"/>
  </sheetViews>
  <sheetFormatPr defaultColWidth="9.140625" defaultRowHeight="12.75" x14ac:dyDescent="0.2"/>
  <cols>
    <col min="1" max="1" width="6.85546875" style="17" customWidth="1"/>
    <col min="2" max="2" width="6.140625" style="17" bestFit="1" customWidth="1"/>
    <col min="3" max="3" width="9.5703125" style="17" customWidth="1"/>
    <col min="4" max="4" width="39.5703125" style="17" customWidth="1"/>
    <col min="5" max="5" width="16.5703125" style="20" customWidth="1"/>
    <col min="6" max="6" width="16.7109375" style="17" customWidth="1"/>
    <col min="7" max="7" width="16.28515625" style="17" customWidth="1"/>
    <col min="8" max="8" width="15.140625" style="17" customWidth="1"/>
    <col min="9" max="9" width="17.5703125" style="17" customWidth="1"/>
    <col min="10" max="10" width="17" style="17" customWidth="1"/>
    <col min="11" max="16" width="15.140625" style="17" customWidth="1"/>
    <col min="17" max="17" width="14.5703125" style="17" bestFit="1" customWidth="1"/>
    <col min="18" max="18" width="10.28515625" style="17" bestFit="1" customWidth="1"/>
    <col min="19" max="16384" width="9.140625" style="17"/>
  </cols>
  <sheetData>
    <row r="1" spans="1:18" ht="18" x14ac:dyDescent="0.25">
      <c r="A1" s="134" t="s">
        <v>245</v>
      </c>
      <c r="N1" s="119" t="s">
        <v>713</v>
      </c>
      <c r="O1" s="119" t="s">
        <v>714</v>
      </c>
    </row>
    <row r="2" spans="1:18" x14ac:dyDescent="0.2">
      <c r="F2" s="2"/>
      <c r="G2" s="2" t="s">
        <v>303</v>
      </c>
      <c r="H2" s="2" t="s">
        <v>303</v>
      </c>
      <c r="I2" s="2"/>
      <c r="J2" s="2"/>
      <c r="K2" s="2"/>
      <c r="L2" s="2" t="s">
        <v>60</v>
      </c>
      <c r="M2" s="2" t="s">
        <v>22</v>
      </c>
      <c r="N2" s="2" t="s">
        <v>374</v>
      </c>
      <c r="O2" s="2" t="s">
        <v>374</v>
      </c>
      <c r="P2" s="2" t="s">
        <v>492</v>
      </c>
    </row>
    <row r="3" spans="1:18" x14ac:dyDescent="0.2">
      <c r="A3" s="44" t="s">
        <v>24</v>
      </c>
      <c r="B3" s="38" t="s">
        <v>193</v>
      </c>
      <c r="C3" s="64" t="s">
        <v>152</v>
      </c>
      <c r="D3" s="65" t="s">
        <v>21</v>
      </c>
      <c r="E3" s="282" t="s">
        <v>177</v>
      </c>
      <c r="F3" s="82" t="s">
        <v>302</v>
      </c>
      <c r="G3" s="82" t="s">
        <v>304</v>
      </c>
      <c r="H3" s="82" t="s">
        <v>305</v>
      </c>
      <c r="I3" s="82" t="s">
        <v>19</v>
      </c>
      <c r="J3" s="82" t="s">
        <v>18</v>
      </c>
      <c r="K3" s="82" t="s">
        <v>306</v>
      </c>
      <c r="L3" s="12" t="s">
        <v>18</v>
      </c>
      <c r="M3" s="82" t="s">
        <v>250</v>
      </c>
      <c r="N3" s="82" t="s">
        <v>375</v>
      </c>
      <c r="O3" s="82" t="s">
        <v>375</v>
      </c>
      <c r="P3" s="82" t="s">
        <v>493</v>
      </c>
      <c r="Q3" s="61"/>
    </row>
    <row r="4" spans="1:18" x14ac:dyDescent="0.2">
      <c r="A4" s="37"/>
      <c r="B4" s="43" t="s">
        <v>26</v>
      </c>
      <c r="C4" s="43" t="s">
        <v>27</v>
      </c>
      <c r="D4" s="43" t="s">
        <v>28</v>
      </c>
      <c r="E4" s="36" t="s">
        <v>29</v>
      </c>
      <c r="F4" s="43" t="s">
        <v>36</v>
      </c>
      <c r="G4" s="43" t="s">
        <v>30</v>
      </c>
      <c r="H4" s="43" t="s">
        <v>31</v>
      </c>
      <c r="I4" s="43" t="s">
        <v>32</v>
      </c>
      <c r="J4" s="43" t="s">
        <v>33</v>
      </c>
      <c r="K4" s="43" t="s">
        <v>34</v>
      </c>
      <c r="L4" s="43" t="s">
        <v>35</v>
      </c>
      <c r="M4" s="43" t="s">
        <v>157</v>
      </c>
      <c r="N4" s="43" t="s">
        <v>158</v>
      </c>
      <c r="O4" s="43" t="s">
        <v>159</v>
      </c>
      <c r="P4" s="43" t="s">
        <v>160</v>
      </c>
      <c r="Q4" s="61"/>
    </row>
    <row r="5" spans="1:18" x14ac:dyDescent="0.2">
      <c r="A5" s="37"/>
      <c r="B5" s="36"/>
      <c r="C5" s="63"/>
      <c r="D5" s="54"/>
      <c r="E5" s="62"/>
      <c r="F5" s="62"/>
      <c r="G5" s="62"/>
      <c r="H5" s="62"/>
      <c r="I5" s="62"/>
      <c r="J5" s="62"/>
      <c r="K5" s="62"/>
      <c r="L5" s="62"/>
      <c r="M5" s="62"/>
      <c r="N5" s="62"/>
      <c r="O5" s="62"/>
      <c r="P5" s="62"/>
      <c r="Q5" s="61"/>
    </row>
    <row r="6" spans="1:18" x14ac:dyDescent="0.2">
      <c r="C6" s="135"/>
      <c r="D6" s="37" t="s">
        <v>330</v>
      </c>
      <c r="E6" s="27"/>
      <c r="F6" s="42"/>
      <c r="G6" s="42"/>
      <c r="H6" s="42"/>
      <c r="I6" s="42"/>
    </row>
    <row r="7" spans="1:18" x14ac:dyDescent="0.2">
      <c r="A7" s="29">
        <v>1</v>
      </c>
      <c r="B7" s="18">
        <v>1.1000000000000001</v>
      </c>
      <c r="C7" s="91" t="s">
        <v>389</v>
      </c>
      <c r="D7" s="57" t="s">
        <v>331</v>
      </c>
      <c r="E7" s="27">
        <v>0</v>
      </c>
      <c r="F7" s="108">
        <f>INDEX(AlocTable,MATCH($B7,AlocList),3)*$E7</f>
        <v>0</v>
      </c>
      <c r="G7" s="108">
        <f>INDEX(AlocTable,MATCH($B7,AlocList),4)*$E7</f>
        <v>0</v>
      </c>
      <c r="H7" s="108">
        <f>INDEX(AlocTable,MATCH($B7,AlocList),5)*$E7</f>
        <v>0</v>
      </c>
      <c r="I7" s="108">
        <f>INDEX(AlocTable,MATCH($B7,AlocList),6)*$E7</f>
        <v>0</v>
      </c>
      <c r="J7" s="108">
        <f>INDEX(AlocTable,MATCH($B7,AlocList),7)*$E7</f>
        <v>0</v>
      </c>
      <c r="K7" s="108">
        <f>INDEX(AlocTable,MATCH($B7,AlocList),8)*$E7</f>
        <v>0</v>
      </c>
      <c r="L7" s="108">
        <f>INDEX(AlocTable,MATCH($B7,AlocList),9)*$E7</f>
        <v>0</v>
      </c>
      <c r="M7" s="108">
        <f t="shared" ref="M7:M8" si="0">INDEX(AlocTable,MATCH($B7,AlocList),10)*$E7</f>
        <v>0</v>
      </c>
      <c r="N7" s="108">
        <f>INDEX(AlocTable,MATCH($B7,AlocList),11)*$E7</f>
        <v>0</v>
      </c>
      <c r="O7" s="108">
        <f>INDEX(AlocTable,MATCH($B7,AlocList),12)*$E7</f>
        <v>0</v>
      </c>
      <c r="P7" s="108">
        <f>INDEX(AlocTable,MATCH($B7,AlocList),13)*$E7</f>
        <v>0</v>
      </c>
      <c r="Q7" s="21"/>
      <c r="R7" s="21"/>
    </row>
    <row r="8" spans="1:18" x14ac:dyDescent="0.2">
      <c r="A8" s="30">
        <f>+A7+1</f>
        <v>2</v>
      </c>
      <c r="B8" s="38">
        <v>1.1000000000000001</v>
      </c>
      <c r="C8" s="92" t="s">
        <v>390</v>
      </c>
      <c r="D8" s="94" t="s">
        <v>110</v>
      </c>
      <c r="E8" s="9">
        <v>0</v>
      </c>
      <c r="F8" s="9">
        <f>INDEX(AlocTable,MATCH($B8,AlocList),3)*$E8</f>
        <v>0</v>
      </c>
      <c r="G8" s="9">
        <f>INDEX(AlocTable,MATCH($B8,AlocList),4)*$E8</f>
        <v>0</v>
      </c>
      <c r="H8" s="9">
        <f>INDEX(AlocTable,MATCH($B8,AlocList),5)*$E8</f>
        <v>0</v>
      </c>
      <c r="I8" s="9">
        <f>INDEX(AlocTable,MATCH($B8,AlocList),6)*$E8</f>
        <v>0</v>
      </c>
      <c r="J8" s="9">
        <f>INDEX(AlocTable,MATCH($B8,AlocList),7)*$E8</f>
        <v>0</v>
      </c>
      <c r="K8" s="9">
        <f>INDEX(AlocTable,MATCH($B8,AlocList),8)*$E8</f>
        <v>0</v>
      </c>
      <c r="L8" s="9">
        <f>INDEX(AlocTable,MATCH($B8,AlocList),9)*$E8</f>
        <v>0</v>
      </c>
      <c r="M8" s="9">
        <f t="shared" si="0"/>
        <v>0</v>
      </c>
      <c r="N8" s="9">
        <f>INDEX(AlocTable,MATCH($B8,AlocList),11)*$E8</f>
        <v>0</v>
      </c>
      <c r="O8" s="120">
        <f>INDEX(AlocTable,MATCH($B8,AlocList),12)*$E8</f>
        <v>0</v>
      </c>
      <c r="P8" s="120">
        <f>INDEX(AlocTable,MATCH($B8,AlocList),13)*$E8</f>
        <v>0</v>
      </c>
      <c r="Q8" s="21"/>
      <c r="R8" s="21"/>
    </row>
    <row r="9" spans="1:18" x14ac:dyDescent="0.2">
      <c r="A9" s="29">
        <f>+A8+1</f>
        <v>3</v>
      </c>
      <c r="B9" s="18"/>
      <c r="C9" s="55"/>
      <c r="D9" s="93" t="s">
        <v>392</v>
      </c>
      <c r="E9" s="27">
        <f t="shared" ref="E9:P9" si="1">SUM(E7:E8)</f>
        <v>0</v>
      </c>
      <c r="F9" s="108">
        <f t="shared" si="1"/>
        <v>0</v>
      </c>
      <c r="G9" s="108">
        <f t="shared" si="1"/>
        <v>0</v>
      </c>
      <c r="H9" s="108">
        <f t="shared" si="1"/>
        <v>0</v>
      </c>
      <c r="I9" s="108">
        <f t="shared" si="1"/>
        <v>0</v>
      </c>
      <c r="J9" s="108">
        <f t="shared" si="1"/>
        <v>0</v>
      </c>
      <c r="K9" s="108">
        <f t="shared" si="1"/>
        <v>0</v>
      </c>
      <c r="L9" s="108">
        <f t="shared" si="1"/>
        <v>0</v>
      </c>
      <c r="M9" s="108">
        <f t="shared" si="1"/>
        <v>0</v>
      </c>
      <c r="N9" s="108">
        <f t="shared" si="1"/>
        <v>0</v>
      </c>
      <c r="O9" s="108">
        <f t="shared" si="1"/>
        <v>0</v>
      </c>
      <c r="P9" s="108">
        <f t="shared" si="1"/>
        <v>0</v>
      </c>
      <c r="Q9" s="21"/>
      <c r="R9" s="21"/>
    </row>
    <row r="10" spans="1:18" x14ac:dyDescent="0.2">
      <c r="A10" s="29"/>
      <c r="B10" s="18"/>
      <c r="C10" s="55"/>
      <c r="D10" s="57"/>
      <c r="E10" s="27"/>
      <c r="F10" s="108"/>
      <c r="G10" s="108"/>
      <c r="H10" s="108"/>
      <c r="I10" s="108"/>
      <c r="J10" s="108"/>
      <c r="K10" s="108"/>
      <c r="L10" s="108"/>
      <c r="M10" s="108"/>
      <c r="N10" s="108"/>
      <c r="O10" s="108"/>
      <c r="P10" s="108"/>
      <c r="Q10" s="21"/>
      <c r="R10" s="21"/>
    </row>
    <row r="11" spans="1:18" x14ac:dyDescent="0.2">
      <c r="A11" s="30">
        <f>+A9+1</f>
        <v>4</v>
      </c>
      <c r="B11" s="38">
        <v>1.1000000000000001</v>
      </c>
      <c r="C11" s="92" t="s">
        <v>391</v>
      </c>
      <c r="D11" s="58" t="s">
        <v>336</v>
      </c>
      <c r="E11" s="9">
        <v>0</v>
      </c>
      <c r="F11" s="9">
        <f>INDEX(AlocTable,MATCH($B11,AlocList),3)*$E11</f>
        <v>0</v>
      </c>
      <c r="G11" s="9">
        <f>INDEX(AlocTable,MATCH($B11,AlocList),4)*$E11</f>
        <v>0</v>
      </c>
      <c r="H11" s="9">
        <f>INDEX(AlocTable,MATCH($B11,AlocList),5)*$E11</f>
        <v>0</v>
      </c>
      <c r="I11" s="9">
        <f>INDEX(AlocTable,MATCH($B11,AlocList),6)*$E11</f>
        <v>0</v>
      </c>
      <c r="J11" s="9">
        <f>INDEX(AlocTable,MATCH($B11,AlocList),7)*$E11</f>
        <v>0</v>
      </c>
      <c r="K11" s="9">
        <f>INDEX(AlocTable,MATCH($B11,AlocList),8)*$E11</f>
        <v>0</v>
      </c>
      <c r="L11" s="9">
        <f>INDEX(AlocTable,MATCH($B11,AlocList),9)*$E11</f>
        <v>0</v>
      </c>
      <c r="M11" s="9">
        <f t="shared" ref="M11" si="2">INDEX(AlocTable,MATCH($B11,AlocList),10)*$E11</f>
        <v>0</v>
      </c>
      <c r="N11" s="9">
        <f>INDEX(AlocTable,MATCH($B11,AlocList),11)*$E11</f>
        <v>0</v>
      </c>
      <c r="O11" s="120">
        <f>INDEX(AlocTable,MATCH($B11,AlocList),12)*$E11</f>
        <v>0</v>
      </c>
      <c r="P11" s="120">
        <f>INDEX(AlocTable,MATCH($B11,AlocList),13)*$E11</f>
        <v>0</v>
      </c>
      <c r="Q11" s="21"/>
      <c r="R11" s="21"/>
    </row>
    <row r="12" spans="1:18" x14ac:dyDescent="0.2">
      <c r="A12" s="29">
        <f>+A11+1</f>
        <v>5</v>
      </c>
      <c r="B12" s="18"/>
      <c r="C12" s="55"/>
      <c r="D12" s="93" t="s">
        <v>397</v>
      </c>
      <c r="E12" s="27">
        <f t="shared" ref="E12:P12" si="3">SUM(E11:E11)</f>
        <v>0</v>
      </c>
      <c r="F12" s="108">
        <f t="shared" si="3"/>
        <v>0</v>
      </c>
      <c r="G12" s="108">
        <f t="shared" si="3"/>
        <v>0</v>
      </c>
      <c r="H12" s="108">
        <f t="shared" si="3"/>
        <v>0</v>
      </c>
      <c r="I12" s="108">
        <f t="shared" si="3"/>
        <v>0</v>
      </c>
      <c r="J12" s="108">
        <f t="shared" si="3"/>
        <v>0</v>
      </c>
      <c r="K12" s="108">
        <f t="shared" si="3"/>
        <v>0</v>
      </c>
      <c r="L12" s="108">
        <f t="shared" si="3"/>
        <v>0</v>
      </c>
      <c r="M12" s="108">
        <f t="shared" si="3"/>
        <v>0</v>
      </c>
      <c r="N12" s="108">
        <f t="shared" si="3"/>
        <v>0</v>
      </c>
      <c r="O12" s="108">
        <f t="shared" si="3"/>
        <v>0</v>
      </c>
      <c r="P12" s="108">
        <f t="shared" si="3"/>
        <v>0</v>
      </c>
      <c r="Q12" s="21"/>
      <c r="R12" s="21"/>
    </row>
    <row r="13" spans="1:18" x14ac:dyDescent="0.2">
      <c r="A13" s="29"/>
      <c r="B13" s="18"/>
      <c r="C13" s="55"/>
      <c r="D13" s="57"/>
      <c r="E13" s="27"/>
      <c r="F13" s="3"/>
      <c r="G13" s="3"/>
      <c r="H13" s="3"/>
      <c r="I13" s="3"/>
      <c r="J13" s="3"/>
      <c r="K13" s="3"/>
      <c r="L13" s="3"/>
      <c r="M13" s="3"/>
      <c r="N13" s="3"/>
      <c r="O13" s="3"/>
      <c r="P13" s="3"/>
      <c r="Q13" s="21"/>
      <c r="R13" s="21"/>
    </row>
    <row r="14" spans="1:18" x14ac:dyDescent="0.2">
      <c r="A14" s="29"/>
      <c r="B14" s="18"/>
      <c r="C14" s="55"/>
      <c r="D14" s="88" t="s">
        <v>109</v>
      </c>
      <c r="E14" s="27"/>
      <c r="F14" s="3"/>
      <c r="G14" s="3"/>
      <c r="H14" s="3"/>
      <c r="I14" s="3"/>
      <c r="J14" s="3"/>
      <c r="K14" s="3"/>
      <c r="L14" s="3"/>
      <c r="M14" s="3"/>
      <c r="N14" s="3"/>
      <c r="O14" s="3"/>
      <c r="P14" s="3"/>
      <c r="Q14" s="21"/>
      <c r="R14" s="21"/>
    </row>
    <row r="15" spans="1:18" x14ac:dyDescent="0.2">
      <c r="A15" s="30">
        <f>+A12+1</f>
        <v>6</v>
      </c>
      <c r="B15" s="38">
        <v>1.9</v>
      </c>
      <c r="C15" s="92" t="s">
        <v>393</v>
      </c>
      <c r="D15" s="58" t="s">
        <v>65</v>
      </c>
      <c r="E15" s="9">
        <v>165684</v>
      </c>
      <c r="F15" s="8">
        <f>INDEX(AlocTable,MATCH($B15,AlocList),3)*$E15</f>
        <v>0</v>
      </c>
      <c r="G15" s="8">
        <f>INDEX(AlocTable,MATCH($B15,AlocList),4)*$E15</f>
        <v>0</v>
      </c>
      <c r="H15" s="8">
        <f>INDEX(AlocTable,MATCH($B15,AlocList),5)*$E15</f>
        <v>0</v>
      </c>
      <c r="I15" s="8">
        <f>INDEX(AlocTable,MATCH($B15,AlocList),6)*$E15</f>
        <v>0</v>
      </c>
      <c r="J15" s="8">
        <f>INDEX(AlocTable,MATCH($B15,AlocList),7)*$E15</f>
        <v>0</v>
      </c>
      <c r="K15" s="8">
        <f>INDEX(AlocTable,MATCH($B15,AlocList),8)*$E15</f>
        <v>0</v>
      </c>
      <c r="L15" s="8">
        <f>INDEX(AlocTable,MATCH($B15,AlocList),9)*$E15</f>
        <v>0</v>
      </c>
      <c r="M15" s="8">
        <f t="shared" ref="M15" si="4">INDEX(AlocTable,MATCH($B15,AlocList),10)*$E15</f>
        <v>0</v>
      </c>
      <c r="N15" s="8">
        <f>INDEX(AlocTable,MATCH($B15,AlocList),11)*$E15</f>
        <v>0</v>
      </c>
      <c r="O15" s="120">
        <f>INDEX(AlocTable,MATCH($B15,AlocList),12)*$E15</f>
        <v>0</v>
      </c>
      <c r="P15" s="120">
        <f>INDEX(AlocTable,MATCH($B15,AlocList),13)*$E15</f>
        <v>165684</v>
      </c>
      <c r="Q15" s="21"/>
      <c r="R15" s="21"/>
    </row>
    <row r="16" spans="1:18" x14ac:dyDescent="0.2">
      <c r="A16" s="29">
        <f>+A15+1</f>
        <v>7</v>
      </c>
      <c r="B16" s="18"/>
      <c r="C16" s="55"/>
      <c r="D16" s="93" t="s">
        <v>394</v>
      </c>
      <c r="E16" s="27">
        <f>SUM(E15:E15)</f>
        <v>165684</v>
      </c>
      <c r="F16" s="16">
        <f t="shared" ref="F16:P16" si="5">SUM(F15:F15)</f>
        <v>0</v>
      </c>
      <c r="G16" s="16">
        <f t="shared" si="5"/>
        <v>0</v>
      </c>
      <c r="H16" s="16">
        <f t="shared" si="5"/>
        <v>0</v>
      </c>
      <c r="I16" s="16">
        <f t="shared" si="5"/>
        <v>0</v>
      </c>
      <c r="J16" s="16">
        <f t="shared" si="5"/>
        <v>0</v>
      </c>
      <c r="K16" s="16">
        <f t="shared" si="5"/>
        <v>0</v>
      </c>
      <c r="L16" s="16">
        <f t="shared" si="5"/>
        <v>0</v>
      </c>
      <c r="M16" s="16">
        <f t="shared" si="5"/>
        <v>0</v>
      </c>
      <c r="N16" s="16">
        <f t="shared" si="5"/>
        <v>0</v>
      </c>
      <c r="O16" s="16">
        <f t="shared" si="5"/>
        <v>0</v>
      </c>
      <c r="P16" s="16">
        <f t="shared" si="5"/>
        <v>165684</v>
      </c>
      <c r="Q16" s="21"/>
      <c r="R16" s="21"/>
    </row>
    <row r="17" spans="1:19" x14ac:dyDescent="0.2">
      <c r="A17" s="29"/>
      <c r="B17" s="18"/>
      <c r="C17" s="55"/>
      <c r="D17" s="57"/>
      <c r="E17" s="27"/>
      <c r="F17" s="3"/>
      <c r="G17" s="3"/>
      <c r="H17" s="3"/>
      <c r="I17" s="3"/>
      <c r="J17" s="3"/>
      <c r="K17" s="3"/>
      <c r="L17" s="3"/>
      <c r="M17" s="3"/>
      <c r="N17" s="3"/>
      <c r="O17" s="3"/>
      <c r="P17" s="3"/>
      <c r="Q17" s="21"/>
      <c r="R17" s="21"/>
    </row>
    <row r="18" spans="1:19" x14ac:dyDescent="0.2">
      <c r="A18" s="29"/>
      <c r="B18" s="18"/>
      <c r="C18" s="55"/>
      <c r="D18" s="88" t="s">
        <v>342</v>
      </c>
      <c r="E18" s="27"/>
      <c r="F18" s="3"/>
      <c r="G18" s="3"/>
      <c r="H18" s="3"/>
      <c r="I18" s="3"/>
      <c r="J18" s="3"/>
      <c r="K18" s="3"/>
      <c r="L18" s="3"/>
      <c r="M18" s="3"/>
      <c r="N18" s="3"/>
      <c r="O18" s="3"/>
      <c r="P18" s="3"/>
      <c r="Q18" s="21"/>
      <c r="R18" s="21"/>
    </row>
    <row r="19" spans="1:19" x14ac:dyDescent="0.2">
      <c r="A19" s="29">
        <f>+A16+1</f>
        <v>8</v>
      </c>
      <c r="B19" s="18">
        <v>1.1000000000000001</v>
      </c>
      <c r="C19" s="55">
        <v>840</v>
      </c>
      <c r="D19" s="57" t="s">
        <v>105</v>
      </c>
      <c r="E19" s="27">
        <v>109659</v>
      </c>
      <c r="F19" s="3">
        <f t="shared" ref="F19:F20" si="6">INDEX(AlocTable,MATCH($B19,AlocList),3)*$E19</f>
        <v>109659</v>
      </c>
      <c r="G19" s="3">
        <f t="shared" ref="G19:G20" si="7">INDEX(AlocTable,MATCH($B19,AlocList),4)*$E19</f>
        <v>0</v>
      </c>
      <c r="H19" s="3">
        <f t="shared" ref="H19:H20" si="8">INDEX(AlocTable,MATCH($B19,AlocList),5)*$E19</f>
        <v>0</v>
      </c>
      <c r="I19" s="3">
        <f t="shared" ref="I19:I20" si="9">INDEX(AlocTable,MATCH($B19,AlocList),6)*$E19</f>
        <v>0</v>
      </c>
      <c r="J19" s="3">
        <f t="shared" ref="J19:J20" si="10">INDEX(AlocTable,MATCH($B19,AlocList),7)*$E19</f>
        <v>0</v>
      </c>
      <c r="K19" s="3">
        <f t="shared" ref="K19:K20" si="11">INDEX(AlocTable,MATCH($B19,AlocList),8)*$E19</f>
        <v>0</v>
      </c>
      <c r="L19" s="3">
        <f t="shared" ref="L19:L20" si="12">INDEX(AlocTable,MATCH($B19,AlocList),9)*$E19</f>
        <v>0</v>
      </c>
      <c r="M19" s="3">
        <f t="shared" ref="M19:M20" si="13">INDEX(AlocTable,MATCH($B19,AlocList),10)*$E19</f>
        <v>0</v>
      </c>
      <c r="N19" s="3">
        <f t="shared" ref="N19:N20" si="14">INDEX(AlocTable,MATCH($B19,AlocList),11)*$E19</f>
        <v>0</v>
      </c>
      <c r="O19" s="121">
        <f>INDEX(AlocTable,MATCH($B19,AlocList),12)*$E19</f>
        <v>0</v>
      </c>
      <c r="P19" s="121">
        <f>INDEX(AlocTable,MATCH($B19,AlocList),13)*$E19</f>
        <v>0</v>
      </c>
      <c r="Q19" s="21"/>
      <c r="R19" s="21"/>
    </row>
    <row r="20" spans="1:19" x14ac:dyDescent="0.2">
      <c r="A20" s="30">
        <f>+A19+1</f>
        <v>9</v>
      </c>
      <c r="B20" s="38">
        <v>1.1000000000000001</v>
      </c>
      <c r="C20" s="92" t="s">
        <v>396</v>
      </c>
      <c r="D20" s="58" t="s">
        <v>343</v>
      </c>
      <c r="E20" s="9">
        <v>116176</v>
      </c>
      <c r="F20" s="8">
        <f t="shared" si="6"/>
        <v>116176</v>
      </c>
      <c r="G20" s="8">
        <f t="shared" si="7"/>
        <v>0</v>
      </c>
      <c r="H20" s="8">
        <f t="shared" si="8"/>
        <v>0</v>
      </c>
      <c r="I20" s="8">
        <f t="shared" si="9"/>
        <v>0</v>
      </c>
      <c r="J20" s="8">
        <f t="shared" si="10"/>
        <v>0</v>
      </c>
      <c r="K20" s="8">
        <f t="shared" si="11"/>
        <v>0</v>
      </c>
      <c r="L20" s="8">
        <f t="shared" si="12"/>
        <v>0</v>
      </c>
      <c r="M20" s="8">
        <f t="shared" si="13"/>
        <v>0</v>
      </c>
      <c r="N20" s="8">
        <f t="shared" si="14"/>
        <v>0</v>
      </c>
      <c r="O20" s="120">
        <f>INDEX(AlocTable,MATCH($B20,AlocList),12)*$E20</f>
        <v>0</v>
      </c>
      <c r="P20" s="120">
        <f>INDEX(AlocTable,MATCH($B20,AlocList),13)*$E20</f>
        <v>0</v>
      </c>
      <c r="Q20" s="21"/>
      <c r="R20" s="21"/>
    </row>
    <row r="21" spans="1:19" x14ac:dyDescent="0.2">
      <c r="A21" s="29">
        <f>+A20+1</f>
        <v>10</v>
      </c>
      <c r="B21" s="18"/>
      <c r="C21" s="55"/>
      <c r="D21" s="57" t="s">
        <v>866</v>
      </c>
      <c r="E21" s="27">
        <f t="shared" ref="E21:P21" si="15">SUM(E19:E20)</f>
        <v>225835</v>
      </c>
      <c r="F21" s="3">
        <f t="shared" si="15"/>
        <v>225835</v>
      </c>
      <c r="G21" s="3">
        <f t="shared" si="15"/>
        <v>0</v>
      </c>
      <c r="H21" s="3">
        <f t="shared" si="15"/>
        <v>0</v>
      </c>
      <c r="I21" s="3">
        <f t="shared" si="15"/>
        <v>0</v>
      </c>
      <c r="J21" s="3">
        <f t="shared" si="15"/>
        <v>0</v>
      </c>
      <c r="K21" s="3">
        <f t="shared" si="15"/>
        <v>0</v>
      </c>
      <c r="L21" s="3">
        <f t="shared" si="15"/>
        <v>0</v>
      </c>
      <c r="M21" s="3">
        <f t="shared" si="15"/>
        <v>0</v>
      </c>
      <c r="N21" s="3">
        <f t="shared" si="15"/>
        <v>0</v>
      </c>
      <c r="O21" s="3">
        <f t="shared" si="15"/>
        <v>0</v>
      </c>
      <c r="P21" s="3">
        <f t="shared" si="15"/>
        <v>0</v>
      </c>
      <c r="Q21" s="21"/>
      <c r="R21" s="21"/>
    </row>
    <row r="22" spans="1:19" x14ac:dyDescent="0.2">
      <c r="A22" s="29"/>
      <c r="B22" s="18"/>
      <c r="C22" s="55"/>
      <c r="D22" s="57"/>
      <c r="E22" s="27"/>
      <c r="F22" s="3"/>
      <c r="G22" s="3"/>
      <c r="H22" s="3"/>
      <c r="I22" s="3"/>
      <c r="J22" s="3"/>
      <c r="K22" s="3"/>
      <c r="L22" s="3"/>
      <c r="M22" s="3"/>
      <c r="N22" s="3"/>
      <c r="O22" s="3"/>
      <c r="P22" s="3"/>
      <c r="Q22" s="21"/>
      <c r="R22" s="21"/>
    </row>
    <row r="23" spans="1:19" x14ac:dyDescent="0.2">
      <c r="A23" s="30">
        <f>+A21+1</f>
        <v>11</v>
      </c>
      <c r="B23" s="38">
        <v>1.1000000000000001</v>
      </c>
      <c r="C23" s="92" t="s">
        <v>395</v>
      </c>
      <c r="D23" s="94" t="s">
        <v>77</v>
      </c>
      <c r="E23" s="9">
        <v>17</v>
      </c>
      <c r="F23" s="8">
        <f>INDEX(AlocTable,MATCH($B23,AlocList),3)*$E23</f>
        <v>17</v>
      </c>
      <c r="G23" s="8">
        <f>INDEX(AlocTable,MATCH($B23,AlocList),4)*$E23</f>
        <v>0</v>
      </c>
      <c r="H23" s="8">
        <f>INDEX(AlocTable,MATCH($B23,AlocList),5)*$E23</f>
        <v>0</v>
      </c>
      <c r="I23" s="8">
        <f>INDEX(AlocTable,MATCH($B23,AlocList),6)*$E23</f>
        <v>0</v>
      </c>
      <c r="J23" s="8">
        <f>INDEX(AlocTable,MATCH($B23,AlocList),7)*$E23</f>
        <v>0</v>
      </c>
      <c r="K23" s="8">
        <f>INDEX(AlocTable,MATCH($B23,AlocList),8)*$E23</f>
        <v>0</v>
      </c>
      <c r="L23" s="8">
        <f>INDEX(AlocTable,MATCH($B23,AlocList),9)*$E23</f>
        <v>0</v>
      </c>
      <c r="M23" s="8">
        <f t="shared" ref="M23" si="16">INDEX(AlocTable,MATCH($B23,AlocList),10)*$E23</f>
        <v>0</v>
      </c>
      <c r="N23" s="8">
        <f>INDEX(AlocTable,MATCH($B23,AlocList),11)*$E23</f>
        <v>0</v>
      </c>
      <c r="O23" s="120">
        <f>INDEX(AlocTable,MATCH($B23,AlocList),12)*$E23</f>
        <v>0</v>
      </c>
      <c r="P23" s="120">
        <f>INDEX(AlocTable,MATCH($B23,AlocList),13)*$E23</f>
        <v>0</v>
      </c>
      <c r="Q23" s="21"/>
      <c r="R23" s="21"/>
    </row>
    <row r="24" spans="1:19" x14ac:dyDescent="0.2">
      <c r="A24" s="29">
        <f>+A23+1</f>
        <v>12</v>
      </c>
      <c r="B24" s="18"/>
      <c r="C24" s="55"/>
      <c r="D24" s="57" t="s">
        <v>867</v>
      </c>
      <c r="E24" s="27">
        <f t="shared" ref="E24:P24" si="17">SUM(E23:E23)</f>
        <v>17</v>
      </c>
      <c r="F24" s="3">
        <f t="shared" si="17"/>
        <v>17</v>
      </c>
      <c r="G24" s="3">
        <f t="shared" si="17"/>
        <v>0</v>
      </c>
      <c r="H24" s="3">
        <f t="shared" si="17"/>
        <v>0</v>
      </c>
      <c r="I24" s="3">
        <f t="shared" si="17"/>
        <v>0</v>
      </c>
      <c r="J24" s="3">
        <f t="shared" si="17"/>
        <v>0</v>
      </c>
      <c r="K24" s="3">
        <f t="shared" si="17"/>
        <v>0</v>
      </c>
      <c r="L24" s="3">
        <f t="shared" si="17"/>
        <v>0</v>
      </c>
      <c r="M24" s="3">
        <f t="shared" si="17"/>
        <v>0</v>
      </c>
      <c r="N24" s="3">
        <f t="shared" si="17"/>
        <v>0</v>
      </c>
      <c r="O24" s="3">
        <f t="shared" si="17"/>
        <v>0</v>
      </c>
      <c r="P24" s="3">
        <f t="shared" si="17"/>
        <v>0</v>
      </c>
      <c r="Q24" s="21"/>
      <c r="R24" s="21"/>
    </row>
    <row r="25" spans="1:19" x14ac:dyDescent="0.2">
      <c r="A25" s="29"/>
      <c r="B25" s="18"/>
      <c r="C25" s="55"/>
      <c r="D25" s="57"/>
      <c r="E25" s="27"/>
      <c r="F25" s="3"/>
      <c r="G25" s="3"/>
      <c r="H25" s="3"/>
      <c r="I25" s="3"/>
      <c r="J25" s="3"/>
      <c r="K25" s="3"/>
      <c r="L25" s="3"/>
      <c r="M25" s="3"/>
      <c r="N25" s="3"/>
      <c r="O25" s="3"/>
      <c r="P25" s="3"/>
      <c r="Q25" s="21"/>
      <c r="R25" s="21"/>
    </row>
    <row r="26" spans="1:19" x14ac:dyDescent="0.2">
      <c r="A26" s="29"/>
      <c r="B26" s="18"/>
      <c r="C26" s="55"/>
      <c r="D26" s="54" t="s">
        <v>154</v>
      </c>
      <c r="E26" s="27"/>
      <c r="F26" s="3"/>
      <c r="G26" s="3"/>
      <c r="H26" s="3"/>
      <c r="I26" s="3"/>
      <c r="J26" s="3"/>
      <c r="K26" s="3"/>
      <c r="L26" s="3"/>
      <c r="M26" s="3"/>
      <c r="N26" s="3"/>
      <c r="O26" s="3"/>
      <c r="P26" s="3"/>
      <c r="Q26" s="21"/>
      <c r="R26" s="21"/>
      <c r="S26" s="29"/>
    </row>
    <row r="27" spans="1:19" x14ac:dyDescent="0.2">
      <c r="A27" s="29">
        <f>+A24+1</f>
        <v>13</v>
      </c>
      <c r="B27" s="18">
        <v>59</v>
      </c>
      <c r="C27" s="55">
        <v>870</v>
      </c>
      <c r="D27" s="57" t="s">
        <v>105</v>
      </c>
      <c r="E27" s="27">
        <v>834961</v>
      </c>
      <c r="F27" s="3">
        <f t="shared" ref="F27:F34" si="18">INDEX(AlocTable,MATCH($B27,AlocList),3)*$E27</f>
        <v>0</v>
      </c>
      <c r="G27" s="3">
        <f t="shared" ref="G27:G34" si="19">INDEX(AlocTable,MATCH($B27,AlocList),4)*$E27</f>
        <v>102129.68263417543</v>
      </c>
      <c r="H27" s="3">
        <f t="shared" ref="H27:H34" si="20">INDEX(AlocTable,MATCH($B27,AlocList),5)*$E27</f>
        <v>323834.73802442948</v>
      </c>
      <c r="I27" s="3">
        <f t="shared" ref="I27:I34" si="21">INDEX(AlocTable,MATCH($B27,AlocList),6)*$E27</f>
        <v>283309.31578936311</v>
      </c>
      <c r="J27" s="3">
        <f t="shared" ref="J27:J34" si="22">INDEX(AlocTable,MATCH($B27,AlocList),7)*$E27</f>
        <v>112231.40487592288</v>
      </c>
      <c r="K27" s="3">
        <f t="shared" ref="K27:K34" si="23">INDEX(AlocTable,MATCH($B27,AlocList),8)*$E27</f>
        <v>13284.4118066092</v>
      </c>
      <c r="L27" s="3">
        <f t="shared" ref="L27:L34" si="24">INDEX(AlocTable,MATCH($B27,AlocList),9)*$E27</f>
        <v>171.44686949990665</v>
      </c>
      <c r="M27" s="3">
        <f t="shared" ref="M27:M34" si="25">INDEX(AlocTable,MATCH($B27,AlocList),10)*$E27</f>
        <v>0</v>
      </c>
      <c r="N27" s="3">
        <f t="shared" ref="N27:N34" si="26">INDEX(AlocTable,MATCH($B27,AlocList),11)*$E27</f>
        <v>0</v>
      </c>
      <c r="O27" s="121">
        <f t="shared" ref="O27:O34" si="27">INDEX(AlocTable,MATCH($B27,AlocList),12)*$E27</f>
        <v>0</v>
      </c>
      <c r="P27" s="121">
        <f t="shared" ref="P27:P34" si="28">INDEX(AlocTable,MATCH($B27,AlocList),13)*$E27</f>
        <v>0</v>
      </c>
      <c r="Q27" s="21"/>
      <c r="R27" s="21"/>
      <c r="S27" s="29"/>
    </row>
    <row r="28" spans="1:19" x14ac:dyDescent="0.2">
      <c r="A28" s="29">
        <f>+A27+1</f>
        <v>14</v>
      </c>
      <c r="B28" s="18">
        <v>44</v>
      </c>
      <c r="C28" s="55">
        <v>871</v>
      </c>
      <c r="D28" s="57" t="s">
        <v>106</v>
      </c>
      <c r="E28" s="27">
        <v>118652</v>
      </c>
      <c r="F28" s="3">
        <f t="shared" si="18"/>
        <v>0</v>
      </c>
      <c r="G28" s="3">
        <f t="shared" si="19"/>
        <v>13854.60549976893</v>
      </c>
      <c r="H28" s="3">
        <f t="shared" si="20"/>
        <v>43930.446337724628</v>
      </c>
      <c r="I28" s="3">
        <f t="shared" si="21"/>
        <v>37986.533143635439</v>
      </c>
      <c r="J28" s="3">
        <f t="shared" si="22"/>
        <v>20150.796976408925</v>
      </c>
      <c r="K28" s="3">
        <f t="shared" si="23"/>
        <v>2624.3836347260485</v>
      </c>
      <c r="L28" s="3">
        <f t="shared" si="24"/>
        <v>105.23440773601135</v>
      </c>
      <c r="M28" s="3">
        <f t="shared" si="25"/>
        <v>0</v>
      </c>
      <c r="N28" s="3">
        <f t="shared" si="26"/>
        <v>0</v>
      </c>
      <c r="O28" s="121">
        <f t="shared" si="27"/>
        <v>0</v>
      </c>
      <c r="P28" s="121">
        <f t="shared" si="28"/>
        <v>0</v>
      </c>
      <c r="Q28" s="21"/>
      <c r="R28" s="21"/>
      <c r="S28" s="29"/>
    </row>
    <row r="29" spans="1:19" x14ac:dyDescent="0.2">
      <c r="A29" s="29">
        <f t="shared" ref="A29:A35" si="29">+A28+1</f>
        <v>15</v>
      </c>
      <c r="B29" s="18">
        <v>44.1</v>
      </c>
      <c r="C29" s="55">
        <v>874</v>
      </c>
      <c r="D29" s="57" t="s">
        <v>346</v>
      </c>
      <c r="E29" s="27">
        <v>1722651</v>
      </c>
      <c r="F29" s="3">
        <f t="shared" si="18"/>
        <v>0</v>
      </c>
      <c r="G29" s="3">
        <f t="shared" si="19"/>
        <v>242703.22424355798</v>
      </c>
      <c r="H29" s="3">
        <f t="shared" si="20"/>
        <v>769567.99446957896</v>
      </c>
      <c r="I29" s="3">
        <f t="shared" si="21"/>
        <v>710379.78128686303</v>
      </c>
      <c r="J29" s="3">
        <f t="shared" si="22"/>
        <v>0</v>
      </c>
      <c r="K29" s="3">
        <f t="shared" si="23"/>
        <v>0</v>
      </c>
      <c r="L29" s="3">
        <f t="shared" si="24"/>
        <v>0</v>
      </c>
      <c r="M29" s="3">
        <f t="shared" si="25"/>
        <v>0</v>
      </c>
      <c r="N29" s="3">
        <f t="shared" si="26"/>
        <v>0</v>
      </c>
      <c r="O29" s="121">
        <f t="shared" si="27"/>
        <v>0</v>
      </c>
      <c r="P29" s="121">
        <f t="shared" si="28"/>
        <v>0</v>
      </c>
      <c r="Q29" s="21"/>
      <c r="R29" s="21"/>
      <c r="S29" s="29"/>
    </row>
    <row r="30" spans="1:19" x14ac:dyDescent="0.2">
      <c r="A30" s="29">
        <f t="shared" si="29"/>
        <v>16</v>
      </c>
      <c r="B30" s="18">
        <v>1.2</v>
      </c>
      <c r="C30" s="55">
        <v>875</v>
      </c>
      <c r="D30" s="57" t="s">
        <v>347</v>
      </c>
      <c r="E30" s="27">
        <v>101190</v>
      </c>
      <c r="F30" s="3">
        <f t="shared" si="18"/>
        <v>0</v>
      </c>
      <c r="G30" s="3">
        <f t="shared" si="19"/>
        <v>24261.422044999719</v>
      </c>
      <c r="H30" s="3">
        <f t="shared" si="20"/>
        <v>76928.577955000277</v>
      </c>
      <c r="I30" s="3">
        <f t="shared" si="21"/>
        <v>0</v>
      </c>
      <c r="J30" s="3">
        <f t="shared" si="22"/>
        <v>0</v>
      </c>
      <c r="K30" s="3">
        <f t="shared" si="23"/>
        <v>0</v>
      </c>
      <c r="L30" s="3">
        <f t="shared" si="24"/>
        <v>0</v>
      </c>
      <c r="M30" s="3">
        <f t="shared" si="25"/>
        <v>0</v>
      </c>
      <c r="N30" s="3">
        <f t="shared" si="26"/>
        <v>0</v>
      </c>
      <c r="O30" s="121">
        <f t="shared" si="27"/>
        <v>0</v>
      </c>
      <c r="P30" s="121">
        <f t="shared" si="28"/>
        <v>0</v>
      </c>
      <c r="Q30" s="21"/>
      <c r="R30" s="21"/>
      <c r="S30" s="29"/>
    </row>
    <row r="31" spans="1:19" x14ac:dyDescent="0.2">
      <c r="A31" s="29">
        <f t="shared" si="29"/>
        <v>17</v>
      </c>
      <c r="B31" s="18">
        <v>1.2</v>
      </c>
      <c r="C31" s="60">
        <v>877</v>
      </c>
      <c r="D31" s="57" t="s">
        <v>349</v>
      </c>
      <c r="E31" s="27">
        <v>0</v>
      </c>
      <c r="F31" s="3">
        <f t="shared" si="18"/>
        <v>0</v>
      </c>
      <c r="G31" s="3">
        <f t="shared" si="19"/>
        <v>0</v>
      </c>
      <c r="H31" s="3">
        <f t="shared" si="20"/>
        <v>0</v>
      </c>
      <c r="I31" s="3">
        <f t="shared" si="21"/>
        <v>0</v>
      </c>
      <c r="J31" s="3">
        <f t="shared" si="22"/>
        <v>0</v>
      </c>
      <c r="K31" s="3">
        <f t="shared" si="23"/>
        <v>0</v>
      </c>
      <c r="L31" s="3">
        <f t="shared" si="24"/>
        <v>0</v>
      </c>
      <c r="M31" s="3">
        <f t="shared" si="25"/>
        <v>0</v>
      </c>
      <c r="N31" s="3">
        <f t="shared" si="26"/>
        <v>0</v>
      </c>
      <c r="O31" s="121">
        <f t="shared" si="27"/>
        <v>0</v>
      </c>
      <c r="P31" s="121">
        <f t="shared" si="28"/>
        <v>0</v>
      </c>
      <c r="Q31" s="21"/>
      <c r="R31" s="21"/>
      <c r="S31" s="29"/>
    </row>
    <row r="32" spans="1:19" x14ac:dyDescent="0.2">
      <c r="A32" s="29">
        <f t="shared" si="29"/>
        <v>18</v>
      </c>
      <c r="B32" s="18">
        <v>44.3</v>
      </c>
      <c r="C32" s="55">
        <v>878</v>
      </c>
      <c r="D32" s="57" t="s">
        <v>350</v>
      </c>
      <c r="E32" s="27">
        <v>1744438</v>
      </c>
      <c r="F32" s="3">
        <f t="shared" si="18"/>
        <v>0</v>
      </c>
      <c r="G32" s="3">
        <f t="shared" si="19"/>
        <v>0</v>
      </c>
      <c r="H32" s="3">
        <f t="shared" si="20"/>
        <v>0</v>
      </c>
      <c r="I32" s="3">
        <f t="shared" si="21"/>
        <v>0</v>
      </c>
      <c r="J32" s="3">
        <f t="shared" si="22"/>
        <v>1543426.4419728387</v>
      </c>
      <c r="K32" s="3">
        <f t="shared" si="23"/>
        <v>201011.55802716137</v>
      </c>
      <c r="L32" s="3">
        <f t="shared" si="24"/>
        <v>0</v>
      </c>
      <c r="M32" s="3">
        <f t="shared" si="25"/>
        <v>0</v>
      </c>
      <c r="N32" s="3">
        <f t="shared" si="26"/>
        <v>0</v>
      </c>
      <c r="O32" s="121">
        <f t="shared" si="27"/>
        <v>0</v>
      </c>
      <c r="P32" s="121">
        <f t="shared" si="28"/>
        <v>0</v>
      </c>
      <c r="Q32" s="21"/>
      <c r="R32" s="21"/>
      <c r="S32" s="29"/>
    </row>
    <row r="33" spans="1:19" x14ac:dyDescent="0.2">
      <c r="A33" s="29">
        <f t="shared" si="29"/>
        <v>19</v>
      </c>
      <c r="B33" s="18">
        <v>44.2</v>
      </c>
      <c r="C33" s="55">
        <v>879</v>
      </c>
      <c r="D33" s="57" t="s">
        <v>351</v>
      </c>
      <c r="E33" s="27">
        <v>198125</v>
      </c>
      <c r="F33" s="3">
        <f t="shared" si="18"/>
        <v>0</v>
      </c>
      <c r="G33" s="3">
        <f t="shared" si="19"/>
        <v>0</v>
      </c>
      <c r="H33" s="3">
        <f t="shared" si="20"/>
        <v>0</v>
      </c>
      <c r="I33" s="3">
        <f t="shared" si="21"/>
        <v>129453.51744812855</v>
      </c>
      <c r="J33" s="3">
        <f t="shared" si="22"/>
        <v>68671.482551871479</v>
      </c>
      <c r="K33" s="3">
        <f t="shared" si="23"/>
        <v>0</v>
      </c>
      <c r="L33" s="3">
        <f t="shared" si="24"/>
        <v>0</v>
      </c>
      <c r="M33" s="3">
        <f t="shared" si="25"/>
        <v>0</v>
      </c>
      <c r="N33" s="3">
        <f t="shared" si="26"/>
        <v>0</v>
      </c>
      <c r="O33" s="121">
        <f t="shared" si="27"/>
        <v>0</v>
      </c>
      <c r="P33" s="121">
        <f t="shared" si="28"/>
        <v>0</v>
      </c>
      <c r="Q33" s="21"/>
      <c r="R33" s="21"/>
      <c r="S33" s="29"/>
    </row>
    <row r="34" spans="1:19" x14ac:dyDescent="0.2">
      <c r="A34" s="30">
        <f t="shared" si="29"/>
        <v>20</v>
      </c>
      <c r="B34" s="38">
        <v>44</v>
      </c>
      <c r="C34" s="59">
        <v>880</v>
      </c>
      <c r="D34" s="58" t="s">
        <v>65</v>
      </c>
      <c r="E34" s="9">
        <v>207789</v>
      </c>
      <c r="F34" s="8">
        <f t="shared" si="18"/>
        <v>0</v>
      </c>
      <c r="G34" s="8">
        <f t="shared" si="19"/>
        <v>24262.841099951842</v>
      </c>
      <c r="H34" s="8">
        <f t="shared" si="20"/>
        <v>76933.077521402622</v>
      </c>
      <c r="I34" s="8">
        <f t="shared" si="21"/>
        <v>66523.815320288442</v>
      </c>
      <c r="J34" s="8">
        <f t="shared" si="22"/>
        <v>35289.029708146794</v>
      </c>
      <c r="K34" s="8">
        <f t="shared" si="23"/>
        <v>4595.9448730412541</v>
      </c>
      <c r="L34" s="8">
        <f t="shared" si="24"/>
        <v>184.29147716901579</v>
      </c>
      <c r="M34" s="8">
        <f t="shared" si="25"/>
        <v>0</v>
      </c>
      <c r="N34" s="8">
        <f t="shared" si="26"/>
        <v>0</v>
      </c>
      <c r="O34" s="120">
        <f t="shared" si="27"/>
        <v>0</v>
      </c>
      <c r="P34" s="120">
        <f t="shared" si="28"/>
        <v>0</v>
      </c>
      <c r="Q34" s="21"/>
      <c r="R34" s="21"/>
      <c r="S34" s="29"/>
    </row>
    <row r="35" spans="1:19" x14ac:dyDescent="0.2">
      <c r="A35" s="29">
        <f t="shared" si="29"/>
        <v>21</v>
      </c>
      <c r="B35" s="18"/>
      <c r="C35" s="55"/>
      <c r="D35" s="57" t="s">
        <v>244</v>
      </c>
      <c r="E35" s="27">
        <f t="shared" ref="E35:P35" si="30">SUM(E27:E34)</f>
        <v>4927806</v>
      </c>
      <c r="F35" s="3">
        <f t="shared" si="30"/>
        <v>0</v>
      </c>
      <c r="G35" s="3">
        <f t="shared" si="30"/>
        <v>407211.77552245389</v>
      </c>
      <c r="H35" s="3">
        <f t="shared" si="30"/>
        <v>1291194.834308136</v>
      </c>
      <c r="I35" s="3">
        <f t="shared" si="30"/>
        <v>1227652.9629882786</v>
      </c>
      <c r="J35" s="3">
        <f t="shared" si="30"/>
        <v>1779769.156085189</v>
      </c>
      <c r="K35" s="3">
        <f t="shared" si="30"/>
        <v>221516.29834153785</v>
      </c>
      <c r="L35" s="3">
        <f t="shared" si="30"/>
        <v>460.97275440493377</v>
      </c>
      <c r="M35" s="3">
        <f t="shared" si="30"/>
        <v>0</v>
      </c>
      <c r="N35" s="3">
        <f t="shared" si="30"/>
        <v>0</v>
      </c>
      <c r="O35" s="3">
        <f t="shared" si="30"/>
        <v>0</v>
      </c>
      <c r="P35" s="3">
        <f t="shared" si="30"/>
        <v>0</v>
      </c>
      <c r="Q35" s="21"/>
      <c r="R35" s="21"/>
      <c r="S35" s="29"/>
    </row>
    <row r="36" spans="1:19" x14ac:dyDescent="0.2">
      <c r="A36" s="29"/>
      <c r="B36" s="18"/>
      <c r="C36" s="55"/>
      <c r="D36" s="57"/>
      <c r="E36" s="27"/>
      <c r="F36" s="3"/>
      <c r="G36" s="3"/>
      <c r="H36" s="3"/>
      <c r="I36" s="3"/>
      <c r="J36" s="3"/>
      <c r="K36" s="3"/>
      <c r="L36" s="3"/>
      <c r="M36" s="3"/>
      <c r="N36" s="3"/>
      <c r="O36" s="3"/>
      <c r="P36" s="3"/>
      <c r="Q36" s="21"/>
      <c r="R36" s="21"/>
      <c r="S36" s="29"/>
    </row>
    <row r="37" spans="1:19" x14ac:dyDescent="0.2">
      <c r="A37" s="29">
        <f>+A35+1</f>
        <v>22</v>
      </c>
      <c r="B37" s="18">
        <v>59</v>
      </c>
      <c r="C37" s="91" t="s">
        <v>398</v>
      </c>
      <c r="D37" s="57" t="s">
        <v>105</v>
      </c>
      <c r="E37" s="27">
        <v>2442</v>
      </c>
      <c r="F37" s="3">
        <f t="shared" ref="F37:F42" si="31">INDEX(AlocTable,MATCH($B37,AlocList),3)*$E37</f>
        <v>0</v>
      </c>
      <c r="G37" s="3">
        <f t="shared" ref="G37:G42" si="32">INDEX(AlocTable,MATCH($B37,AlocList),4)*$E37</f>
        <v>298.69740621736395</v>
      </c>
      <c r="H37" s="3">
        <f t="shared" ref="H37:H42" si="33">INDEX(AlocTable,MATCH($B37,AlocList),5)*$E37</f>
        <v>947.11541048702486</v>
      </c>
      <c r="I37" s="3">
        <f t="shared" ref="I37:I42" si="34">INDEX(AlocTable,MATCH($B37,AlocList),6)*$E37</f>
        <v>828.59121462873691</v>
      </c>
      <c r="J37" s="3">
        <f t="shared" ref="J37:J42" si="35">INDEX(AlocTable,MATCH($B37,AlocList),7)*$E37</f>
        <v>328.2417869900554</v>
      </c>
      <c r="K37" s="3">
        <f t="shared" ref="K37:K42" si="36">INDEX(AlocTable,MATCH($B37,AlocList),8)*$E37</f>
        <v>38.852753160614284</v>
      </c>
      <c r="L37" s="3">
        <f t="shared" ref="L37:L42" si="37">INDEX(AlocTable,MATCH($B37,AlocList),9)*$E37</f>
        <v>0.50142851620467555</v>
      </c>
      <c r="M37" s="3">
        <f t="shared" ref="M37:M42" si="38">INDEX(AlocTable,MATCH($B37,AlocList),10)*$E37</f>
        <v>0</v>
      </c>
      <c r="N37" s="3">
        <f t="shared" ref="N37:N42" si="39">INDEX(AlocTable,MATCH($B37,AlocList),11)*$E37</f>
        <v>0</v>
      </c>
      <c r="O37" s="121">
        <f t="shared" ref="O37:O42" si="40">INDEX(AlocTable,MATCH($B37,AlocList),12)*$E37</f>
        <v>0</v>
      </c>
      <c r="P37" s="121">
        <f t="shared" ref="P37:P42" si="41">INDEX(AlocTable,MATCH($B37,AlocList),13)*$E37</f>
        <v>0</v>
      </c>
      <c r="Q37" s="21"/>
      <c r="R37" s="21"/>
      <c r="S37" s="29"/>
    </row>
    <row r="38" spans="1:19" x14ac:dyDescent="0.2">
      <c r="A38" s="29">
        <f>+A37+1</f>
        <v>23</v>
      </c>
      <c r="B38" s="18">
        <v>1.2</v>
      </c>
      <c r="C38" s="91" t="s">
        <v>399</v>
      </c>
      <c r="D38" s="57" t="s">
        <v>303</v>
      </c>
      <c r="E38" s="27">
        <v>83568</v>
      </c>
      <c r="F38" s="3">
        <f t="shared" si="31"/>
        <v>0</v>
      </c>
      <c r="G38" s="3">
        <f t="shared" si="32"/>
        <v>20036.352578876733</v>
      </c>
      <c r="H38" s="3">
        <f t="shared" si="33"/>
        <v>63531.647421123263</v>
      </c>
      <c r="I38" s="3">
        <f t="shared" si="34"/>
        <v>0</v>
      </c>
      <c r="J38" s="3">
        <f t="shared" si="35"/>
        <v>0</v>
      </c>
      <c r="K38" s="3">
        <f t="shared" si="36"/>
        <v>0</v>
      </c>
      <c r="L38" s="3">
        <f t="shared" si="37"/>
        <v>0</v>
      </c>
      <c r="M38" s="3">
        <f t="shared" si="38"/>
        <v>0</v>
      </c>
      <c r="N38" s="3">
        <f t="shared" si="39"/>
        <v>0</v>
      </c>
      <c r="O38" s="121">
        <f t="shared" si="40"/>
        <v>0</v>
      </c>
      <c r="P38" s="121">
        <f t="shared" si="41"/>
        <v>0</v>
      </c>
      <c r="Q38" s="21"/>
      <c r="R38" s="21"/>
      <c r="S38" s="29"/>
    </row>
    <row r="39" spans="1:19" x14ac:dyDescent="0.2">
      <c r="A39" s="29">
        <f t="shared" ref="A39:A43" si="42">+A38+1</f>
        <v>24</v>
      </c>
      <c r="B39" s="18">
        <v>1.2</v>
      </c>
      <c r="C39" s="91" t="s">
        <v>400</v>
      </c>
      <c r="D39" s="57" t="s">
        <v>347</v>
      </c>
      <c r="E39" s="27">
        <v>5148</v>
      </c>
      <c r="F39" s="3">
        <f t="shared" si="31"/>
        <v>0</v>
      </c>
      <c r="G39" s="3">
        <f t="shared" si="32"/>
        <v>1234.2899563954793</v>
      </c>
      <c r="H39" s="3">
        <f t="shared" si="33"/>
        <v>3913.7100436045207</v>
      </c>
      <c r="I39" s="3">
        <f t="shared" si="34"/>
        <v>0</v>
      </c>
      <c r="J39" s="3">
        <f t="shared" si="35"/>
        <v>0</v>
      </c>
      <c r="K39" s="3">
        <f t="shared" si="36"/>
        <v>0</v>
      </c>
      <c r="L39" s="3">
        <f t="shared" si="37"/>
        <v>0</v>
      </c>
      <c r="M39" s="3">
        <f t="shared" si="38"/>
        <v>0</v>
      </c>
      <c r="N39" s="3">
        <f t="shared" si="39"/>
        <v>0</v>
      </c>
      <c r="O39" s="121">
        <f t="shared" si="40"/>
        <v>0</v>
      </c>
      <c r="P39" s="121">
        <f t="shared" si="41"/>
        <v>0</v>
      </c>
      <c r="Q39" s="21"/>
      <c r="R39" s="21"/>
      <c r="S39" s="29"/>
    </row>
    <row r="40" spans="1:19" x14ac:dyDescent="0.2">
      <c r="A40" s="29">
        <f t="shared" si="42"/>
        <v>25</v>
      </c>
      <c r="B40" s="18">
        <v>1.2</v>
      </c>
      <c r="C40" s="91" t="s">
        <v>401</v>
      </c>
      <c r="D40" s="57" t="s">
        <v>349</v>
      </c>
      <c r="E40" s="27">
        <v>0</v>
      </c>
      <c r="F40" s="3">
        <f t="shared" si="31"/>
        <v>0</v>
      </c>
      <c r="G40" s="3">
        <f t="shared" si="32"/>
        <v>0</v>
      </c>
      <c r="H40" s="3">
        <f t="shared" si="33"/>
        <v>0</v>
      </c>
      <c r="I40" s="3">
        <f t="shared" si="34"/>
        <v>0</v>
      </c>
      <c r="J40" s="3">
        <f t="shared" si="35"/>
        <v>0</v>
      </c>
      <c r="K40" s="3">
        <f t="shared" si="36"/>
        <v>0</v>
      </c>
      <c r="L40" s="3">
        <f t="shared" si="37"/>
        <v>0</v>
      </c>
      <c r="M40" s="3">
        <f t="shared" si="38"/>
        <v>0</v>
      </c>
      <c r="N40" s="3">
        <f t="shared" si="39"/>
        <v>0</v>
      </c>
      <c r="O40" s="121">
        <f t="shared" si="40"/>
        <v>0</v>
      </c>
      <c r="P40" s="121">
        <f t="shared" si="41"/>
        <v>0</v>
      </c>
      <c r="Q40" s="21"/>
      <c r="R40" s="21"/>
      <c r="S40" s="29"/>
    </row>
    <row r="41" spans="1:19" x14ac:dyDescent="0.2">
      <c r="A41" s="29">
        <f t="shared" si="42"/>
        <v>26</v>
      </c>
      <c r="B41" s="18">
        <v>1.3</v>
      </c>
      <c r="C41" s="91" t="s">
        <v>402</v>
      </c>
      <c r="D41" s="57" t="s">
        <v>19</v>
      </c>
      <c r="E41" s="27">
        <v>3632</v>
      </c>
      <c r="F41" s="28">
        <f t="shared" si="31"/>
        <v>0</v>
      </c>
      <c r="G41" s="28">
        <f t="shared" si="32"/>
        <v>0</v>
      </c>
      <c r="H41" s="28">
        <f t="shared" si="33"/>
        <v>0</v>
      </c>
      <c r="I41" s="28">
        <f t="shared" si="34"/>
        <v>3632</v>
      </c>
      <c r="J41" s="28">
        <f t="shared" si="35"/>
        <v>0</v>
      </c>
      <c r="K41" s="28">
        <f t="shared" si="36"/>
        <v>0</v>
      </c>
      <c r="L41" s="28">
        <f t="shared" si="37"/>
        <v>0</v>
      </c>
      <c r="M41" s="28">
        <f t="shared" si="38"/>
        <v>0</v>
      </c>
      <c r="N41" s="28">
        <f t="shared" si="39"/>
        <v>0</v>
      </c>
      <c r="O41" s="121">
        <f t="shared" si="40"/>
        <v>0</v>
      </c>
      <c r="P41" s="121">
        <f t="shared" si="41"/>
        <v>0</v>
      </c>
      <c r="Q41" s="21"/>
      <c r="R41" s="21"/>
      <c r="S41" s="29"/>
    </row>
    <row r="42" spans="1:19" x14ac:dyDescent="0.2">
      <c r="A42" s="30">
        <f t="shared" si="42"/>
        <v>27</v>
      </c>
      <c r="B42" s="38">
        <v>44</v>
      </c>
      <c r="C42" s="35">
        <v>893</v>
      </c>
      <c r="D42" s="58" t="s">
        <v>350</v>
      </c>
      <c r="E42" s="9">
        <v>15183</v>
      </c>
      <c r="F42" s="8">
        <f t="shared" si="31"/>
        <v>0</v>
      </c>
      <c r="G42" s="8">
        <f t="shared" si="32"/>
        <v>1772.8691914421304</v>
      </c>
      <c r="H42" s="8">
        <f t="shared" si="33"/>
        <v>5621.4473143787973</v>
      </c>
      <c r="I42" s="8">
        <f t="shared" si="34"/>
        <v>4860.8496504046871</v>
      </c>
      <c r="J42" s="8">
        <f t="shared" si="35"/>
        <v>2578.5452457001711</v>
      </c>
      <c r="K42" s="8">
        <f t="shared" si="36"/>
        <v>335.82254598359566</v>
      </c>
      <c r="L42" s="8">
        <f t="shared" si="37"/>
        <v>13.466052090616763</v>
      </c>
      <c r="M42" s="8">
        <f t="shared" si="38"/>
        <v>0</v>
      </c>
      <c r="N42" s="8">
        <f t="shared" si="39"/>
        <v>0</v>
      </c>
      <c r="O42" s="120">
        <f t="shared" si="40"/>
        <v>0</v>
      </c>
      <c r="P42" s="120">
        <f t="shared" si="41"/>
        <v>0</v>
      </c>
      <c r="Q42" s="21"/>
      <c r="R42" s="21"/>
      <c r="S42" s="29"/>
    </row>
    <row r="43" spans="1:19" x14ac:dyDescent="0.2">
      <c r="A43" s="29">
        <f t="shared" si="42"/>
        <v>28</v>
      </c>
      <c r="B43" s="18"/>
      <c r="C43" s="55"/>
      <c r="D43" s="57" t="s">
        <v>243</v>
      </c>
      <c r="E43" s="27">
        <f t="shared" ref="E43:P43" si="43">SUM(E37:E42)</f>
        <v>109973</v>
      </c>
      <c r="F43" s="16">
        <f t="shared" si="43"/>
        <v>0</v>
      </c>
      <c r="G43" s="16">
        <f t="shared" si="43"/>
        <v>23342.209132931705</v>
      </c>
      <c r="H43" s="16">
        <f t="shared" si="43"/>
        <v>74013.920189593598</v>
      </c>
      <c r="I43" s="16">
        <f t="shared" si="43"/>
        <v>9321.4408650334244</v>
      </c>
      <c r="J43" s="16">
        <f t="shared" si="43"/>
        <v>2906.7870326902266</v>
      </c>
      <c r="K43" s="16">
        <f t="shared" si="43"/>
        <v>374.67529914420993</v>
      </c>
      <c r="L43" s="16">
        <f t="shared" si="43"/>
        <v>13.967480606821439</v>
      </c>
      <c r="M43" s="16">
        <f t="shared" si="43"/>
        <v>0</v>
      </c>
      <c r="N43" s="16">
        <f t="shared" si="43"/>
        <v>0</v>
      </c>
      <c r="O43" s="16">
        <f t="shared" si="43"/>
        <v>0</v>
      </c>
      <c r="P43" s="16">
        <f t="shared" si="43"/>
        <v>0</v>
      </c>
      <c r="Q43" s="21"/>
      <c r="R43" s="21"/>
      <c r="S43" s="29"/>
    </row>
    <row r="44" spans="1:19" x14ac:dyDescent="0.2">
      <c r="A44" s="29"/>
      <c r="B44" s="18"/>
      <c r="C44" s="55"/>
      <c r="D44" s="57"/>
      <c r="E44" s="27"/>
      <c r="F44" s="16"/>
      <c r="G44" s="16"/>
      <c r="H44" s="16"/>
      <c r="I44" s="16"/>
      <c r="J44" s="16"/>
      <c r="K44" s="16"/>
      <c r="L44" s="16"/>
      <c r="M44" s="16"/>
      <c r="N44" s="16"/>
      <c r="O44" s="16"/>
      <c r="P44" s="16"/>
      <c r="Q44" s="21"/>
      <c r="R44" s="21"/>
      <c r="S44" s="29"/>
    </row>
    <row r="45" spans="1:19" x14ac:dyDescent="0.2">
      <c r="A45" s="29"/>
      <c r="B45" s="18"/>
      <c r="C45" s="55"/>
      <c r="D45" s="54" t="s">
        <v>242</v>
      </c>
      <c r="E45" s="27"/>
      <c r="F45" s="3"/>
      <c r="G45" s="3"/>
      <c r="H45" s="3"/>
      <c r="I45" s="3"/>
      <c r="J45" s="3"/>
      <c r="K45" s="3"/>
      <c r="L45" s="3"/>
      <c r="M45" s="3"/>
      <c r="N45" s="3"/>
      <c r="O45" s="3"/>
      <c r="P45" s="3"/>
      <c r="Q45" s="21"/>
      <c r="R45" s="21"/>
    </row>
    <row r="46" spans="1:19" x14ac:dyDescent="0.2">
      <c r="A46" s="29">
        <f>+A43+1</f>
        <v>29</v>
      </c>
      <c r="B46" s="18">
        <v>59.1</v>
      </c>
      <c r="C46" s="55" t="s">
        <v>241</v>
      </c>
      <c r="D46" s="57" t="s">
        <v>103</v>
      </c>
      <c r="E46" s="27">
        <v>32335</v>
      </c>
      <c r="F46" s="3">
        <f>INDEX(AlocTable,MATCH($B46,AlocList),3)*$E46</f>
        <v>0</v>
      </c>
      <c r="G46" s="3">
        <f>INDEX(AlocTable,MATCH($B46,AlocList),4)*$E46</f>
        <v>0</v>
      </c>
      <c r="H46" s="3">
        <f>INDEX(AlocTable,MATCH($B46,AlocList),5)*$E46</f>
        <v>0</v>
      </c>
      <c r="I46" s="3">
        <f>INDEX(AlocTable,MATCH($B46,AlocList),6)*$E46</f>
        <v>0</v>
      </c>
      <c r="J46" s="3">
        <f>INDEX(AlocTable,MATCH($B46,AlocList),7)*$E46</f>
        <v>5169.1379383747171</v>
      </c>
      <c r="K46" s="3">
        <f>INDEX(AlocTable,MATCH($B46,AlocList),8)*$E46</f>
        <v>0</v>
      </c>
      <c r="L46" s="3">
        <f>INDEX(AlocTable,MATCH($B46,AlocList),9)*$E46</f>
        <v>0</v>
      </c>
      <c r="M46" s="3">
        <f t="shared" ref="M46:M50" si="44">INDEX(AlocTable,MATCH($B46,AlocList),10)*$E46</f>
        <v>25935.846072808927</v>
      </c>
      <c r="N46" s="3">
        <f>INDEX(AlocTable,MATCH($B46,AlocList),11)*$E46</f>
        <v>483.07644560244461</v>
      </c>
      <c r="O46" s="121">
        <f>INDEX(AlocTable,MATCH($B46,AlocList),12)*$E46</f>
        <v>746.93954321391197</v>
      </c>
      <c r="P46" s="121">
        <f>INDEX(AlocTable,MATCH($B46,AlocList),13)*$E46</f>
        <v>0</v>
      </c>
      <c r="Q46" s="21"/>
      <c r="R46" s="21"/>
    </row>
    <row r="47" spans="1:19" x14ac:dyDescent="0.2">
      <c r="A47" s="29">
        <f>+A46+1</f>
        <v>30</v>
      </c>
      <c r="B47" s="18">
        <v>1.4</v>
      </c>
      <c r="C47" s="55" t="s">
        <v>240</v>
      </c>
      <c r="D47" s="57" t="s">
        <v>102</v>
      </c>
      <c r="E47" s="27">
        <v>262597</v>
      </c>
      <c r="F47" s="3">
        <f>INDEX(AlocTable,MATCH($B47,AlocList),3)*$E47</f>
        <v>0</v>
      </c>
      <c r="G47" s="3">
        <f>INDEX(AlocTable,MATCH($B47,AlocList),4)*$E47</f>
        <v>0</v>
      </c>
      <c r="H47" s="3">
        <f>INDEX(AlocTable,MATCH($B47,AlocList),5)*$E47</f>
        <v>0</v>
      </c>
      <c r="I47" s="3">
        <f>INDEX(AlocTable,MATCH($B47,AlocList),6)*$E47</f>
        <v>0</v>
      </c>
      <c r="J47" s="3">
        <f>INDEX(AlocTable,MATCH($B47,AlocList),7)*$E47</f>
        <v>262597</v>
      </c>
      <c r="K47" s="3">
        <f>INDEX(AlocTable,MATCH($B47,AlocList),8)*$E47</f>
        <v>0</v>
      </c>
      <c r="L47" s="3">
        <f>INDEX(AlocTable,MATCH($B47,AlocList),9)*$E47</f>
        <v>0</v>
      </c>
      <c r="M47" s="3">
        <f t="shared" si="44"/>
        <v>0</v>
      </c>
      <c r="N47" s="3">
        <f>INDEX(AlocTable,MATCH($B47,AlocList),11)*$E47</f>
        <v>0</v>
      </c>
      <c r="O47" s="121">
        <f>INDEX(AlocTable,MATCH($B47,AlocList),12)*$E47</f>
        <v>0</v>
      </c>
      <c r="P47" s="121">
        <f>INDEX(AlocTable,MATCH($B47,AlocList),13)*$E47</f>
        <v>0</v>
      </c>
      <c r="Q47" s="21"/>
      <c r="R47" s="21"/>
    </row>
    <row r="48" spans="1:19" x14ac:dyDescent="0.2">
      <c r="A48" s="29">
        <f t="shared" ref="A48:A51" si="45">+A47+1</f>
        <v>31</v>
      </c>
      <c r="B48" s="18">
        <v>1.7</v>
      </c>
      <c r="C48" s="55" t="s">
        <v>239</v>
      </c>
      <c r="D48" s="57" t="s">
        <v>101</v>
      </c>
      <c r="E48" s="27">
        <v>283881</v>
      </c>
      <c r="F48" s="3">
        <f>INDEX(AlocTable,MATCH($B48,AlocList),3)*$E48</f>
        <v>0</v>
      </c>
      <c r="G48" s="3">
        <f>INDEX(AlocTable,MATCH($B48,AlocList),4)*$E48</f>
        <v>0</v>
      </c>
      <c r="H48" s="3">
        <f>INDEX(AlocTable,MATCH($B48,AlocList),5)*$E48</f>
        <v>0</v>
      </c>
      <c r="I48" s="3">
        <f>INDEX(AlocTable,MATCH($B48,AlocList),6)*$E48</f>
        <v>0</v>
      </c>
      <c r="J48" s="3">
        <f>INDEX(AlocTable,MATCH($B48,AlocList),7)*$E48</f>
        <v>0</v>
      </c>
      <c r="K48" s="3">
        <f>INDEX(AlocTable,MATCH($B48,AlocList),8)*$E48</f>
        <v>0</v>
      </c>
      <c r="L48" s="3">
        <f>INDEX(AlocTable,MATCH($B48,AlocList),9)*$E48</f>
        <v>0</v>
      </c>
      <c r="M48" s="3">
        <f t="shared" si="44"/>
        <v>283881</v>
      </c>
      <c r="N48" s="3">
        <f>INDEX(AlocTable,MATCH($B48,AlocList),11)*$E48</f>
        <v>0</v>
      </c>
      <c r="O48" s="121">
        <f>INDEX(AlocTable,MATCH($B48,AlocList),12)*$E48</f>
        <v>0</v>
      </c>
      <c r="P48" s="121">
        <f>INDEX(AlocTable,MATCH($B48,AlocList),13)*$E48</f>
        <v>0</v>
      </c>
      <c r="Q48" s="21"/>
      <c r="R48" s="21"/>
    </row>
    <row r="49" spans="1:18" x14ac:dyDescent="0.2">
      <c r="A49" s="29">
        <f t="shared" si="45"/>
        <v>32</v>
      </c>
      <c r="B49" s="18">
        <v>1.7</v>
      </c>
      <c r="C49" s="91" t="s">
        <v>238</v>
      </c>
      <c r="D49" s="57" t="s">
        <v>92</v>
      </c>
      <c r="E49" s="27">
        <v>2579</v>
      </c>
      <c r="F49" s="3">
        <f>INDEX(AlocTable,MATCH($B49,AlocList),3)*$E49</f>
        <v>0</v>
      </c>
      <c r="G49" s="3">
        <f>INDEX(AlocTable,MATCH($B49,AlocList),4)*$E49</f>
        <v>0</v>
      </c>
      <c r="H49" s="3">
        <f>INDEX(AlocTable,MATCH($B49,AlocList),5)*$E49</f>
        <v>0</v>
      </c>
      <c r="I49" s="3">
        <f>INDEX(AlocTable,MATCH($B49,AlocList),6)*$E49</f>
        <v>0</v>
      </c>
      <c r="J49" s="3">
        <f>INDEX(AlocTable,MATCH($B49,AlocList),7)*$E49</f>
        <v>0</v>
      </c>
      <c r="K49" s="3">
        <f>INDEX(AlocTable,MATCH($B49,AlocList),8)*$E49</f>
        <v>0</v>
      </c>
      <c r="L49" s="3">
        <f>INDEX(AlocTable,MATCH($B49,AlocList),9)*$E49</f>
        <v>0</v>
      </c>
      <c r="M49" s="3">
        <f t="shared" si="44"/>
        <v>2579</v>
      </c>
      <c r="N49" s="3">
        <f>INDEX(AlocTable,MATCH($B49,AlocList),11)*$E49</f>
        <v>0</v>
      </c>
      <c r="O49" s="121">
        <f>INDEX(AlocTable,MATCH($B49,AlocList),12)*$E49</f>
        <v>0</v>
      </c>
      <c r="P49" s="121">
        <f>INDEX(AlocTable,MATCH($B49,AlocList),13)*$E49</f>
        <v>0</v>
      </c>
      <c r="Q49" s="21"/>
      <c r="R49" s="21"/>
    </row>
    <row r="50" spans="1:18" x14ac:dyDescent="0.2">
      <c r="A50" s="30">
        <f t="shared" si="45"/>
        <v>33</v>
      </c>
      <c r="B50" s="38">
        <v>1.8</v>
      </c>
      <c r="C50" s="92" t="s">
        <v>403</v>
      </c>
      <c r="D50" s="58" t="s">
        <v>352</v>
      </c>
      <c r="E50" s="9">
        <v>0</v>
      </c>
      <c r="F50" s="9">
        <f>INDEX(AlocTable,MATCH($B50,AlocList),3)*$E50</f>
        <v>0</v>
      </c>
      <c r="G50" s="9">
        <f>INDEX(AlocTable,MATCH($B50,AlocList),4)*$E50</f>
        <v>0</v>
      </c>
      <c r="H50" s="9">
        <f>INDEX(AlocTable,MATCH($B50,AlocList),5)*$E50</f>
        <v>0</v>
      </c>
      <c r="I50" s="9">
        <f>INDEX(AlocTable,MATCH($B50,AlocList),6)*$E50</f>
        <v>0</v>
      </c>
      <c r="J50" s="9">
        <f>INDEX(AlocTable,MATCH($B50,AlocList),7)*$E50</f>
        <v>0</v>
      </c>
      <c r="K50" s="9">
        <f>INDEX(AlocTable,MATCH($B50,AlocList),8)*$E50</f>
        <v>0</v>
      </c>
      <c r="L50" s="9">
        <f>INDEX(AlocTable,MATCH($B50,AlocList),9)*$E50</f>
        <v>0</v>
      </c>
      <c r="M50" s="9">
        <f t="shared" si="44"/>
        <v>0</v>
      </c>
      <c r="N50" s="9">
        <f>INDEX(AlocTable,MATCH($B50,AlocList),11)*$E50</f>
        <v>0</v>
      </c>
      <c r="O50" s="120">
        <f>INDEX(AlocTable,MATCH($B50,AlocList),12)*$E50</f>
        <v>0</v>
      </c>
      <c r="P50" s="120">
        <f>INDEX(AlocTable,MATCH($B50,AlocList),13)*$E50</f>
        <v>0</v>
      </c>
      <c r="Q50" s="21"/>
      <c r="R50" s="21"/>
    </row>
    <row r="51" spans="1:18" x14ac:dyDescent="0.2">
      <c r="A51" s="29">
        <f t="shared" si="45"/>
        <v>34</v>
      </c>
      <c r="B51" s="18"/>
      <c r="C51" s="55"/>
      <c r="D51" s="57" t="s">
        <v>237</v>
      </c>
      <c r="E51" s="27">
        <f t="shared" ref="E51:P51" si="46">SUM(E46:E50)</f>
        <v>581392</v>
      </c>
      <c r="F51" s="3">
        <f t="shared" si="46"/>
        <v>0</v>
      </c>
      <c r="G51" s="3">
        <f t="shared" si="46"/>
        <v>0</v>
      </c>
      <c r="H51" s="3">
        <f t="shared" si="46"/>
        <v>0</v>
      </c>
      <c r="I51" s="3">
        <f t="shared" si="46"/>
        <v>0</v>
      </c>
      <c r="J51" s="3">
        <f t="shared" si="46"/>
        <v>267766.13793837471</v>
      </c>
      <c r="K51" s="3">
        <f t="shared" si="46"/>
        <v>0</v>
      </c>
      <c r="L51" s="3">
        <f t="shared" si="46"/>
        <v>0</v>
      </c>
      <c r="M51" s="3">
        <f t="shared" si="46"/>
        <v>312395.84607280896</v>
      </c>
      <c r="N51" s="3">
        <f t="shared" ref="N51:O51" si="47">SUM(N46:N50)</f>
        <v>483.07644560244461</v>
      </c>
      <c r="O51" s="3">
        <f t="shared" si="47"/>
        <v>746.93954321391197</v>
      </c>
      <c r="P51" s="3">
        <f t="shared" si="46"/>
        <v>0</v>
      </c>
      <c r="Q51" s="21"/>
      <c r="R51" s="21"/>
    </row>
    <row r="52" spans="1:18" x14ac:dyDescent="0.2">
      <c r="A52" s="29"/>
      <c r="B52" s="18"/>
      <c r="C52" s="55"/>
      <c r="D52" s="57"/>
      <c r="E52" s="27"/>
      <c r="F52" s="3"/>
      <c r="G52" s="3"/>
      <c r="H52" s="3"/>
      <c r="I52" s="3"/>
      <c r="J52" s="3"/>
      <c r="K52" s="3"/>
      <c r="L52" s="3"/>
      <c r="M52" s="3"/>
      <c r="N52" s="3"/>
      <c r="O52" s="3"/>
      <c r="P52" s="3"/>
      <c r="Q52" s="21"/>
      <c r="R52" s="21"/>
    </row>
    <row r="53" spans="1:18" x14ac:dyDescent="0.2">
      <c r="A53" s="29"/>
      <c r="B53" s="18"/>
      <c r="C53" s="55"/>
      <c r="D53" s="54" t="s">
        <v>236</v>
      </c>
      <c r="E53" s="27"/>
      <c r="F53" s="3"/>
      <c r="G53" s="3"/>
      <c r="H53" s="3"/>
      <c r="I53" s="3"/>
      <c r="J53" s="3"/>
      <c r="K53" s="3"/>
      <c r="L53" s="3"/>
      <c r="M53" s="3"/>
      <c r="N53" s="3"/>
      <c r="O53" s="3"/>
      <c r="P53" s="3"/>
      <c r="Q53" s="21"/>
      <c r="R53" s="21"/>
    </row>
    <row r="54" spans="1:18" x14ac:dyDescent="0.2">
      <c r="A54" s="29">
        <f>+A51+1</f>
        <v>35</v>
      </c>
      <c r="B54" s="18">
        <v>1.9</v>
      </c>
      <c r="C54" s="55" t="s">
        <v>235</v>
      </c>
      <c r="D54" s="57" t="s">
        <v>234</v>
      </c>
      <c r="E54" s="27">
        <v>0</v>
      </c>
      <c r="F54" s="108">
        <f>INDEX(AlocTable,MATCH($B54,AlocList),3)*$E54</f>
        <v>0</v>
      </c>
      <c r="G54" s="108">
        <f>INDEX(AlocTable,MATCH($B54,AlocList),4)*$E54</f>
        <v>0</v>
      </c>
      <c r="H54" s="108">
        <f>INDEX(AlocTable,MATCH($B54,AlocList),5)*$E54</f>
        <v>0</v>
      </c>
      <c r="I54" s="108">
        <f>INDEX(AlocTable,MATCH($B54,AlocList),6)*$E54</f>
        <v>0</v>
      </c>
      <c r="J54" s="108">
        <f>INDEX(AlocTable,MATCH($B54,AlocList),7)*$E54</f>
        <v>0</v>
      </c>
      <c r="K54" s="108">
        <f>INDEX(AlocTable,MATCH($B54,AlocList),8)*$E54</f>
        <v>0</v>
      </c>
      <c r="L54" s="108">
        <f>INDEX(AlocTable,MATCH($B54,AlocList),9)*$E54</f>
        <v>0</v>
      </c>
      <c r="M54" s="108">
        <f t="shared" ref="M54:M56" si="48">INDEX(AlocTable,MATCH($B54,AlocList),10)*$E54</f>
        <v>0</v>
      </c>
      <c r="N54" s="108">
        <f>INDEX(AlocTable,MATCH($B54,AlocList),11)*$E54</f>
        <v>0</v>
      </c>
      <c r="O54" s="121">
        <f>INDEX(AlocTable,MATCH($B54,AlocList),12)*$E54</f>
        <v>0</v>
      </c>
      <c r="P54" s="121">
        <f>INDEX(AlocTable,MATCH($B54,AlocList),13)*$E54</f>
        <v>0</v>
      </c>
      <c r="Q54" s="21"/>
      <c r="R54" s="21"/>
    </row>
    <row r="55" spans="1:18" x14ac:dyDescent="0.2">
      <c r="A55" s="29">
        <f>+A54+1</f>
        <v>36</v>
      </c>
      <c r="B55" s="18">
        <v>1.9</v>
      </c>
      <c r="C55" s="55" t="s">
        <v>233</v>
      </c>
      <c r="D55" s="57" t="s">
        <v>232</v>
      </c>
      <c r="E55" s="27">
        <v>0</v>
      </c>
      <c r="F55" s="34">
        <f>INDEX(AlocTable,MATCH($B55,AlocList),3)*$E55</f>
        <v>0</v>
      </c>
      <c r="G55" s="34">
        <f>INDEX(AlocTable,MATCH($B55,AlocList),4)*$E55</f>
        <v>0</v>
      </c>
      <c r="H55" s="34">
        <f>INDEX(AlocTable,MATCH($B55,AlocList),5)*$E55</f>
        <v>0</v>
      </c>
      <c r="I55" s="34">
        <f>INDEX(AlocTable,MATCH($B55,AlocList),6)*$E55</f>
        <v>0</v>
      </c>
      <c r="J55" s="34">
        <f>INDEX(AlocTable,MATCH($B55,AlocList),7)*$E55</f>
        <v>0</v>
      </c>
      <c r="K55" s="34">
        <f>INDEX(AlocTable,MATCH($B55,AlocList),8)*$E55</f>
        <v>0</v>
      </c>
      <c r="L55" s="34">
        <f>INDEX(AlocTable,MATCH($B55,AlocList),9)*$E55</f>
        <v>0</v>
      </c>
      <c r="M55" s="34">
        <f t="shared" si="48"/>
        <v>0</v>
      </c>
      <c r="N55" s="34">
        <f>INDEX(AlocTable,MATCH($B55,AlocList),11)*$E55</f>
        <v>0</v>
      </c>
      <c r="O55" s="108">
        <f>INDEX(AlocTable,MATCH($B55,AlocList),12)*$E55</f>
        <v>0</v>
      </c>
      <c r="P55" s="108">
        <f>INDEX(AlocTable,MATCH($B55,AlocList),13)*$E55</f>
        <v>0</v>
      </c>
      <c r="Q55" s="21"/>
      <c r="R55" s="21"/>
    </row>
    <row r="56" spans="1:18" x14ac:dyDescent="0.2">
      <c r="A56" s="30">
        <f>+A55+1</f>
        <v>37</v>
      </c>
      <c r="B56" s="38">
        <v>1.9</v>
      </c>
      <c r="C56" s="59" t="s">
        <v>231</v>
      </c>
      <c r="D56" s="58" t="s">
        <v>230</v>
      </c>
      <c r="E56" s="9">
        <v>0</v>
      </c>
      <c r="F56" s="9">
        <f>INDEX(AlocTable,MATCH($B56,AlocList),3)*$E56</f>
        <v>0</v>
      </c>
      <c r="G56" s="9">
        <f>INDEX(AlocTable,MATCH($B56,AlocList),4)*$E56</f>
        <v>0</v>
      </c>
      <c r="H56" s="9">
        <f>INDEX(AlocTable,MATCH($B56,AlocList),5)*$E56</f>
        <v>0</v>
      </c>
      <c r="I56" s="9">
        <f>INDEX(AlocTable,MATCH($B56,AlocList),6)*$E56</f>
        <v>0</v>
      </c>
      <c r="J56" s="9">
        <f>INDEX(AlocTable,MATCH($B56,AlocList),7)*$E56</f>
        <v>0</v>
      </c>
      <c r="K56" s="9">
        <f>INDEX(AlocTable,MATCH($B56,AlocList),8)*$E56</f>
        <v>0</v>
      </c>
      <c r="L56" s="9">
        <f>INDEX(AlocTable,MATCH($B56,AlocList),9)*$E56</f>
        <v>0</v>
      </c>
      <c r="M56" s="9">
        <f t="shared" si="48"/>
        <v>0</v>
      </c>
      <c r="N56" s="9">
        <f>INDEX(AlocTable,MATCH($B56,AlocList),11)*$E56</f>
        <v>0</v>
      </c>
      <c r="O56" s="120">
        <f>INDEX(AlocTable,MATCH($B56,AlocList),12)*$E56</f>
        <v>0</v>
      </c>
      <c r="P56" s="120">
        <f>INDEX(AlocTable,MATCH($B56,AlocList),13)*$E56</f>
        <v>0</v>
      </c>
      <c r="Q56" s="21"/>
      <c r="R56" s="21"/>
    </row>
    <row r="57" spans="1:18" x14ac:dyDescent="0.2">
      <c r="A57" s="29">
        <f>+A56+1</f>
        <v>38</v>
      </c>
      <c r="B57" s="18"/>
      <c r="C57" s="55"/>
      <c r="D57" s="57" t="s">
        <v>229</v>
      </c>
      <c r="E57" s="27">
        <f t="shared" ref="E57:M57" si="49">SUM(E54:E56)</f>
        <v>0</v>
      </c>
      <c r="F57" s="3">
        <f t="shared" si="49"/>
        <v>0</v>
      </c>
      <c r="G57" s="3">
        <f t="shared" si="49"/>
        <v>0</v>
      </c>
      <c r="H57" s="3">
        <f t="shared" si="49"/>
        <v>0</v>
      </c>
      <c r="I57" s="3">
        <f t="shared" si="49"/>
        <v>0</v>
      </c>
      <c r="J57" s="3">
        <f t="shared" si="49"/>
        <v>0</v>
      </c>
      <c r="K57" s="3">
        <f t="shared" si="49"/>
        <v>0</v>
      </c>
      <c r="L57" s="3">
        <f t="shared" si="49"/>
        <v>0</v>
      </c>
      <c r="M57" s="3">
        <f t="shared" si="49"/>
        <v>0</v>
      </c>
      <c r="N57" s="3">
        <f t="shared" ref="N57:P57" si="50">SUM(N54:N56)</f>
        <v>0</v>
      </c>
      <c r="O57" s="3">
        <f t="shared" si="50"/>
        <v>0</v>
      </c>
      <c r="P57" s="3">
        <f t="shared" si="50"/>
        <v>0</v>
      </c>
      <c r="Q57" s="21"/>
      <c r="R57" s="21"/>
    </row>
    <row r="58" spans="1:18" x14ac:dyDescent="0.2">
      <c r="A58" s="29"/>
      <c r="B58" s="18"/>
      <c r="C58" s="55"/>
      <c r="D58" s="57"/>
      <c r="E58" s="27"/>
      <c r="F58" s="3"/>
      <c r="G58" s="3"/>
      <c r="H58" s="3"/>
      <c r="I58" s="3"/>
      <c r="J58" s="3"/>
      <c r="K58" s="3"/>
      <c r="L58" s="3"/>
      <c r="M58" s="3"/>
      <c r="N58" s="3"/>
      <c r="O58" s="3"/>
      <c r="P58" s="3"/>
      <c r="Q58" s="21"/>
      <c r="R58" s="21"/>
    </row>
    <row r="59" spans="1:18" x14ac:dyDescent="0.2">
      <c r="A59" s="29"/>
      <c r="B59" s="18"/>
      <c r="C59" s="55"/>
      <c r="D59" s="54" t="s">
        <v>94</v>
      </c>
      <c r="E59" s="27"/>
      <c r="F59" s="3"/>
      <c r="G59" s="3"/>
      <c r="H59" s="3"/>
      <c r="I59" s="3"/>
      <c r="J59" s="3"/>
      <c r="K59" s="3"/>
      <c r="L59" s="3"/>
      <c r="M59" s="3"/>
      <c r="N59" s="3"/>
      <c r="O59" s="3"/>
      <c r="P59" s="3"/>
      <c r="Q59" s="21"/>
      <c r="R59" s="21"/>
    </row>
    <row r="60" spans="1:18" x14ac:dyDescent="0.2">
      <c r="A60" s="29">
        <f>+A57+1</f>
        <v>39</v>
      </c>
      <c r="B60" s="18">
        <v>1.9</v>
      </c>
      <c r="C60" s="55" t="s">
        <v>228</v>
      </c>
      <c r="D60" s="57" t="s">
        <v>862</v>
      </c>
      <c r="E60" s="27">
        <v>51323</v>
      </c>
      <c r="F60" s="3">
        <f>INDEX(AlocTable,MATCH($B60,AlocList),3)*$E60</f>
        <v>0</v>
      </c>
      <c r="G60" s="3">
        <f>INDEX(AlocTable,MATCH($B60,AlocList),4)*$E60</f>
        <v>0</v>
      </c>
      <c r="H60" s="3">
        <f>INDEX(AlocTable,MATCH($B60,AlocList),5)*$E60</f>
        <v>0</v>
      </c>
      <c r="I60" s="3">
        <f>INDEX(AlocTable,MATCH($B60,AlocList),6)*$E60</f>
        <v>0</v>
      </c>
      <c r="J60" s="3">
        <f>INDEX(AlocTable,MATCH($B60,AlocList),7)*$E60</f>
        <v>0</v>
      </c>
      <c r="K60" s="3">
        <f>INDEX(AlocTable,MATCH($B60,AlocList),8)*$E60</f>
        <v>0</v>
      </c>
      <c r="L60" s="3">
        <f>INDEX(AlocTable,MATCH($B60,AlocList),9)*$E60</f>
        <v>0</v>
      </c>
      <c r="M60" s="3">
        <f>INDEX(AlocTable,MATCH($B60,AlocList),10)*$E60</f>
        <v>0</v>
      </c>
      <c r="N60" s="3">
        <f>INDEX(AlocTable,MATCH($B60,AlocList),11)*$E60</f>
        <v>0</v>
      </c>
      <c r="O60" s="121">
        <f>INDEX(AlocTable,MATCH($B60,AlocList),12)*$E60</f>
        <v>0</v>
      </c>
      <c r="P60" s="121">
        <f>INDEX(AlocTable,MATCH($B60,AlocList),13)*$E60</f>
        <v>51323</v>
      </c>
      <c r="Q60" s="21"/>
      <c r="R60" s="21"/>
    </row>
    <row r="61" spans="1:18" x14ac:dyDescent="0.2">
      <c r="A61" s="30">
        <f>+A60+1</f>
        <v>40</v>
      </c>
      <c r="B61" s="38">
        <v>1.9</v>
      </c>
      <c r="C61" s="59" t="s">
        <v>227</v>
      </c>
      <c r="D61" s="58" t="s">
        <v>226</v>
      </c>
      <c r="E61" s="9">
        <v>1993</v>
      </c>
      <c r="F61" s="8">
        <f>INDEX(AlocTable,MATCH($B61,AlocList),3)*$E61</f>
        <v>0</v>
      </c>
      <c r="G61" s="8">
        <f>INDEX(AlocTable,MATCH($B61,AlocList),4)*$E61</f>
        <v>0</v>
      </c>
      <c r="H61" s="8">
        <f>INDEX(AlocTable,MATCH($B61,AlocList),5)*$E61</f>
        <v>0</v>
      </c>
      <c r="I61" s="8">
        <f>INDEX(AlocTable,MATCH($B61,AlocList),6)*$E61</f>
        <v>0</v>
      </c>
      <c r="J61" s="8">
        <f>INDEX(AlocTable,MATCH($B61,AlocList),7)*$E61</f>
        <v>0</v>
      </c>
      <c r="K61" s="8">
        <f>INDEX(AlocTable,MATCH($B61,AlocList),8)*$E61</f>
        <v>0</v>
      </c>
      <c r="L61" s="8">
        <f>INDEX(AlocTable,MATCH($B61,AlocList),9)*$E61</f>
        <v>0</v>
      </c>
      <c r="M61" s="8">
        <f>INDEX(AlocTable,MATCH($B61,AlocList),10)*$E61</f>
        <v>0</v>
      </c>
      <c r="N61" s="8">
        <f>INDEX(AlocTable,MATCH($B61,AlocList),11)*$E61</f>
        <v>0</v>
      </c>
      <c r="O61" s="120">
        <f>INDEX(AlocTable,MATCH($B61,AlocList),12)*$E61</f>
        <v>0</v>
      </c>
      <c r="P61" s="120">
        <f>INDEX(AlocTable,MATCH($B61,AlocList),13)*$E61</f>
        <v>1993</v>
      </c>
      <c r="Q61" s="21"/>
      <c r="R61" s="21"/>
    </row>
    <row r="62" spans="1:18" x14ac:dyDescent="0.2">
      <c r="A62" s="29">
        <f>+A61+1</f>
        <v>41</v>
      </c>
      <c r="B62" s="18"/>
      <c r="C62" s="55"/>
      <c r="D62" s="57" t="s">
        <v>225</v>
      </c>
      <c r="E62" s="27">
        <f t="shared" ref="E62:P62" si="51">SUM(E60:E61)</f>
        <v>53316</v>
      </c>
      <c r="F62" s="3">
        <f t="shared" si="51"/>
        <v>0</v>
      </c>
      <c r="G62" s="3">
        <f t="shared" si="51"/>
        <v>0</v>
      </c>
      <c r="H62" s="3">
        <f t="shared" si="51"/>
        <v>0</v>
      </c>
      <c r="I62" s="3">
        <f t="shared" si="51"/>
        <v>0</v>
      </c>
      <c r="J62" s="3">
        <f t="shared" si="51"/>
        <v>0</v>
      </c>
      <c r="K62" s="3">
        <f t="shared" si="51"/>
        <v>0</v>
      </c>
      <c r="L62" s="3">
        <f t="shared" si="51"/>
        <v>0</v>
      </c>
      <c r="M62" s="3">
        <f t="shared" si="51"/>
        <v>0</v>
      </c>
      <c r="N62" s="3">
        <f t="shared" ref="N62:O62" si="52">SUM(N60:N61)</f>
        <v>0</v>
      </c>
      <c r="O62" s="3">
        <f t="shared" si="52"/>
        <v>0</v>
      </c>
      <c r="P62" s="3">
        <f t="shared" si="51"/>
        <v>53316</v>
      </c>
      <c r="Q62" s="21"/>
      <c r="R62" s="21"/>
    </row>
    <row r="63" spans="1:18" x14ac:dyDescent="0.2">
      <c r="A63" s="29"/>
      <c r="B63" s="18"/>
      <c r="C63" s="55"/>
      <c r="D63" s="57"/>
      <c r="E63" s="27"/>
      <c r="F63" s="3"/>
      <c r="G63" s="3"/>
      <c r="H63" s="3"/>
      <c r="I63" s="3"/>
      <c r="J63" s="3"/>
      <c r="K63" s="3"/>
      <c r="L63" s="3"/>
      <c r="M63" s="3"/>
      <c r="N63" s="3"/>
      <c r="O63" s="3"/>
      <c r="P63" s="3"/>
      <c r="Q63" s="21"/>
      <c r="R63" s="21"/>
    </row>
    <row r="64" spans="1:18" x14ac:dyDescent="0.2">
      <c r="A64" s="29"/>
      <c r="B64" s="18"/>
      <c r="C64" s="55"/>
      <c r="D64" s="54" t="s">
        <v>224</v>
      </c>
      <c r="E64" s="27"/>
      <c r="F64" s="3"/>
      <c r="G64" s="3"/>
      <c r="H64" s="3"/>
      <c r="I64" s="3"/>
      <c r="J64" s="3"/>
      <c r="K64" s="3"/>
      <c r="L64" s="3"/>
      <c r="M64" s="3"/>
      <c r="N64" s="3"/>
      <c r="O64" s="3"/>
      <c r="P64" s="3"/>
      <c r="Q64" s="21"/>
      <c r="R64" s="21"/>
    </row>
    <row r="65" spans="1:18" x14ac:dyDescent="0.2">
      <c r="A65" s="29">
        <f>+A62+1</f>
        <v>42</v>
      </c>
      <c r="B65" s="18">
        <v>40</v>
      </c>
      <c r="C65" s="55" t="s">
        <v>223</v>
      </c>
      <c r="D65" s="57" t="s">
        <v>222</v>
      </c>
      <c r="E65" s="27">
        <v>682725</v>
      </c>
      <c r="F65" s="3">
        <f t="shared" ref="F65:F71" si="53">INDEX(AlocTable,MATCH($B65,AlocList),3)*$E65</f>
        <v>19501.251342955427</v>
      </c>
      <c r="G65" s="3">
        <f t="shared" ref="G65:G71" si="54">INDEX(AlocTable,MATCH($B65,AlocList),4)*$E65</f>
        <v>55687.221286768166</v>
      </c>
      <c r="H65" s="3">
        <f t="shared" ref="H65:H71" si="55">INDEX(AlocTable,MATCH($B65,AlocList),5)*$E65</f>
        <v>176574.09923914232</v>
      </c>
      <c r="I65" s="3">
        <f t="shared" ref="I65:I71" si="56">INDEX(AlocTable,MATCH($B65,AlocList),6)*$E65</f>
        <v>154479.83405680506</v>
      </c>
      <c r="J65" s="3">
        <f t="shared" ref="J65:J71" si="57">INDEX(AlocTable,MATCH($B65,AlocList),7)*$E65</f>
        <v>94900.087384351762</v>
      </c>
      <c r="K65" s="3">
        <f t="shared" ref="K65:K71" si="58">INDEX(AlocTable,MATCH($B65,AlocList),8)*$E65</f>
        <v>7238.6255498174341</v>
      </c>
      <c r="L65" s="3">
        <f t="shared" ref="L65:L71" si="59">INDEX(AlocTable,MATCH($B65,AlocList),9)*$E65</f>
        <v>93.001410699089988</v>
      </c>
      <c r="M65" s="3">
        <f t="shared" ref="M65:M71" si="60">INDEX(AlocTable,MATCH($B65,AlocList),10)*$E65</f>
        <v>154871.89625803515</v>
      </c>
      <c r="N65" s="3">
        <f t="shared" ref="N65:N71" si="61">INDEX(AlocTable,MATCH($B65,AlocList),11)*$E65</f>
        <v>3152.552389259627</v>
      </c>
      <c r="O65" s="121">
        <f t="shared" ref="O65:O71" si="62">INDEX(AlocTable,MATCH($B65,AlocList),12)*$E65</f>
        <v>4874.5205091812832</v>
      </c>
      <c r="P65" s="121">
        <f t="shared" ref="P65:P71" si="63">INDEX(AlocTable,MATCH($B65,AlocList),13)*$E65</f>
        <v>11351.910572984631</v>
      </c>
      <c r="Q65" s="21"/>
      <c r="R65" s="21"/>
    </row>
    <row r="66" spans="1:18" x14ac:dyDescent="0.2">
      <c r="A66" s="29">
        <f>+A65+1</f>
        <v>43</v>
      </c>
      <c r="B66" s="18">
        <v>40</v>
      </c>
      <c r="C66" s="55" t="s">
        <v>221</v>
      </c>
      <c r="D66" s="57" t="s">
        <v>220</v>
      </c>
      <c r="E66" s="27">
        <v>4</v>
      </c>
      <c r="F66" s="3">
        <f t="shared" si="53"/>
        <v>0.11425538155453764</v>
      </c>
      <c r="G66" s="3">
        <f t="shared" si="54"/>
        <v>0.32626443318623555</v>
      </c>
      <c r="H66" s="3">
        <f t="shared" si="55"/>
        <v>1.0345254633367305</v>
      </c>
      <c r="I66" s="3">
        <f t="shared" si="56"/>
        <v>0.90507793947375625</v>
      </c>
      <c r="J66" s="3">
        <f t="shared" si="57"/>
        <v>0.55600768909503395</v>
      </c>
      <c r="K66" s="3">
        <f t="shared" si="58"/>
        <v>4.2410197662704215E-2</v>
      </c>
      <c r="L66" s="3">
        <f t="shared" si="59"/>
        <v>5.4488358093867945E-4</v>
      </c>
      <c r="M66" s="3">
        <f t="shared" si="60"/>
        <v>0.90737498265354366</v>
      </c>
      <c r="N66" s="3">
        <f t="shared" si="61"/>
        <v>1.8470408373852588E-2</v>
      </c>
      <c r="O66" s="121">
        <f t="shared" si="62"/>
        <v>2.8559203246878512E-2</v>
      </c>
      <c r="P66" s="121">
        <f t="shared" si="63"/>
        <v>6.6509417835788232E-2</v>
      </c>
      <c r="Q66" s="21"/>
      <c r="R66" s="21"/>
    </row>
    <row r="67" spans="1:18" x14ac:dyDescent="0.2">
      <c r="A67" s="29">
        <f t="shared" ref="A67:A72" si="64">+A66+1</f>
        <v>44</v>
      </c>
      <c r="B67" s="18">
        <v>47</v>
      </c>
      <c r="C67" s="55" t="s">
        <v>219</v>
      </c>
      <c r="D67" s="57" t="s">
        <v>218</v>
      </c>
      <c r="E67" s="27">
        <v>8808</v>
      </c>
      <c r="F67" s="3">
        <f t="shared" si="53"/>
        <v>147.68894426273084</v>
      </c>
      <c r="G67" s="3">
        <f t="shared" si="54"/>
        <v>983.38507025020738</v>
      </c>
      <c r="H67" s="3">
        <f t="shared" si="55"/>
        <v>3118.1360637563316</v>
      </c>
      <c r="I67" s="3">
        <f t="shared" si="56"/>
        <v>2698.5436148791382</v>
      </c>
      <c r="J67" s="3">
        <f t="shared" si="57"/>
        <v>1448.0844120539659</v>
      </c>
      <c r="K67" s="3">
        <f t="shared" si="58"/>
        <v>182.03869817736901</v>
      </c>
      <c r="L67" s="3">
        <f t="shared" si="59"/>
        <v>7.0469874589300474</v>
      </c>
      <c r="M67" s="3">
        <f t="shared" si="60"/>
        <v>198.26720861614822</v>
      </c>
      <c r="N67" s="3">
        <f t="shared" si="61"/>
        <v>4.0359017829372377</v>
      </c>
      <c r="O67" s="121">
        <f t="shared" si="62"/>
        <v>6.2403676719196639</v>
      </c>
      <c r="P67" s="121">
        <f t="shared" si="63"/>
        <v>14.532731090318977</v>
      </c>
      <c r="Q67" s="21"/>
      <c r="R67" s="21"/>
    </row>
    <row r="68" spans="1:18" x14ac:dyDescent="0.2">
      <c r="A68" s="29">
        <f t="shared" si="64"/>
        <v>45</v>
      </c>
      <c r="B68" s="18">
        <v>40</v>
      </c>
      <c r="C68" s="55" t="s">
        <v>217</v>
      </c>
      <c r="D68" s="57" t="s">
        <v>216</v>
      </c>
      <c r="E68" s="27">
        <v>77458</v>
      </c>
      <c r="F68" s="3">
        <f t="shared" si="53"/>
        <v>2212.4983361128443</v>
      </c>
      <c r="G68" s="3">
        <f t="shared" si="54"/>
        <v>6317.947616434858</v>
      </c>
      <c r="H68" s="3">
        <f t="shared" si="55"/>
        <v>20033.068334784119</v>
      </c>
      <c r="I68" s="3">
        <f t="shared" si="56"/>
        <v>17526.381758939551</v>
      </c>
      <c r="J68" s="3">
        <f t="shared" si="57"/>
        <v>10766.810895480785</v>
      </c>
      <c r="K68" s="3">
        <f t="shared" si="58"/>
        <v>821.25227263943577</v>
      </c>
      <c r="L68" s="3">
        <f t="shared" si="59"/>
        <v>10.551398103087058</v>
      </c>
      <c r="M68" s="3">
        <f t="shared" si="60"/>
        <v>17570.862851594546</v>
      </c>
      <c r="N68" s="3">
        <f t="shared" si="61"/>
        <v>357.67022295546843</v>
      </c>
      <c r="O68" s="121">
        <f t="shared" si="62"/>
        <v>553.03469127417895</v>
      </c>
      <c r="P68" s="121">
        <f t="shared" si="63"/>
        <v>1287.9216216811212</v>
      </c>
      <c r="Q68" s="21"/>
      <c r="R68" s="21"/>
    </row>
    <row r="69" spans="1:18" x14ac:dyDescent="0.2">
      <c r="A69" s="29">
        <f t="shared" si="64"/>
        <v>46</v>
      </c>
      <c r="B69" s="18">
        <v>58.2</v>
      </c>
      <c r="C69" s="55" t="s">
        <v>215</v>
      </c>
      <c r="D69" s="57" t="s">
        <v>214</v>
      </c>
      <c r="E69" s="27">
        <v>9447</v>
      </c>
      <c r="F69" s="3">
        <f t="shared" si="53"/>
        <v>342.41528575538359</v>
      </c>
      <c r="G69" s="3">
        <f t="shared" si="54"/>
        <v>682.42314597954226</v>
      </c>
      <c r="H69" s="3">
        <f t="shared" si="55"/>
        <v>2163.8402764030711</v>
      </c>
      <c r="I69" s="3">
        <f t="shared" si="56"/>
        <v>1951.8778620225983</v>
      </c>
      <c r="J69" s="3">
        <f t="shared" si="57"/>
        <v>2981.5212895899745</v>
      </c>
      <c r="K69" s="3">
        <f t="shared" si="58"/>
        <v>317.98611270461032</v>
      </c>
      <c r="L69" s="3">
        <f t="shared" si="59"/>
        <v>0.80994412684951989</v>
      </c>
      <c r="M69" s="3">
        <f t="shared" si="60"/>
        <v>671.8361391317045</v>
      </c>
      <c r="N69" s="3">
        <f t="shared" si="61"/>
        <v>5.5587953323442472</v>
      </c>
      <c r="O69" s="121">
        <f t="shared" si="62"/>
        <v>8.5950869353250567</v>
      </c>
      <c r="P69" s="121">
        <f t="shared" si="63"/>
        <v>320.13606201859795</v>
      </c>
      <c r="Q69" s="21"/>
      <c r="R69" s="21"/>
    </row>
    <row r="70" spans="1:18" x14ac:dyDescent="0.2">
      <c r="A70" s="29">
        <f t="shared" si="64"/>
        <v>47</v>
      </c>
      <c r="B70" s="18">
        <v>47</v>
      </c>
      <c r="C70" s="91" t="s">
        <v>674</v>
      </c>
      <c r="D70" s="93" t="s">
        <v>475</v>
      </c>
      <c r="E70" s="27">
        <v>274</v>
      </c>
      <c r="F70" s="3">
        <f t="shared" si="53"/>
        <v>4.5943200190722351</v>
      </c>
      <c r="G70" s="3">
        <f t="shared" si="54"/>
        <v>30.591224937392919</v>
      </c>
      <c r="H70" s="3">
        <f t="shared" si="55"/>
        <v>96.999237224027567</v>
      </c>
      <c r="I70" s="3">
        <f t="shared" si="56"/>
        <v>83.946520263043126</v>
      </c>
      <c r="J70" s="3">
        <f t="shared" si="57"/>
        <v>45.047130892686951</v>
      </c>
      <c r="K70" s="3">
        <f t="shared" si="58"/>
        <v>5.6628750341279641</v>
      </c>
      <c r="L70" s="3">
        <f t="shared" si="59"/>
        <v>0.2192182747214842</v>
      </c>
      <c r="M70" s="3">
        <f t="shared" si="60"/>
        <v>6.1677128929183258</v>
      </c>
      <c r="N70" s="3">
        <f t="shared" si="61"/>
        <v>0.12554916990517745</v>
      </c>
      <c r="O70" s="121">
        <f t="shared" si="62"/>
        <v>0.19412587898569345</v>
      </c>
      <c r="P70" s="121">
        <f t="shared" si="63"/>
        <v>0.45208541311846046</v>
      </c>
      <c r="Q70" s="21"/>
      <c r="R70" s="21"/>
    </row>
    <row r="71" spans="1:18" x14ac:dyDescent="0.2">
      <c r="A71" s="30">
        <f t="shared" si="64"/>
        <v>48</v>
      </c>
      <c r="B71" s="38">
        <v>40</v>
      </c>
      <c r="C71" s="59" t="s">
        <v>213</v>
      </c>
      <c r="D71" s="58" t="s">
        <v>212</v>
      </c>
      <c r="E71" s="9">
        <v>5785</v>
      </c>
      <c r="F71" s="8">
        <f t="shared" si="53"/>
        <v>165.24184557325006</v>
      </c>
      <c r="G71" s="8">
        <f t="shared" si="54"/>
        <v>471.85993649559316</v>
      </c>
      <c r="H71" s="8">
        <f t="shared" si="55"/>
        <v>1496.1824513507465</v>
      </c>
      <c r="I71" s="8">
        <f t="shared" si="56"/>
        <v>1308.96896996392</v>
      </c>
      <c r="J71" s="8">
        <f t="shared" si="57"/>
        <v>804.12612035369284</v>
      </c>
      <c r="K71" s="8">
        <f t="shared" si="58"/>
        <v>61.335748369685973</v>
      </c>
      <c r="L71" s="8">
        <f t="shared" si="59"/>
        <v>0.78803787893256516</v>
      </c>
      <c r="M71" s="8">
        <f t="shared" si="60"/>
        <v>1312.2910686626876</v>
      </c>
      <c r="N71" s="8">
        <f t="shared" si="61"/>
        <v>26.712828110684306</v>
      </c>
      <c r="O71" s="120">
        <f t="shared" si="62"/>
        <v>41.303747695798052</v>
      </c>
      <c r="P71" s="120">
        <f t="shared" si="63"/>
        <v>96.189245545008731</v>
      </c>
      <c r="Q71" s="21"/>
      <c r="R71" s="21"/>
    </row>
    <row r="72" spans="1:18" x14ac:dyDescent="0.2">
      <c r="A72" s="29">
        <f t="shared" si="64"/>
        <v>49</v>
      </c>
      <c r="B72" s="18"/>
      <c r="C72" s="55"/>
      <c r="D72" s="57" t="s">
        <v>211</v>
      </c>
      <c r="E72" s="27">
        <f t="shared" ref="E72:P72" si="65">SUM(E65:E71)</f>
        <v>784501</v>
      </c>
      <c r="F72" s="3">
        <f t="shared" si="65"/>
        <v>22373.804330060266</v>
      </c>
      <c r="G72" s="3">
        <f t="shared" si="65"/>
        <v>64173.754545298951</v>
      </c>
      <c r="H72" s="3">
        <f t="shared" si="65"/>
        <v>203483.36012812395</v>
      </c>
      <c r="I72" s="3">
        <f t="shared" si="65"/>
        <v>178050.45786081281</v>
      </c>
      <c r="J72" s="3">
        <f t="shared" si="65"/>
        <v>110946.23324041198</v>
      </c>
      <c r="K72" s="3">
        <f t="shared" si="65"/>
        <v>8626.943666940324</v>
      </c>
      <c r="L72" s="3">
        <f t="shared" si="65"/>
        <v>112.4175414251916</v>
      </c>
      <c r="M72" s="3">
        <f t="shared" si="65"/>
        <v>174632.22861391585</v>
      </c>
      <c r="N72" s="3">
        <f t="shared" si="65"/>
        <v>3546.6741570193408</v>
      </c>
      <c r="O72" s="3">
        <f t="shared" si="65"/>
        <v>5483.9170878407367</v>
      </c>
      <c r="P72" s="3">
        <f t="shared" si="65"/>
        <v>13071.208828150635</v>
      </c>
      <c r="Q72" s="21"/>
      <c r="R72" s="21"/>
    </row>
    <row r="73" spans="1:18" x14ac:dyDescent="0.2">
      <c r="A73" s="29"/>
      <c r="B73" s="18"/>
      <c r="C73" s="55"/>
      <c r="D73" s="57"/>
      <c r="E73" s="27"/>
      <c r="F73" s="3"/>
      <c r="G73" s="3"/>
      <c r="H73" s="3"/>
      <c r="I73" s="3"/>
      <c r="J73" s="3"/>
      <c r="K73" s="3"/>
      <c r="L73" s="3"/>
      <c r="M73" s="3"/>
      <c r="N73" s="3"/>
      <c r="O73" s="3"/>
      <c r="P73" s="3"/>
      <c r="Q73" s="21"/>
      <c r="R73" s="21"/>
    </row>
    <row r="74" spans="1:18" x14ac:dyDescent="0.2">
      <c r="A74" s="29">
        <f>+A72+1</f>
        <v>50</v>
      </c>
      <c r="B74" s="18">
        <v>40</v>
      </c>
      <c r="C74" s="55" t="s">
        <v>210</v>
      </c>
      <c r="D74" s="57" t="s">
        <v>78</v>
      </c>
      <c r="E74" s="283">
        <v>0</v>
      </c>
      <c r="F74" s="118">
        <f>INDEX(AlocTable,MATCH($B74,AlocList),3)*$E74</f>
        <v>0</v>
      </c>
      <c r="G74" s="108">
        <f>INDEX(AlocTable,MATCH($B74,AlocList),4)*$E74</f>
        <v>0</v>
      </c>
      <c r="H74" s="108">
        <f>INDEX(AlocTable,MATCH($B74,AlocList),5)*$E74</f>
        <v>0</v>
      </c>
      <c r="I74" s="108">
        <f>INDEX(AlocTable,MATCH($B74,AlocList),6)*$E74</f>
        <v>0</v>
      </c>
      <c r="J74" s="108">
        <f>INDEX(AlocTable,MATCH($B74,AlocList),7)*$E74</f>
        <v>0</v>
      </c>
      <c r="K74" s="108">
        <f>INDEX(AlocTable,MATCH($B74,AlocList),8)*$E74</f>
        <v>0</v>
      </c>
      <c r="L74" s="108">
        <f>INDEX(AlocTable,MATCH($B74,AlocList),9)*$E74</f>
        <v>0</v>
      </c>
      <c r="M74" s="108">
        <f>INDEX(AlocTable,MATCH($B74,AlocList),10)*$E74</f>
        <v>0</v>
      </c>
      <c r="N74" s="108">
        <f>INDEX(AlocTable,MATCH($B74,AlocList),11)*$E74</f>
        <v>0</v>
      </c>
      <c r="O74" s="121">
        <f>INDEX(AlocTable,MATCH($B74,AlocList),12)*$E74</f>
        <v>0</v>
      </c>
      <c r="P74" s="121">
        <f>INDEX(AlocTable,MATCH($B74,AlocList),13)*$E74</f>
        <v>0</v>
      </c>
      <c r="Q74" s="21"/>
      <c r="R74" s="21"/>
    </row>
    <row r="75" spans="1:18" x14ac:dyDescent="0.2">
      <c r="A75" s="30">
        <f>+A74+1</f>
        <v>51</v>
      </c>
      <c r="B75" s="38">
        <v>40</v>
      </c>
      <c r="C75" s="59" t="s">
        <v>209</v>
      </c>
      <c r="D75" s="58" t="s">
        <v>208</v>
      </c>
      <c r="E75" s="9">
        <v>4</v>
      </c>
      <c r="F75" s="9">
        <f>INDEX(AlocTable,MATCH($B75,AlocList),3)*$E75</f>
        <v>0.11425538155453764</v>
      </c>
      <c r="G75" s="9">
        <f>INDEX(AlocTable,MATCH($B75,AlocList),4)*$E75</f>
        <v>0.32626443318623555</v>
      </c>
      <c r="H75" s="9">
        <f>INDEX(AlocTable,MATCH($B75,AlocList),5)*$E75</f>
        <v>1.0345254633367305</v>
      </c>
      <c r="I75" s="9">
        <f>INDEX(AlocTable,MATCH($B75,AlocList),6)*$E75</f>
        <v>0.90507793947375625</v>
      </c>
      <c r="J75" s="9">
        <f>INDEX(AlocTable,MATCH($B75,AlocList),7)*$E75</f>
        <v>0.55600768909503395</v>
      </c>
      <c r="K75" s="9">
        <f>INDEX(AlocTable,MATCH($B75,AlocList),8)*$E75</f>
        <v>4.2410197662704215E-2</v>
      </c>
      <c r="L75" s="9">
        <f>INDEX(AlocTable,MATCH($B75,AlocList),9)*$E75</f>
        <v>5.4488358093867945E-4</v>
      </c>
      <c r="M75" s="9">
        <f>INDEX(AlocTable,MATCH($B75,AlocList),10)*$E75</f>
        <v>0.90737498265354366</v>
      </c>
      <c r="N75" s="9">
        <f>INDEX(AlocTable,MATCH($B75,AlocList),11)*$E75</f>
        <v>1.8470408373852588E-2</v>
      </c>
      <c r="O75" s="120">
        <f>INDEX(AlocTable,MATCH($B75,AlocList),12)*$E75</f>
        <v>2.8559203246878512E-2</v>
      </c>
      <c r="P75" s="120">
        <f>INDEX(AlocTable,MATCH($B75,AlocList),13)*$E75</f>
        <v>6.6509417835788232E-2</v>
      </c>
      <c r="Q75" s="21"/>
      <c r="R75" s="21"/>
    </row>
    <row r="76" spans="1:18" x14ac:dyDescent="0.2">
      <c r="A76" s="29">
        <f>+A75+1</f>
        <v>52</v>
      </c>
      <c r="C76" s="55"/>
      <c r="D76" s="57" t="s">
        <v>76</v>
      </c>
      <c r="E76" s="27">
        <f t="shared" ref="E76:P76" si="66">SUM(E74:E75)</f>
        <v>4</v>
      </c>
      <c r="F76" s="3">
        <f t="shared" si="66"/>
        <v>0.11425538155453764</v>
      </c>
      <c r="G76" s="3">
        <f t="shared" si="66"/>
        <v>0.32626443318623555</v>
      </c>
      <c r="H76" s="3">
        <f t="shared" si="66"/>
        <v>1.0345254633367305</v>
      </c>
      <c r="I76" s="3">
        <f t="shared" si="66"/>
        <v>0.90507793947375625</v>
      </c>
      <c r="J76" s="3">
        <f t="shared" si="66"/>
        <v>0.55600768909503395</v>
      </c>
      <c r="K76" s="3">
        <f t="shared" si="66"/>
        <v>4.2410197662704215E-2</v>
      </c>
      <c r="L76" s="3">
        <f t="shared" si="66"/>
        <v>5.4488358093867945E-4</v>
      </c>
      <c r="M76" s="3">
        <f t="shared" si="66"/>
        <v>0.90737498265354366</v>
      </c>
      <c r="N76" s="3">
        <f t="shared" ref="N76:O76" si="67">SUM(N74:N75)</f>
        <v>1.8470408373852588E-2</v>
      </c>
      <c r="O76" s="3">
        <f t="shared" si="67"/>
        <v>2.8559203246878512E-2</v>
      </c>
      <c r="P76" s="3">
        <f t="shared" si="66"/>
        <v>6.6509417835788232E-2</v>
      </c>
      <c r="Q76" s="21"/>
      <c r="R76" s="21"/>
    </row>
    <row r="77" spans="1:18" x14ac:dyDescent="0.2">
      <c r="A77" s="29"/>
      <c r="C77" s="55"/>
      <c r="D77" s="57"/>
      <c r="E77" s="16"/>
      <c r="F77" s="3"/>
      <c r="G77" s="3"/>
      <c r="H77" s="3"/>
      <c r="I77" s="3"/>
      <c r="J77" s="3"/>
      <c r="K77" s="3"/>
      <c r="L77" s="3"/>
      <c r="M77" s="3"/>
      <c r="N77" s="3"/>
      <c r="O77" s="3"/>
      <c r="P77" s="3"/>
      <c r="Q77" s="21"/>
      <c r="R77" s="21"/>
    </row>
    <row r="78" spans="1:18" x14ac:dyDescent="0.2">
      <c r="A78" s="29">
        <f>+A76+1</f>
        <v>53</v>
      </c>
      <c r="C78" s="55"/>
      <c r="D78" s="54" t="s">
        <v>207</v>
      </c>
      <c r="E78" s="16">
        <f t="shared" ref="E78:P78" si="68">E72+E76</f>
        <v>784505</v>
      </c>
      <c r="F78" s="3">
        <f t="shared" si="68"/>
        <v>22373.918585441821</v>
      </c>
      <c r="G78" s="3">
        <f t="shared" si="68"/>
        <v>64174.080809732135</v>
      </c>
      <c r="H78" s="3">
        <f t="shared" si="68"/>
        <v>203484.39465358728</v>
      </c>
      <c r="I78" s="3">
        <f t="shared" si="68"/>
        <v>178051.36293875228</v>
      </c>
      <c r="J78" s="3">
        <f t="shared" si="68"/>
        <v>110946.78924810108</v>
      </c>
      <c r="K78" s="3">
        <f t="shared" si="68"/>
        <v>8626.9860771379863</v>
      </c>
      <c r="L78" s="3">
        <f t="shared" si="68"/>
        <v>112.41808630877254</v>
      </c>
      <c r="M78" s="3">
        <f t="shared" si="68"/>
        <v>174633.13598889852</v>
      </c>
      <c r="N78" s="3">
        <f t="shared" ref="N78:O78" si="69">N72+N76</f>
        <v>3546.6926274277148</v>
      </c>
      <c r="O78" s="3">
        <f t="shared" si="69"/>
        <v>5483.9456470439836</v>
      </c>
      <c r="P78" s="3">
        <f t="shared" si="68"/>
        <v>13071.275337568472</v>
      </c>
      <c r="Q78" s="21"/>
      <c r="R78" s="21"/>
    </row>
    <row r="79" spans="1:18" x14ac:dyDescent="0.2">
      <c r="A79" s="29">
        <f>+A78+1</f>
        <v>54</v>
      </c>
      <c r="C79" s="55"/>
      <c r="D79" s="88" t="s">
        <v>386</v>
      </c>
      <c r="E79" s="16">
        <f>SUM(E65:E68)+E71+E76</f>
        <v>774784</v>
      </c>
      <c r="F79" s="16">
        <f t="shared" ref="F79:P79" si="70">SUM(F65:F68)+F71+F76</f>
        <v>22026.908979667365</v>
      </c>
      <c r="G79" s="16">
        <f t="shared" si="70"/>
        <v>63461.0664388152</v>
      </c>
      <c r="H79" s="16">
        <f t="shared" si="70"/>
        <v>201223.5551399602</v>
      </c>
      <c r="I79" s="16">
        <f t="shared" si="70"/>
        <v>176015.53855646664</v>
      </c>
      <c r="J79" s="16">
        <f t="shared" si="70"/>
        <v>107920.22082761841</v>
      </c>
      <c r="K79" s="16">
        <f t="shared" si="70"/>
        <v>8303.3370893992487</v>
      </c>
      <c r="L79" s="16">
        <f t="shared" si="70"/>
        <v>111.38892390720154</v>
      </c>
      <c r="M79" s="16">
        <f t="shared" si="70"/>
        <v>173955.13213687387</v>
      </c>
      <c r="N79" s="16">
        <f t="shared" si="70"/>
        <v>3541.0082829254652</v>
      </c>
      <c r="O79" s="16">
        <f t="shared" ref="O79" si="71">SUM(O65:O68)+O71+O76</f>
        <v>5475.1564342296733</v>
      </c>
      <c r="P79" s="16">
        <f t="shared" si="70"/>
        <v>12750.687190136754</v>
      </c>
      <c r="Q79" s="21"/>
      <c r="R79" s="21"/>
    </row>
    <row r="80" spans="1:18" x14ac:dyDescent="0.2">
      <c r="A80" s="29"/>
      <c r="C80" s="55"/>
      <c r="D80" s="54"/>
      <c r="E80" s="16"/>
      <c r="F80" s="3"/>
      <c r="G80" s="3"/>
      <c r="H80" s="3"/>
      <c r="I80" s="3"/>
      <c r="J80" s="3"/>
      <c r="K80" s="3"/>
      <c r="L80" s="3"/>
      <c r="M80" s="3"/>
      <c r="N80" s="3"/>
      <c r="O80" s="3"/>
      <c r="P80" s="3"/>
    </row>
    <row r="81" spans="1:18" x14ac:dyDescent="0.2">
      <c r="A81" s="29">
        <f>+A79+1</f>
        <v>55</v>
      </c>
      <c r="C81" s="55"/>
      <c r="D81" s="54" t="s">
        <v>206</v>
      </c>
      <c r="E81" s="16">
        <f t="shared" ref="E81:P81" si="72">E$78+E$62+E$57+E$51+E$43+E$35+E$24+E$21+E$16+E$12+E$9</f>
        <v>6848528</v>
      </c>
      <c r="F81" s="16">
        <f t="shared" si="72"/>
        <v>248225.91858544183</v>
      </c>
      <c r="G81" s="16">
        <f t="shared" si="72"/>
        <v>494728.06546511769</v>
      </c>
      <c r="H81" s="16">
        <f t="shared" si="72"/>
        <v>1568693.1491513168</v>
      </c>
      <c r="I81" s="16">
        <f t="shared" si="72"/>
        <v>1415025.7667920643</v>
      </c>
      <c r="J81" s="16">
        <f t="shared" si="72"/>
        <v>2161388.8703043549</v>
      </c>
      <c r="K81" s="16">
        <f t="shared" si="72"/>
        <v>230517.95971782005</v>
      </c>
      <c r="L81" s="16">
        <f t="shared" si="72"/>
        <v>587.35832132052769</v>
      </c>
      <c r="M81" s="16">
        <f t="shared" si="72"/>
        <v>487028.98206170747</v>
      </c>
      <c r="N81" s="16">
        <f t="shared" si="72"/>
        <v>4029.7690730301592</v>
      </c>
      <c r="O81" s="16">
        <f t="shared" si="72"/>
        <v>6230.8851902578954</v>
      </c>
      <c r="P81" s="16">
        <f t="shared" si="72"/>
        <v>232071.27533756848</v>
      </c>
      <c r="Q81" s="21"/>
      <c r="R81" s="21"/>
    </row>
    <row r="82" spans="1:18" x14ac:dyDescent="0.2">
      <c r="A82" s="29">
        <f>+A81+1</f>
        <v>56</v>
      </c>
      <c r="C82" s="55"/>
      <c r="D82" s="54" t="s">
        <v>205</v>
      </c>
      <c r="E82" s="56">
        <f>SUM(F82:P82)</f>
        <v>1.0000000000000002</v>
      </c>
      <c r="F82" s="46">
        <f t="shared" ref="F82:P82" si="73">F81/$E$81</f>
        <v>3.624514911604973E-2</v>
      </c>
      <c r="G82" s="46">
        <f t="shared" si="73"/>
        <v>7.223859863975407E-2</v>
      </c>
      <c r="H82" s="46">
        <f t="shared" si="73"/>
        <v>0.22905552100412188</v>
      </c>
      <c r="I82" s="46">
        <f t="shared" si="73"/>
        <v>0.20661750478235094</v>
      </c>
      <c r="J82" s="46">
        <f t="shared" si="73"/>
        <v>0.31559904118145604</v>
      </c>
      <c r="K82" s="46">
        <f t="shared" si="73"/>
        <v>3.3659489998116389E-2</v>
      </c>
      <c r="L82" s="46">
        <f t="shared" si="73"/>
        <v>8.5764170245128258E-5</v>
      </c>
      <c r="M82" s="46">
        <f t="shared" si="73"/>
        <v>7.1114403279318922E-2</v>
      </c>
      <c r="N82" s="46">
        <f>N81/$E$81</f>
        <v>5.8841390048053528E-4</v>
      </c>
      <c r="O82" s="46">
        <f>O81/$E$81</f>
        <v>9.09813786299464E-4</v>
      </c>
      <c r="P82" s="46">
        <f t="shared" si="73"/>
        <v>3.3886300141806894E-2</v>
      </c>
    </row>
    <row r="83" spans="1:18" x14ac:dyDescent="0.2">
      <c r="A83" s="29">
        <f>+A82+1</f>
        <v>57</v>
      </c>
      <c r="C83" s="55"/>
      <c r="D83" s="88" t="s">
        <v>387</v>
      </c>
      <c r="E83" s="16">
        <f>E$79+E$62+E$57+E$51+E$43+E$35+E$24+E$21+E$16+E$12+E$9</f>
        <v>6838807</v>
      </c>
      <c r="F83" s="16">
        <f t="shared" ref="F83:P83" si="74">F$79+F$62+F$57+F$51+F$43+F$35+F$24+F$21+F$16+F$12+F$9</f>
        <v>247878.90897966735</v>
      </c>
      <c r="G83" s="16">
        <f t="shared" si="74"/>
        <v>494015.05109420081</v>
      </c>
      <c r="H83" s="16">
        <f t="shared" si="74"/>
        <v>1566432.30963769</v>
      </c>
      <c r="I83" s="16">
        <f t="shared" si="74"/>
        <v>1412989.9424097787</v>
      </c>
      <c r="J83" s="16">
        <f t="shared" si="74"/>
        <v>2158362.3018838726</v>
      </c>
      <c r="K83" s="16">
        <f t="shared" si="74"/>
        <v>230194.31073008131</v>
      </c>
      <c r="L83" s="16">
        <f t="shared" si="74"/>
        <v>586.32915891895675</v>
      </c>
      <c r="M83" s="16">
        <f t="shared" si="74"/>
        <v>486350.97820968286</v>
      </c>
      <c r="N83" s="16">
        <f t="shared" si="74"/>
        <v>4024.0847285279096</v>
      </c>
      <c r="O83" s="16">
        <f t="shared" si="74"/>
        <v>6222.0959774435851</v>
      </c>
      <c r="P83" s="16">
        <f t="shared" si="74"/>
        <v>231750.68719013676</v>
      </c>
    </row>
    <row r="84" spans="1:18" x14ac:dyDescent="0.2">
      <c r="A84" s="29">
        <f>+A83+1</f>
        <v>58</v>
      </c>
      <c r="C84" s="55"/>
      <c r="D84" s="54" t="s">
        <v>204</v>
      </c>
      <c r="E84" s="56">
        <f>SUM(F84:P84)</f>
        <v>1</v>
      </c>
      <c r="F84" s="46">
        <f>F83/$E$83</f>
        <v>3.624592841699837E-2</v>
      </c>
      <c r="G84" s="46">
        <f t="shared" ref="G84:P84" si="75">G83/$E$83</f>
        <v>7.2237021909552473E-2</v>
      </c>
      <c r="H84" s="46">
        <f t="shared" si="75"/>
        <v>0.22905052147804286</v>
      </c>
      <c r="I84" s="46">
        <f t="shared" si="75"/>
        <v>0.20661351349874016</v>
      </c>
      <c r="J84" s="46">
        <f t="shared" si="75"/>
        <v>0.31560509046151947</v>
      </c>
      <c r="K84" s="46">
        <f t="shared" si="75"/>
        <v>3.3660009813126952E-2</v>
      </c>
      <c r="L84" s="46">
        <f t="shared" si="75"/>
        <v>8.5735590859481301E-5</v>
      </c>
      <c r="M84" s="46">
        <f t="shared" si="75"/>
        <v>7.1116347955086742E-2</v>
      </c>
      <c r="N84" s="46">
        <f t="shared" si="75"/>
        <v>5.8841911001844473E-4</v>
      </c>
      <c r="O84" s="46">
        <f t="shared" ref="O84" si="76">O83/$E$83</f>
        <v>9.0982184135969698E-4</v>
      </c>
      <c r="P84" s="46">
        <f t="shared" si="75"/>
        <v>3.3887589924695455E-2</v>
      </c>
    </row>
    <row r="85" spans="1:18" x14ac:dyDescent="0.2">
      <c r="C85" s="55"/>
      <c r="D85" s="54"/>
      <c r="E85" s="53"/>
      <c r="F85" s="46"/>
      <c r="G85" s="46"/>
      <c r="H85" s="46"/>
      <c r="I85" s="46"/>
      <c r="J85" s="46"/>
      <c r="K85" s="46"/>
      <c r="L85" s="46"/>
      <c r="M85" s="46"/>
      <c r="N85" s="46"/>
      <c r="O85" s="46"/>
      <c r="P85" s="46"/>
    </row>
    <row r="86" spans="1:18" x14ac:dyDescent="0.2">
      <c r="A86" s="17" t="s">
        <v>45</v>
      </c>
      <c r="C86" s="19"/>
    </row>
    <row r="87" spans="1:18" x14ac:dyDescent="0.2">
      <c r="A87" s="37" t="s">
        <v>837</v>
      </c>
      <c r="E87" s="26"/>
    </row>
    <row r="89" spans="1:18" x14ac:dyDescent="0.2">
      <c r="A89" s="37" t="s">
        <v>1111</v>
      </c>
    </row>
    <row r="90" spans="1:18" x14ac:dyDescent="0.2">
      <c r="A90" s="37" t="s">
        <v>252</v>
      </c>
      <c r="F90" s="21"/>
    </row>
    <row r="91" spans="1:18" x14ac:dyDescent="0.2">
      <c r="A91" s="37" t="s">
        <v>838</v>
      </c>
    </row>
    <row r="93" spans="1:18" x14ac:dyDescent="0.2">
      <c r="A93" s="37" t="s">
        <v>251</v>
      </c>
    </row>
    <row r="94" spans="1:18" x14ac:dyDescent="0.2">
      <c r="A94" s="37" t="s">
        <v>839</v>
      </c>
    </row>
    <row r="96" spans="1:18" x14ac:dyDescent="0.2">
      <c r="A96" s="17" t="s">
        <v>46</v>
      </c>
    </row>
    <row r="97" spans="1:3" x14ac:dyDescent="0.2">
      <c r="A97" s="37" t="s">
        <v>573</v>
      </c>
    </row>
    <row r="98" spans="1:3" x14ac:dyDescent="0.2">
      <c r="A98" s="37" t="s">
        <v>574</v>
      </c>
    </row>
    <row r="101" spans="1:3" x14ac:dyDescent="0.2">
      <c r="C101" s="37"/>
    </row>
  </sheetData>
  <pageMargins left="0.7" right="0.7" top="0.92500000000000004" bottom="0.75" header="0.3" footer="0.3"/>
  <pageSetup scale="37" fitToWidth="2" pageOrder="overThenDown" orientation="landscape" useFirstPageNumber="1" r:id="rId1"/>
  <headerFooter alignWithMargins="0">
    <oddHeader>&amp;CRULE 20:10:13:98
STATEMENT O WORKPAPER - Tab &amp;A
Functional Cost of Service Allocators
Test Year Ending December 31, 2025
Utility: MidAmerican Energy Company
Docket No. NG26-___
Individual Responsible: Stephen Stratton&amp;RPage &amp;P of &amp;N</oddHeader>
  </headerFooter>
  <rowBreaks count="1" manualBreakCount="1">
    <brk id="52" max="16383" man="1"/>
  </rowBreaks>
  <colBreaks count="1" manualBreakCount="1">
    <brk id="13" max="1048575" man="1"/>
  </colBreaks>
  <ignoredErrors>
    <ignoredError sqref="C7:C36 C38:C7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P74"/>
  <sheetViews>
    <sheetView view="pageLayout" zoomScaleNormal="100" workbookViewId="0"/>
  </sheetViews>
  <sheetFormatPr defaultRowHeight="12.75" outlineLevelRow="1" x14ac:dyDescent="0.2"/>
  <cols>
    <col min="1" max="1" width="7.140625" customWidth="1"/>
    <col min="2" max="2" width="42.28515625" customWidth="1"/>
    <col min="3" max="3" width="16.5703125" customWidth="1"/>
    <col min="4" max="6" width="15.42578125" customWidth="1"/>
    <col min="7" max="7" width="10.7109375" bestFit="1" customWidth="1"/>
    <col min="16" max="16" width="11.28515625" bestFit="1" customWidth="1"/>
  </cols>
  <sheetData>
    <row r="1" spans="1:13" ht="19.5" customHeight="1" x14ac:dyDescent="0.25">
      <c r="A1" s="39" t="s">
        <v>276</v>
      </c>
      <c r="C1" s="284"/>
      <c r="D1" s="284"/>
      <c r="E1" s="284"/>
      <c r="F1" s="284"/>
      <c r="G1" s="160"/>
    </row>
    <row r="2" spans="1:13" x14ac:dyDescent="0.2">
      <c r="C2" s="284"/>
      <c r="D2" s="284"/>
      <c r="E2" s="284"/>
      <c r="F2" s="284"/>
      <c r="G2" s="285"/>
    </row>
    <row r="3" spans="1:13" x14ac:dyDescent="0.2">
      <c r="D3" s="2" t="s">
        <v>417</v>
      </c>
      <c r="E3" s="2" t="s">
        <v>418</v>
      </c>
      <c r="F3" s="2" t="s">
        <v>419</v>
      </c>
    </row>
    <row r="4" spans="1:13" x14ac:dyDescent="0.2">
      <c r="A4" s="232" t="s">
        <v>24</v>
      </c>
      <c r="B4" s="10" t="s">
        <v>203</v>
      </c>
      <c r="C4" s="82" t="s">
        <v>177</v>
      </c>
      <c r="D4" s="82" t="s">
        <v>299</v>
      </c>
      <c r="E4" s="82" t="s">
        <v>299</v>
      </c>
      <c r="F4" s="82" t="s">
        <v>299</v>
      </c>
      <c r="G4" s="286" t="s">
        <v>44</v>
      </c>
      <c r="H4" s="10"/>
      <c r="I4" s="10"/>
      <c r="J4" s="10"/>
      <c r="K4" s="10"/>
      <c r="L4" s="10"/>
      <c r="M4" s="10"/>
    </row>
    <row r="5" spans="1:13" x14ac:dyDescent="0.2">
      <c r="A5" s="4"/>
      <c r="B5" s="95" t="s">
        <v>26</v>
      </c>
      <c r="C5" s="95" t="s">
        <v>27</v>
      </c>
      <c r="D5" s="95" t="s">
        <v>28</v>
      </c>
      <c r="E5" s="95" t="s">
        <v>29</v>
      </c>
      <c r="F5" s="95" t="s">
        <v>36</v>
      </c>
    </row>
    <row r="6" spans="1:13" x14ac:dyDescent="0.2">
      <c r="A6" s="4"/>
      <c r="C6" s="2"/>
      <c r="D6" s="2"/>
      <c r="E6" s="2"/>
      <c r="F6" s="2"/>
    </row>
    <row r="7" spans="1:13" outlineLevel="1" x14ac:dyDescent="0.2">
      <c r="A7" s="14">
        <v>1</v>
      </c>
      <c r="B7" t="s">
        <v>376</v>
      </c>
      <c r="C7" s="11">
        <f>'FUN-1 (Results)'!$F$36</f>
        <v>1155177.5198916357</v>
      </c>
      <c r="D7" s="108">
        <f>$C7*D46</f>
        <v>919125.67599224474</v>
      </c>
      <c r="E7" s="108">
        <f t="shared" ref="D7:F17" si="0">$C7*E46</f>
        <v>230953.82648866341</v>
      </c>
      <c r="F7" s="108">
        <f t="shared" si="0"/>
        <v>5098.0174107277371</v>
      </c>
      <c r="G7" t="s">
        <v>1123</v>
      </c>
    </row>
    <row r="8" spans="1:13" outlineLevel="1" x14ac:dyDescent="0.2">
      <c r="A8" s="14">
        <f>A7+1</f>
        <v>2</v>
      </c>
      <c r="B8" t="s">
        <v>420</v>
      </c>
      <c r="C8" s="11">
        <f>'FUN-1 (Results)'!$G$36</f>
        <v>4790691.5028097806</v>
      </c>
      <c r="D8" s="108">
        <f t="shared" si="0"/>
        <v>2516786.4054087871</v>
      </c>
      <c r="E8" s="108">
        <f t="shared" si="0"/>
        <v>1398522.1224871222</v>
      </c>
      <c r="F8" s="108">
        <f t="shared" si="0"/>
        <v>875382.97491387173</v>
      </c>
      <c r="G8" t="s">
        <v>1124</v>
      </c>
    </row>
    <row r="9" spans="1:13" outlineLevel="1" x14ac:dyDescent="0.2">
      <c r="A9" s="14">
        <f t="shared" ref="A9:A18" si="1">A8+1</f>
        <v>3</v>
      </c>
      <c r="B9" t="s">
        <v>421</v>
      </c>
      <c r="C9" s="11">
        <f>'FUN-1 (Results)'!$H$36</f>
        <v>15190415.63386908</v>
      </c>
      <c r="D9" s="108">
        <f t="shared" si="0"/>
        <v>9672590.5792376716</v>
      </c>
      <c r="E9" s="108">
        <f t="shared" si="0"/>
        <v>4135419.555720197</v>
      </c>
      <c r="F9" s="108">
        <f t="shared" si="0"/>
        <v>1382405.4989112117</v>
      </c>
      <c r="G9" t="s">
        <v>1125</v>
      </c>
      <c r="L9" s="138"/>
    </row>
    <row r="10" spans="1:13" outlineLevel="1" x14ac:dyDescent="0.2">
      <c r="A10" s="14">
        <f t="shared" si="1"/>
        <v>4</v>
      </c>
      <c r="B10" t="s">
        <v>19</v>
      </c>
      <c r="C10" s="34">
        <f>'FUN-1 (Results)'!$I$36</f>
        <v>13198043.394234996</v>
      </c>
      <c r="D10" s="108">
        <f t="shared" si="0"/>
        <v>12455988.543778364</v>
      </c>
      <c r="E10" s="108">
        <f t="shared" si="0"/>
        <v>711592.70182886533</v>
      </c>
      <c r="F10" s="108">
        <f t="shared" si="0"/>
        <v>30462.148627767634</v>
      </c>
      <c r="G10" t="s">
        <v>1126</v>
      </c>
    </row>
    <row r="11" spans="1:13" outlineLevel="1" x14ac:dyDescent="0.2">
      <c r="A11" s="14">
        <f t="shared" si="1"/>
        <v>5</v>
      </c>
      <c r="B11" t="s">
        <v>18</v>
      </c>
      <c r="C11" s="34">
        <f>'FUN-1 (Results)'!$J$36-C18</f>
        <v>7809842.3688967004</v>
      </c>
      <c r="D11" s="108">
        <f t="shared" si="0"/>
        <v>6639150.2868669964</v>
      </c>
      <c r="E11" s="108">
        <f t="shared" si="0"/>
        <v>1127955.9632925615</v>
      </c>
      <c r="F11" s="108">
        <f t="shared" si="0"/>
        <v>42736.118737141252</v>
      </c>
      <c r="G11" t="s">
        <v>1127</v>
      </c>
    </row>
    <row r="12" spans="1:13" outlineLevel="1" x14ac:dyDescent="0.2">
      <c r="A12" s="14">
        <f t="shared" si="1"/>
        <v>6</v>
      </c>
      <c r="B12" t="s">
        <v>306</v>
      </c>
      <c r="C12" s="11">
        <f>'FUN-1 (Results)'!$K$36</f>
        <v>871553.71994699712</v>
      </c>
      <c r="D12" s="108">
        <f t="shared" si="0"/>
        <v>781969.18132439395</v>
      </c>
      <c r="E12" s="108">
        <f t="shared" si="0"/>
        <v>88161.980079122412</v>
      </c>
      <c r="F12" s="108">
        <f t="shared" si="0"/>
        <v>1422.5585434808233</v>
      </c>
      <c r="G12" t="s">
        <v>1128</v>
      </c>
    </row>
    <row r="13" spans="1:13" outlineLevel="1" x14ac:dyDescent="0.2">
      <c r="A13" s="14">
        <f t="shared" si="1"/>
        <v>7</v>
      </c>
      <c r="B13" t="s">
        <v>377</v>
      </c>
      <c r="C13" s="11">
        <f>'FUN-1 (Results)'!$L$36</f>
        <v>26730.926312678617</v>
      </c>
      <c r="D13" s="108">
        <f t="shared" si="0"/>
        <v>12878.047033555342</v>
      </c>
      <c r="E13" s="108">
        <f t="shared" si="0"/>
        <v>13852.879279123274</v>
      </c>
      <c r="F13" s="108">
        <f t="shared" si="0"/>
        <v>0</v>
      </c>
      <c r="G13" t="s">
        <v>1129</v>
      </c>
    </row>
    <row r="14" spans="1:13" outlineLevel="1" x14ac:dyDescent="0.2">
      <c r="A14" s="14">
        <f>A13+1</f>
        <v>8</v>
      </c>
      <c r="B14" t="s">
        <v>275</v>
      </c>
      <c r="C14" s="11">
        <f>'FUN-1 (Results)'!$M$36</f>
        <v>4450391.4777820408</v>
      </c>
      <c r="D14" s="108">
        <f t="shared" si="0"/>
        <v>4007462.5869603525</v>
      </c>
      <c r="E14" s="108">
        <f t="shared" si="0"/>
        <v>332851.54600799049</v>
      </c>
      <c r="F14" s="108">
        <f t="shared" si="0"/>
        <v>110077.34481369794</v>
      </c>
      <c r="G14" t="s">
        <v>1130</v>
      </c>
    </row>
    <row r="15" spans="1:13" outlineLevel="1" x14ac:dyDescent="0.2">
      <c r="A15" s="14">
        <f t="shared" si="1"/>
        <v>9</v>
      </c>
      <c r="B15" t="s">
        <v>715</v>
      </c>
      <c r="C15" s="11">
        <f>'FUN-1 (Results)'!$N$36</f>
        <v>85183.763529916425</v>
      </c>
      <c r="D15" s="108">
        <f t="shared" si="0"/>
        <v>0</v>
      </c>
      <c r="E15" s="108">
        <f t="shared" si="0"/>
        <v>68450.008851040358</v>
      </c>
      <c r="F15" s="108">
        <f t="shared" si="0"/>
        <v>16733.754678876063</v>
      </c>
      <c r="G15" t="s">
        <v>1131</v>
      </c>
    </row>
    <row r="16" spans="1:13" outlineLevel="1" x14ac:dyDescent="0.2">
      <c r="A16" s="14">
        <f t="shared" si="1"/>
        <v>10</v>
      </c>
      <c r="B16" t="s">
        <v>716</v>
      </c>
      <c r="C16" s="11">
        <f>'FUN-1 (Results)'!O36</f>
        <v>131712.32420766921</v>
      </c>
      <c r="D16" s="108">
        <f t="shared" si="0"/>
        <v>31034.343382497173</v>
      </c>
      <c r="E16" s="108">
        <f t="shared" si="0"/>
        <v>100677.98082517204</v>
      </c>
      <c r="F16" s="108">
        <f t="shared" si="0"/>
        <v>0</v>
      </c>
      <c r="G16" t="s">
        <v>1132</v>
      </c>
    </row>
    <row r="17" spans="1:16" outlineLevel="1" x14ac:dyDescent="0.2">
      <c r="A17" s="14">
        <f t="shared" si="1"/>
        <v>11</v>
      </c>
      <c r="B17" t="s">
        <v>495</v>
      </c>
      <c r="C17" s="27">
        <f>'FUN-1 (Results)'!$P$36</f>
        <v>381479.21989994543</v>
      </c>
      <c r="D17" s="121">
        <f t="shared" si="0"/>
        <v>293538.5318836603</v>
      </c>
      <c r="E17" s="121">
        <f t="shared" si="0"/>
        <v>84855.12757823267</v>
      </c>
      <c r="F17" s="121">
        <f t="shared" si="0"/>
        <v>3085.5604380524778</v>
      </c>
      <c r="G17" t="s">
        <v>1133</v>
      </c>
    </row>
    <row r="18" spans="1:16" outlineLevel="1" x14ac:dyDescent="0.2">
      <c r="A18" s="15">
        <f t="shared" si="1"/>
        <v>12</v>
      </c>
      <c r="B18" s="10" t="s">
        <v>739</v>
      </c>
      <c r="C18" s="9">
        <f>SUM(D18:F18)</f>
        <v>61850</v>
      </c>
      <c r="D18" s="120">
        <f>'RD-5 (INTRVL METER)'!C38</f>
        <v>0</v>
      </c>
      <c r="E18" s="120">
        <f>'RD-5 (INTRVL METER)'!C39</f>
        <v>49700</v>
      </c>
      <c r="F18" s="120">
        <f>'RD-5 (INTRVL METER)'!C40</f>
        <v>12150</v>
      </c>
      <c r="G18" s="10" t="s">
        <v>765</v>
      </c>
      <c r="H18" s="10"/>
      <c r="I18" s="10"/>
      <c r="J18" s="10"/>
      <c r="K18" s="10"/>
      <c r="L18" s="10"/>
      <c r="M18" s="10"/>
    </row>
    <row r="19" spans="1:16" outlineLevel="1" x14ac:dyDescent="0.2">
      <c r="A19" s="14">
        <f>A18+1</f>
        <v>13</v>
      </c>
      <c r="B19" s="4" t="s">
        <v>177</v>
      </c>
      <c r="C19" s="1">
        <f>SUM(C7:C18)</f>
        <v>48153071.851381443</v>
      </c>
      <c r="D19" s="1">
        <f>SUM(D7:D18)</f>
        <v>37330524.181868516</v>
      </c>
      <c r="E19" s="1">
        <f>SUM(E7:E18)</f>
        <v>8342993.6924380912</v>
      </c>
      <c r="F19" s="1">
        <f>SUM(F7:F18)</f>
        <v>2479553.9770748275</v>
      </c>
      <c r="G19" t="s">
        <v>766</v>
      </c>
    </row>
    <row r="20" spans="1:16" outlineLevel="1" x14ac:dyDescent="0.2">
      <c r="A20" s="14">
        <f>A19+1</f>
        <v>14</v>
      </c>
      <c r="B20" t="s">
        <v>1112</v>
      </c>
      <c r="C20" s="1">
        <f>C19-'RD-6 (NF RATE SCHEDULE)'!G38</f>
        <v>47960453.263689555</v>
      </c>
      <c r="D20" s="1">
        <f>C20*(D23/$C$23)</f>
        <v>37181197.200862989</v>
      </c>
      <c r="E20" s="1">
        <f>$C$20*(E23/$C$23)</f>
        <v>8309620.6260817125</v>
      </c>
      <c r="F20" s="1">
        <f>$C$20*(F23/$C$23)</f>
        <v>2469635.4367448566</v>
      </c>
      <c r="G20" t="s">
        <v>1151</v>
      </c>
      <c r="P20" s="1"/>
    </row>
    <row r="21" spans="1:16" outlineLevel="1" x14ac:dyDescent="0.2">
      <c r="A21" s="14"/>
      <c r="B21" s="6"/>
      <c r="C21" s="1"/>
      <c r="D21" s="136"/>
      <c r="G21" s="160"/>
    </row>
    <row r="22" spans="1:16" x14ac:dyDescent="0.2">
      <c r="A22" s="14">
        <f>A20+1</f>
        <v>15</v>
      </c>
      <c r="B22" s="4" t="s">
        <v>274</v>
      </c>
      <c r="C22" s="1">
        <f>SUM(D22:F22)</f>
        <v>39244301.229236715</v>
      </c>
      <c r="D22" s="108">
        <f>+'SRC-2 (S.D. Revenue)'!Q42</f>
        <v>31110524.412583891</v>
      </c>
      <c r="E22" s="108">
        <f>+'SRC-2 (S.D. Revenue)'!Q43</f>
        <v>6420269.9272695407</v>
      </c>
      <c r="F22" s="108">
        <f>+'SRC-2 (S.D. Revenue)'!Q44</f>
        <v>1713506.8893832762</v>
      </c>
      <c r="G22" t="s">
        <v>1156</v>
      </c>
    </row>
    <row r="23" spans="1:16" x14ac:dyDescent="0.2">
      <c r="A23" s="15">
        <f>A22+1</f>
        <v>16</v>
      </c>
      <c r="B23" s="232" t="s">
        <v>273</v>
      </c>
      <c r="C23" s="137">
        <f>SUM(D23:F23)</f>
        <v>48153071.851381429</v>
      </c>
      <c r="D23" s="137">
        <f>D19</f>
        <v>37330524.181868516</v>
      </c>
      <c r="E23" s="137">
        <f>E19</f>
        <v>8342993.6924380912</v>
      </c>
      <c r="F23" s="137">
        <f>F19</f>
        <v>2479553.9770748275</v>
      </c>
      <c r="G23" s="10" t="s">
        <v>767</v>
      </c>
      <c r="H23" s="10"/>
      <c r="I23" s="10"/>
      <c r="J23" s="10"/>
      <c r="K23" s="10"/>
      <c r="L23" s="10"/>
      <c r="M23" s="10"/>
      <c r="P23" s="1"/>
    </row>
    <row r="24" spans="1:16" x14ac:dyDescent="0.2">
      <c r="A24" s="14">
        <f>A23+1</f>
        <v>17</v>
      </c>
      <c r="B24" t="s">
        <v>272</v>
      </c>
      <c r="C24" s="1">
        <f>C22-C23</f>
        <v>-8908770.622144714</v>
      </c>
      <c r="D24" s="1">
        <f t="shared" ref="D24:E24" si="2">D22-D23</f>
        <v>-6219999.7692846246</v>
      </c>
      <c r="E24" s="1">
        <f t="shared" si="2"/>
        <v>-1922723.7651685504</v>
      </c>
      <c r="F24" s="1">
        <f>F22-F23</f>
        <v>-766047.08769155131</v>
      </c>
      <c r="G24" t="s">
        <v>1122</v>
      </c>
    </row>
    <row r="25" spans="1:16" x14ac:dyDescent="0.2">
      <c r="A25" s="14">
        <f>A24+1</f>
        <v>18</v>
      </c>
      <c r="B25" t="s">
        <v>271</v>
      </c>
      <c r="C25" s="138">
        <f t="shared" ref="C25" si="3">(C23/C22)-1</f>
        <v>0.22700800735643489</v>
      </c>
      <c r="D25" s="138">
        <f t="shared" ref="D25:E25" si="4">(D20/D22)-1</f>
        <v>0.19513244803496699</v>
      </c>
      <c r="E25" s="138">
        <f t="shared" si="4"/>
        <v>0.29427901322144079</v>
      </c>
      <c r="F25" s="138">
        <f>(F20/F22)-1</f>
        <v>0.44127546381428639</v>
      </c>
      <c r="G25" t="s">
        <v>894</v>
      </c>
    </row>
    <row r="26" spans="1:16" x14ac:dyDescent="0.2">
      <c r="A26" s="14">
        <f>A25+1</f>
        <v>19</v>
      </c>
      <c r="B26" t="s">
        <v>763</v>
      </c>
      <c r="C26" s="138">
        <f>C24/$C$24</f>
        <v>1</v>
      </c>
      <c r="D26" s="138">
        <f>D24/$C$24</f>
        <v>0.69818833968218286</v>
      </c>
      <c r="E26" s="138">
        <f>E24/$C$24</f>
        <v>0.21582369181098865</v>
      </c>
      <c r="F26" s="138">
        <f>F24/$C$24</f>
        <v>8.5987968506829923E-2</v>
      </c>
      <c r="G26" t="s">
        <v>768</v>
      </c>
    </row>
    <row r="27" spans="1:16" x14ac:dyDescent="0.2">
      <c r="A27" s="14">
        <f t="shared" ref="A27" si="5">A26+1</f>
        <v>20</v>
      </c>
      <c r="B27" t="s">
        <v>764</v>
      </c>
      <c r="C27" s="139">
        <f>C25/$C$25</f>
        <v>1</v>
      </c>
      <c r="D27" s="139">
        <f>D25/$C$25</f>
        <v>0.85958398695858007</v>
      </c>
      <c r="E27" s="139">
        <f>E25/$C$25</f>
        <v>1.2963375902391885</v>
      </c>
      <c r="F27" s="139">
        <f>F25/$C$25</f>
        <v>1.9438762048662939</v>
      </c>
      <c r="G27" t="s">
        <v>769</v>
      </c>
    </row>
    <row r="28" spans="1:16" x14ac:dyDescent="0.2">
      <c r="A28" s="14"/>
      <c r="C28" s="131"/>
      <c r="D28" s="131"/>
      <c r="E28" s="131"/>
      <c r="F28" s="131"/>
      <c r="G28" s="160"/>
    </row>
    <row r="29" spans="1:16" ht="18" x14ac:dyDescent="0.25">
      <c r="A29" s="39" t="s">
        <v>270</v>
      </c>
      <c r="C29" s="288"/>
      <c r="D29" s="287"/>
      <c r="E29" s="287"/>
      <c r="F29" s="287"/>
      <c r="G29" s="192"/>
      <c r="P29" s="1"/>
    </row>
    <row r="30" spans="1:16" x14ac:dyDescent="0.2">
      <c r="A30" s="14"/>
      <c r="F30" s="1"/>
      <c r="G30" s="160"/>
    </row>
    <row r="31" spans="1:16" x14ac:dyDescent="0.2">
      <c r="A31" s="14">
        <f>A27+1</f>
        <v>21</v>
      </c>
      <c r="B31" t="s">
        <v>445</v>
      </c>
      <c r="C31" s="5">
        <f>SUM(D31:F31)</f>
        <v>114077.66666666666</v>
      </c>
      <c r="D31" s="107">
        <f>+'SRC-4 (S.D. Customers)'!E31/12</f>
        <v>112100.58333333333</v>
      </c>
      <c r="E31" s="107">
        <f>+'SRC-4 (S.D. Customers)'!F31/12</f>
        <v>1955.8333333333333</v>
      </c>
      <c r="F31" s="107">
        <f>+'SRC-4 (S.D. Customers)'!G31/12</f>
        <v>21.25</v>
      </c>
      <c r="G31" t="s">
        <v>1162</v>
      </c>
      <c r="L31" s="160"/>
    </row>
    <row r="32" spans="1:16" x14ac:dyDescent="0.2">
      <c r="A32" s="14">
        <f>A31+1</f>
        <v>22</v>
      </c>
      <c r="B32" t="s">
        <v>1178</v>
      </c>
      <c r="C32" s="5">
        <f t="shared" ref="C32:C34" si="6">SUM(D32:F32)</f>
        <v>43.416666666666671</v>
      </c>
      <c r="D32" s="107">
        <f>+'SRC-4 (S.D. Customers)'!E32/12</f>
        <v>20.916666666666668</v>
      </c>
      <c r="E32" s="107">
        <f>+'SRC-4 (S.D. Customers)'!F32/12</f>
        <v>22.5</v>
      </c>
      <c r="F32" s="107">
        <f>+'SRC-4 (S.D. Customers)'!G32/12</f>
        <v>0</v>
      </c>
      <c r="G32" t="s">
        <v>1162</v>
      </c>
      <c r="L32" s="289"/>
    </row>
    <row r="33" spans="1:12" x14ac:dyDescent="0.2">
      <c r="A33" s="14">
        <f t="shared" ref="A33:A42" si="7">A32+1</f>
        <v>23</v>
      </c>
      <c r="B33" t="s">
        <v>718</v>
      </c>
      <c r="C33" s="5">
        <f t="shared" si="6"/>
        <v>103.08333333333333</v>
      </c>
      <c r="D33" s="107">
        <f>+'SRC-4 (S.D. Customers)'!E33/12</f>
        <v>0</v>
      </c>
      <c r="E33" s="107">
        <f>+'SRC-4 (S.D. Customers)'!F33/12</f>
        <v>82.833333333333329</v>
      </c>
      <c r="F33" s="107">
        <f>+'SRC-4 (S.D. Customers)'!G33/12</f>
        <v>20.25</v>
      </c>
      <c r="G33" t="s">
        <v>1162</v>
      </c>
    </row>
    <row r="34" spans="1:12" x14ac:dyDescent="0.2">
      <c r="A34" s="14">
        <f t="shared" si="7"/>
        <v>24</v>
      </c>
      <c r="B34" t="s">
        <v>719</v>
      </c>
      <c r="C34" s="5">
        <f t="shared" si="6"/>
        <v>478.16666666666669</v>
      </c>
      <c r="D34" s="107">
        <f>+'SRC-4 (S.D. Customers)'!E34/12</f>
        <v>112.66666666666667</v>
      </c>
      <c r="E34" s="107">
        <f>+'SRC-4 (S.D. Customers)'!F34/12</f>
        <v>365.5</v>
      </c>
      <c r="F34" s="107">
        <f>+'SRC-4 (S.D. Customers)'!G34/12</f>
        <v>0</v>
      </c>
      <c r="G34" t="s">
        <v>1162</v>
      </c>
    </row>
    <row r="35" spans="1:12" x14ac:dyDescent="0.2">
      <c r="A35" s="14">
        <f t="shared" si="7"/>
        <v>25</v>
      </c>
      <c r="B35" t="s">
        <v>446</v>
      </c>
      <c r="C35" s="5">
        <f>SUM(D35:F35)</f>
        <v>163799994</v>
      </c>
      <c r="D35" s="107">
        <f>+'SRC-1 (S.D. Sales)'!H38</f>
        <v>86052211.431993276</v>
      </c>
      <c r="E35" s="107">
        <f>+'SRC-1 (S.D. Sales)'!I38</f>
        <v>47817296.341854148</v>
      </c>
      <c r="F35" s="107">
        <f>+'SRC-1 (S.D. Sales)'!J38</f>
        <v>29930486.22615258</v>
      </c>
      <c r="G35" t="s">
        <v>1134</v>
      </c>
      <c r="L35" s="160"/>
    </row>
    <row r="36" spans="1:12" x14ac:dyDescent="0.2">
      <c r="A36" s="14">
        <f t="shared" si="7"/>
        <v>26</v>
      </c>
      <c r="B36" t="s">
        <v>447</v>
      </c>
      <c r="C36" s="5">
        <f t="shared" ref="C36:C37" si="8">SUM(D36:F36)</f>
        <v>111174752</v>
      </c>
      <c r="D36" s="107">
        <f>+'SRC-1 (S.D. Sales)'!H39</f>
        <v>85546136.675988033</v>
      </c>
      <c r="E36" s="107">
        <f>+'SRC-1 (S.D. Sales)'!I39</f>
        <v>24729388.318746869</v>
      </c>
      <c r="F36" s="107">
        <f>+'SRC-1 (S.D. Sales)'!J39</f>
        <v>899227.00526510284</v>
      </c>
      <c r="G36" t="s">
        <v>1135</v>
      </c>
      <c r="L36" s="160"/>
    </row>
    <row r="37" spans="1:12" x14ac:dyDescent="0.2">
      <c r="A37" s="14">
        <f t="shared" si="7"/>
        <v>27</v>
      </c>
      <c r="B37" t="s">
        <v>448</v>
      </c>
      <c r="C37" s="5">
        <f t="shared" si="8"/>
        <v>52625242</v>
      </c>
      <c r="D37" s="107">
        <f>+'SRC-1 (S.D. Sales)'!H40</f>
        <v>506074.75600523944</v>
      </c>
      <c r="E37" s="107">
        <f>+'SRC-1 (S.D. Sales)'!I40</f>
        <v>23087908.023107283</v>
      </c>
      <c r="F37" s="107">
        <f>+'SRC-1 (S.D. Sales)'!J40</f>
        <v>29031259.220887478</v>
      </c>
      <c r="G37" t="s">
        <v>772</v>
      </c>
    </row>
    <row r="38" spans="1:12" x14ac:dyDescent="0.2">
      <c r="A38" s="14">
        <f t="shared" si="7"/>
        <v>28</v>
      </c>
      <c r="B38" t="s">
        <v>269</v>
      </c>
      <c r="C38" s="118">
        <f>SUM(C10:C14)/C31/12</f>
        <v>19.253375541789811</v>
      </c>
      <c r="D38" s="118">
        <f>SUM(D10:D14)/D31/12</f>
        <v>17.764885735774243</v>
      </c>
      <c r="E38" s="118">
        <f>SUM(E10:E14)/E31/12</f>
        <v>96.907331507782843</v>
      </c>
      <c r="F38" s="118">
        <f>SUM(F10:F14)/F31/12</f>
        <v>724.30655185132412</v>
      </c>
      <c r="G38" t="s">
        <v>773</v>
      </c>
    </row>
    <row r="39" spans="1:12" x14ac:dyDescent="0.2">
      <c r="A39" s="14">
        <f t="shared" si="7"/>
        <v>29</v>
      </c>
      <c r="B39" t="s">
        <v>775</v>
      </c>
      <c r="C39" s="118">
        <f>C15/C33/12</f>
        <v>68.863187978913842</v>
      </c>
      <c r="D39" s="184" t="str">
        <f>IF(D33=0,"n/a",D15/D33/12)</f>
        <v>n/a</v>
      </c>
      <c r="E39" s="118">
        <f>E15/E33/12</f>
        <v>68.863187978913842</v>
      </c>
      <c r="F39" s="118">
        <f>F15/F33/12</f>
        <v>68.863187978913842</v>
      </c>
      <c r="G39" t="s">
        <v>776</v>
      </c>
    </row>
    <row r="40" spans="1:12" x14ac:dyDescent="0.2">
      <c r="A40" s="14">
        <f t="shared" si="7"/>
        <v>30</v>
      </c>
      <c r="B40" t="s">
        <v>774</v>
      </c>
      <c r="C40" s="118">
        <f>C16/C34/12</f>
        <v>22.954395992971282</v>
      </c>
      <c r="D40" s="118">
        <f>D16/D34/12</f>
        <v>22.954395992971282</v>
      </c>
      <c r="E40" s="118">
        <f>E16/E34/12</f>
        <v>22.954395992971282</v>
      </c>
      <c r="F40" s="184" t="s">
        <v>1045</v>
      </c>
      <c r="G40" t="s">
        <v>1121</v>
      </c>
    </row>
    <row r="41" spans="1:12" x14ac:dyDescent="0.2">
      <c r="A41" s="14">
        <f t="shared" si="7"/>
        <v>31</v>
      </c>
      <c r="B41" t="s">
        <v>427</v>
      </c>
      <c r="C41" s="140">
        <f>(SUM(C7:C9)+C17)/C35</f>
        <v>0.13136608464387636</v>
      </c>
      <c r="D41" s="140">
        <f>(SUM(D7:D9)+D17)/D35</f>
        <v>0.15574313512109964</v>
      </c>
      <c r="E41" s="140">
        <f>(SUM(E7:E9)+E17)/E35</f>
        <v>0.12233545348221557</v>
      </c>
      <c r="F41" s="140">
        <f>(SUM(F7:F9)+F17)/F35</f>
        <v>7.5707826279611479E-2</v>
      </c>
      <c r="G41" t="s">
        <v>777</v>
      </c>
    </row>
    <row r="42" spans="1:12" x14ac:dyDescent="0.2">
      <c r="A42" s="14">
        <f t="shared" si="7"/>
        <v>32</v>
      </c>
      <c r="B42" t="s">
        <v>428</v>
      </c>
      <c r="C42" s="140">
        <f>C23/C35</f>
        <v>0.29397480839578927</v>
      </c>
      <c r="D42" s="140">
        <f>D23/D35</f>
        <v>0.43381249081984002</v>
      </c>
      <c r="E42" s="140">
        <f>E23/E35</f>
        <v>0.17447648300298246</v>
      </c>
      <c r="F42" s="140">
        <f>F23/F35</f>
        <v>8.2843758645933713E-2</v>
      </c>
      <c r="G42" t="s">
        <v>778</v>
      </c>
    </row>
    <row r="43" spans="1:12" x14ac:dyDescent="0.2">
      <c r="A43" s="14"/>
      <c r="D43" s="141"/>
      <c r="E43" s="141"/>
      <c r="F43" s="141"/>
      <c r="G43" s="160"/>
    </row>
    <row r="44" spans="1:12" ht="18" x14ac:dyDescent="0.25">
      <c r="A44" s="39" t="s">
        <v>202</v>
      </c>
      <c r="C44" s="142"/>
      <c r="G44" s="160"/>
    </row>
    <row r="45" spans="1:12" x14ac:dyDescent="0.2">
      <c r="G45" s="160"/>
    </row>
    <row r="46" spans="1:12" x14ac:dyDescent="0.2">
      <c r="A46" s="14">
        <f>A42+1</f>
        <v>33</v>
      </c>
      <c r="B46" t="s">
        <v>422</v>
      </c>
      <c r="C46" s="290">
        <f t="shared" ref="C46:C53" si="9">SUM(D46:F46)</f>
        <v>1</v>
      </c>
      <c r="D46" s="143">
        <f>'ALO-1 (Design Day Peak)'!G37</f>
        <v>0.79565751597941892</v>
      </c>
      <c r="E46" s="143">
        <f>'ALO-1 (Design Day Peak)'!H37</f>
        <v>0.19992929442595853</v>
      </c>
      <c r="F46" s="143">
        <f>'ALO-1 (Design Day Peak)'!I37</f>
        <v>4.4131895946226251E-3</v>
      </c>
      <c r="G46" t="s">
        <v>587</v>
      </c>
    </row>
    <row r="47" spans="1:12" x14ac:dyDescent="0.2">
      <c r="A47" s="14">
        <f t="shared" ref="A47:A56" si="10">A46+1</f>
        <v>34</v>
      </c>
      <c r="B47" t="s">
        <v>423</v>
      </c>
      <c r="C47" s="290">
        <f t="shared" si="9"/>
        <v>1</v>
      </c>
      <c r="D47" s="143">
        <f>D35/$C35</f>
        <v>0.52534929538515907</v>
      </c>
      <c r="E47" s="143">
        <f t="shared" ref="E47:F47" si="11">E35/$C35</f>
        <v>0.29192489678512534</v>
      </c>
      <c r="F47" s="143">
        <f t="shared" si="11"/>
        <v>0.18272580782971568</v>
      </c>
      <c r="G47" s="474" t="s">
        <v>779</v>
      </c>
    </row>
    <row r="48" spans="1:12" x14ac:dyDescent="0.2">
      <c r="A48" s="14">
        <f t="shared" si="10"/>
        <v>35</v>
      </c>
      <c r="B48" t="s">
        <v>424</v>
      </c>
      <c r="C48" s="290">
        <f t="shared" si="9"/>
        <v>1</v>
      </c>
      <c r="D48" s="143">
        <f>'ALO-1 (Design Day Peak)'!C37</f>
        <v>0.63675615021825516</v>
      </c>
      <c r="E48" s="143">
        <f>'ALO-1 (Design Day Peak)'!D37</f>
        <v>0.27223873627919182</v>
      </c>
      <c r="F48" s="143">
        <f>'ALO-1 (Design Day Peak)'!E37</f>
        <v>9.1005113502553039E-2</v>
      </c>
      <c r="G48" t="s">
        <v>588</v>
      </c>
    </row>
    <row r="49" spans="1:12" x14ac:dyDescent="0.2">
      <c r="A49" s="14">
        <f t="shared" si="10"/>
        <v>36</v>
      </c>
      <c r="B49" s="4" t="s">
        <v>268</v>
      </c>
      <c r="C49" s="290">
        <f t="shared" si="9"/>
        <v>0.99999999999999989</v>
      </c>
      <c r="D49" s="143">
        <f>D68/$C68</f>
        <v>0.94377538940501071</v>
      </c>
      <c r="E49" s="143">
        <f t="shared" ref="E49:F49" si="12">E68/$C68</f>
        <v>5.3916529941074015E-2</v>
      </c>
      <c r="F49" s="143">
        <f t="shared" si="12"/>
        <v>2.3080806539152406E-3</v>
      </c>
      <c r="G49" s="474" t="s">
        <v>780</v>
      </c>
    </row>
    <row r="50" spans="1:12" x14ac:dyDescent="0.2">
      <c r="A50" s="14">
        <f t="shared" si="10"/>
        <v>37</v>
      </c>
      <c r="B50" s="4" t="s">
        <v>267</v>
      </c>
      <c r="C50" s="290">
        <f t="shared" si="9"/>
        <v>0.99999999999999978</v>
      </c>
      <c r="D50" s="143">
        <f>D69/$C69</f>
        <v>0.85010042114395601</v>
      </c>
      <c r="E50" s="143">
        <f t="shared" ref="E50:F50" si="13">E69/$C69</f>
        <v>0.14442749418153855</v>
      </c>
      <c r="F50" s="143">
        <f t="shared" si="13"/>
        <v>5.4720846745052298E-3</v>
      </c>
      <c r="G50" s="474" t="s">
        <v>781</v>
      </c>
    </row>
    <row r="51" spans="1:12" x14ac:dyDescent="0.2">
      <c r="A51" s="14">
        <f t="shared" si="10"/>
        <v>38</v>
      </c>
      <c r="B51" t="s">
        <v>425</v>
      </c>
      <c r="C51" s="290">
        <f t="shared" si="9"/>
        <v>1</v>
      </c>
      <c r="D51" s="143">
        <f t="shared" ref="D51:E51" si="14">D70/$C70</f>
        <v>0.89721283201217794</v>
      </c>
      <c r="E51" s="143">
        <f t="shared" si="14"/>
        <v>0.10115495816423561</v>
      </c>
      <c r="F51" s="143">
        <f>F70/$C70</f>
        <v>1.6322098235864739E-3</v>
      </c>
      <c r="G51" s="474" t="s">
        <v>782</v>
      </c>
    </row>
    <row r="52" spans="1:12" x14ac:dyDescent="0.2">
      <c r="A52" s="14">
        <f t="shared" si="10"/>
        <v>39</v>
      </c>
      <c r="B52" t="s">
        <v>426</v>
      </c>
      <c r="C52" s="290">
        <f t="shared" si="9"/>
        <v>1</v>
      </c>
      <c r="D52" s="143">
        <f>D71/$C71</f>
        <v>0.48176583493282149</v>
      </c>
      <c r="E52" s="143">
        <f t="shared" ref="E52:F52" si="15">E71/$C71</f>
        <v>0.51823416506717845</v>
      </c>
      <c r="F52" s="143">
        <f t="shared" si="15"/>
        <v>0</v>
      </c>
      <c r="G52" s="474" t="s">
        <v>783</v>
      </c>
    </row>
    <row r="53" spans="1:12" x14ac:dyDescent="0.2">
      <c r="A53" s="14">
        <f t="shared" si="10"/>
        <v>40</v>
      </c>
      <c r="B53" s="4" t="s">
        <v>266</v>
      </c>
      <c r="C53" s="290">
        <f t="shared" si="9"/>
        <v>1</v>
      </c>
      <c r="D53" s="143">
        <f t="shared" ref="D53:F55" si="16">D72/$C72</f>
        <v>0.90047417333217783</v>
      </c>
      <c r="E53" s="143">
        <f>E72/$C72</f>
        <v>7.4791520626826979E-2</v>
      </c>
      <c r="F53" s="143">
        <f t="shared" si="16"/>
        <v>2.4734306040995212E-2</v>
      </c>
      <c r="G53" s="474" t="s">
        <v>784</v>
      </c>
    </row>
    <row r="54" spans="1:12" x14ac:dyDescent="0.2">
      <c r="A54" s="14">
        <f t="shared" si="10"/>
        <v>41</v>
      </c>
      <c r="B54" t="s">
        <v>721</v>
      </c>
      <c r="C54" s="290">
        <f t="shared" ref="C54:C56" si="17">SUM(D54:F54)</f>
        <v>1</v>
      </c>
      <c r="D54" s="143">
        <f>D73/$C73</f>
        <v>0</v>
      </c>
      <c r="E54" s="143">
        <f t="shared" si="16"/>
        <v>0.80355699272433312</v>
      </c>
      <c r="F54" s="143">
        <f t="shared" si="16"/>
        <v>0.19644300727566694</v>
      </c>
      <c r="G54" s="474" t="s">
        <v>785</v>
      </c>
    </row>
    <row r="55" spans="1:12" x14ac:dyDescent="0.2">
      <c r="A55" s="14">
        <f t="shared" si="10"/>
        <v>42</v>
      </c>
      <c r="B55" t="s">
        <v>722</v>
      </c>
      <c r="C55" s="290">
        <f t="shared" si="17"/>
        <v>1</v>
      </c>
      <c r="D55" s="143">
        <f>D74/$C74</f>
        <v>0.23562216800278843</v>
      </c>
      <c r="E55" s="143">
        <f t="shared" si="16"/>
        <v>0.76437783199721154</v>
      </c>
      <c r="F55" s="143">
        <f t="shared" si="16"/>
        <v>0</v>
      </c>
      <c r="G55" s="474" t="s">
        <v>786</v>
      </c>
    </row>
    <row r="56" spans="1:12" x14ac:dyDescent="0.2">
      <c r="A56" s="14">
        <f t="shared" si="10"/>
        <v>43</v>
      </c>
      <c r="B56" t="s">
        <v>429</v>
      </c>
      <c r="C56" s="290">
        <f t="shared" si="17"/>
        <v>1</v>
      </c>
      <c r="D56" s="143">
        <f>D36/$C36</f>
        <v>0.76947449971364035</v>
      </c>
      <c r="E56" s="143">
        <f t="shared" ref="E56:F56" si="18">E36/$C36</f>
        <v>0.22243709002154435</v>
      </c>
      <c r="F56" s="143">
        <f t="shared" si="18"/>
        <v>8.0884102648153683E-3</v>
      </c>
      <c r="G56" s="474" t="s">
        <v>787</v>
      </c>
    </row>
    <row r="57" spans="1:12" x14ac:dyDescent="0.2">
      <c r="A57" s="14"/>
    </row>
    <row r="58" spans="1:12" ht="18" x14ac:dyDescent="0.25">
      <c r="A58" s="39" t="s">
        <v>265</v>
      </c>
    </row>
    <row r="59" spans="1:12" x14ac:dyDescent="0.2">
      <c r="A59" s="14"/>
    </row>
    <row r="60" spans="1:12" x14ac:dyDescent="0.2">
      <c r="A60" s="14">
        <f>A56+1</f>
        <v>44</v>
      </c>
      <c r="B60" s="4" t="s">
        <v>264</v>
      </c>
      <c r="D60" s="170">
        <v>1</v>
      </c>
      <c r="E60" s="170">
        <f>'RD-4 (MTR)'!D216</f>
        <v>3.2743817729049938</v>
      </c>
      <c r="F60" s="170">
        <f>'RD-4 (MTR)'!D217</f>
        <v>12.901234544171484</v>
      </c>
      <c r="G60" s="14" t="s">
        <v>263</v>
      </c>
      <c r="L60" s="160"/>
    </row>
    <row r="61" spans="1:12" x14ac:dyDescent="0.2">
      <c r="A61" s="14">
        <f>A60+1</f>
        <v>45</v>
      </c>
      <c r="B61" s="4" t="s">
        <v>262</v>
      </c>
      <c r="D61" s="170">
        <v>1</v>
      </c>
      <c r="E61" s="170">
        <f>'RD-4 (MTR)'!F203</f>
        <v>9.7376839305040637</v>
      </c>
      <c r="F61" s="170">
        <f>'RD-4 (MTR)'!F204</f>
        <v>33.957172106711404</v>
      </c>
      <c r="G61" s="14" t="s">
        <v>261</v>
      </c>
      <c r="L61" s="160"/>
    </row>
    <row r="62" spans="1:12" x14ac:dyDescent="0.2">
      <c r="A62" s="14">
        <f t="shared" ref="A62:A66" si="19">A61+1</f>
        <v>46</v>
      </c>
      <c r="B62" t="s">
        <v>430</v>
      </c>
      <c r="D62" s="170">
        <v>1</v>
      </c>
      <c r="E62" s="170">
        <f>'RD-4 (MTR)'!D210</f>
        <v>6.4620115139497498</v>
      </c>
      <c r="F62" s="170">
        <f>'RD-4 (MTR)'!D211</f>
        <v>9.5968664063583766</v>
      </c>
      <c r="G62" s="14" t="s">
        <v>442</v>
      </c>
      <c r="L62" s="160"/>
    </row>
    <row r="63" spans="1:12" x14ac:dyDescent="0.2">
      <c r="A63" s="14">
        <f t="shared" si="19"/>
        <v>47</v>
      </c>
      <c r="B63" t="s">
        <v>431</v>
      </c>
      <c r="D63" s="170">
        <v>1</v>
      </c>
      <c r="E63" s="170">
        <v>1</v>
      </c>
      <c r="F63" s="170">
        <v>1</v>
      </c>
      <c r="G63" s="14"/>
    </row>
    <row r="64" spans="1:12" x14ac:dyDescent="0.2">
      <c r="A64" s="14">
        <f t="shared" si="19"/>
        <v>48</v>
      </c>
      <c r="B64" s="4" t="s">
        <v>260</v>
      </c>
      <c r="D64" s="170">
        <v>1</v>
      </c>
      <c r="E64" s="170">
        <v>4.7605500000000003</v>
      </c>
      <c r="F64" s="170">
        <v>144.90300999999999</v>
      </c>
      <c r="G64" s="14" t="s">
        <v>1196</v>
      </c>
      <c r="L64" s="160"/>
    </row>
    <row r="65" spans="1:12" x14ac:dyDescent="0.2">
      <c r="A65" s="14">
        <f t="shared" si="19"/>
        <v>49</v>
      </c>
      <c r="B65" t="s">
        <v>733</v>
      </c>
      <c r="D65" s="170">
        <v>3</v>
      </c>
      <c r="E65" s="170">
        <f>+D65</f>
        <v>3</v>
      </c>
      <c r="F65" s="170">
        <f>+D65</f>
        <v>3</v>
      </c>
      <c r="G65" s="234" t="s">
        <v>911</v>
      </c>
      <c r="H65" s="4"/>
      <c r="L65" s="160"/>
    </row>
    <row r="66" spans="1:12" x14ac:dyDescent="0.2">
      <c r="A66" s="14">
        <f t="shared" si="19"/>
        <v>50</v>
      </c>
      <c r="B66" t="s">
        <v>732</v>
      </c>
      <c r="D66" s="170">
        <v>1</v>
      </c>
      <c r="E66" s="170">
        <v>1</v>
      </c>
      <c r="F66" s="170">
        <v>1</v>
      </c>
      <c r="G66" s="14" t="s">
        <v>259</v>
      </c>
      <c r="L66" s="160"/>
    </row>
    <row r="67" spans="1:12" x14ac:dyDescent="0.2">
      <c r="A67" s="14"/>
    </row>
    <row r="68" spans="1:12" x14ac:dyDescent="0.2">
      <c r="A68" s="14">
        <f>A66+1</f>
        <v>51</v>
      </c>
      <c r="B68" s="4" t="s">
        <v>258</v>
      </c>
      <c r="C68" s="5">
        <f>SUM(D68:F68)</f>
        <v>118778.87958490365</v>
      </c>
      <c r="D68" s="107">
        <f>D$31*D60</f>
        <v>112100.58333333333</v>
      </c>
      <c r="E68" s="107">
        <f>E$31*E60</f>
        <v>6404.145017506683</v>
      </c>
      <c r="F68" s="107">
        <f>F$31*F60</f>
        <v>274.15123406364404</v>
      </c>
      <c r="G68" s="14" t="s">
        <v>788</v>
      </c>
    </row>
    <row r="69" spans="1:12" x14ac:dyDescent="0.2">
      <c r="A69" s="14">
        <f>A68+1</f>
        <v>52</v>
      </c>
      <c r="B69" s="4" t="s">
        <v>257</v>
      </c>
      <c r="C69" s="5">
        <f>SUM(D69:F69)</f>
        <v>131867.46006134516</v>
      </c>
      <c r="D69" s="107">
        <f>D$31*D61</f>
        <v>112100.58333333333</v>
      </c>
      <c r="E69" s="107">
        <f t="shared" ref="E69" si="20">E$31*E61</f>
        <v>19045.286820744197</v>
      </c>
      <c r="F69" s="107">
        <f>F$31*F61</f>
        <v>721.58990726761738</v>
      </c>
      <c r="G69" s="14" t="s">
        <v>789</v>
      </c>
    </row>
    <row r="70" spans="1:12" x14ac:dyDescent="0.2">
      <c r="A70" s="14">
        <f t="shared" ref="A70:A73" si="21">A69+1</f>
        <v>53</v>
      </c>
      <c r="B70" t="s">
        <v>432</v>
      </c>
      <c r="C70" s="5">
        <f t="shared" ref="C70:C73" si="22">SUM(D70:F70)</f>
        <v>124943.13426383516</v>
      </c>
      <c r="D70" s="107">
        <f>D$31*D62</f>
        <v>112100.58333333333</v>
      </c>
      <c r="E70" s="107">
        <f t="shared" ref="E70" si="23">E$31*E62</f>
        <v>12638.617519366719</v>
      </c>
      <c r="F70" s="107">
        <f>F$31*F62</f>
        <v>203.93341113511551</v>
      </c>
      <c r="G70" s="14" t="s">
        <v>790</v>
      </c>
    </row>
    <row r="71" spans="1:12" x14ac:dyDescent="0.2">
      <c r="A71" s="14">
        <f t="shared" si="21"/>
        <v>54</v>
      </c>
      <c r="B71" t="s">
        <v>433</v>
      </c>
      <c r="C71" s="5">
        <f t="shared" si="22"/>
        <v>43.416666666666671</v>
      </c>
      <c r="D71" s="107">
        <f>D$32*D63</f>
        <v>20.916666666666668</v>
      </c>
      <c r="E71" s="107">
        <f>E$32*E63</f>
        <v>22.5</v>
      </c>
      <c r="F71" s="107">
        <f>F$32*F63</f>
        <v>0</v>
      </c>
      <c r="G71" s="14" t="s">
        <v>1120</v>
      </c>
    </row>
    <row r="72" spans="1:12" x14ac:dyDescent="0.2">
      <c r="A72" s="14">
        <f t="shared" si="21"/>
        <v>55</v>
      </c>
      <c r="B72" s="4" t="s">
        <v>256</v>
      </c>
      <c r="C72" s="5">
        <f t="shared" si="22"/>
        <v>124490.61467083333</v>
      </c>
      <c r="D72" s="107">
        <f>D$31*D64</f>
        <v>112100.58333333333</v>
      </c>
      <c r="E72" s="107">
        <f t="shared" ref="E72" si="24">E$31*E64</f>
        <v>9310.8423750000002</v>
      </c>
      <c r="F72" s="107">
        <f>F$31*F64</f>
        <v>3079.1889624999999</v>
      </c>
      <c r="G72" s="14" t="s">
        <v>791</v>
      </c>
    </row>
    <row r="73" spans="1:12" x14ac:dyDescent="0.2">
      <c r="A73" s="14">
        <f t="shared" si="21"/>
        <v>56</v>
      </c>
      <c r="B73" t="s">
        <v>717</v>
      </c>
      <c r="C73" s="5">
        <f t="shared" si="22"/>
        <v>309.25</v>
      </c>
      <c r="D73" s="107">
        <f>D65*D33</f>
        <v>0</v>
      </c>
      <c r="E73" s="107">
        <f t="shared" ref="E73:F73" si="25">E65*E33</f>
        <v>248.5</v>
      </c>
      <c r="F73" s="107">
        <f t="shared" si="25"/>
        <v>60.75</v>
      </c>
      <c r="G73" s="14" t="s">
        <v>792</v>
      </c>
    </row>
    <row r="74" spans="1:12" x14ac:dyDescent="0.2">
      <c r="A74" s="14">
        <f t="shared" ref="A74" si="26">A73+1</f>
        <v>57</v>
      </c>
      <c r="B74" t="s">
        <v>720</v>
      </c>
      <c r="C74" s="5">
        <f t="shared" ref="C74" si="27">SUM(D74:F74)</f>
        <v>478.16666666666669</v>
      </c>
      <c r="D74" s="107">
        <f>D66*D34</f>
        <v>112.66666666666667</v>
      </c>
      <c r="E74" s="107">
        <f>E66*E34</f>
        <v>365.5</v>
      </c>
      <c r="F74" s="107">
        <f t="shared" ref="F74" si="28">F66*F34</f>
        <v>0</v>
      </c>
      <c r="G74" s="14" t="s">
        <v>793</v>
      </c>
    </row>
  </sheetData>
  <phoneticPr fontId="21" type="noConversion"/>
  <pageMargins left="0.7" right="0.7" top="1.6166666666666667" bottom="0.75" header="0.3" footer="0.3"/>
  <pageSetup scale="80" fitToWidth="3" fitToHeight="3" pageOrder="overThenDown" orientation="landscape" useFirstPageNumber="1" r:id="rId1"/>
  <headerFooter alignWithMargins="0">
    <oddHeader>&amp;CRULE 20:10:13:98
STATEMENT O WORKPAPER - Tab &amp;A
Class Cost of Service Results
Test Year Ending December 31, 2025
Utility: MidAmerican Energy Company
Docket No. NG26-___
Individual Responsible: Stephen Stratton&amp;RPage &amp;P of &amp;N</oddHeader>
  </headerFooter>
  <colBreaks count="1" manualBreakCount="1">
    <brk id="6" max="1048575" man="1"/>
  </colBreaks>
  <ignoredErrors>
    <ignoredError sqref="D71:F71 D39"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9137C-5654-436D-ABF1-147E3F2D9809}">
  <sheetPr codeName="Sheet8"/>
  <dimension ref="A1:Q67"/>
  <sheetViews>
    <sheetView view="pageLayout" topLeftCell="A63" zoomScaleNormal="90" workbookViewId="0"/>
  </sheetViews>
  <sheetFormatPr defaultColWidth="9.140625" defaultRowHeight="12.75" x14ac:dyDescent="0.2"/>
  <cols>
    <col min="1" max="1" width="6.85546875" style="66" customWidth="1"/>
    <col min="2" max="2" width="11.42578125" style="66" bestFit="1" customWidth="1"/>
    <col min="3" max="3" width="9" style="66" bestFit="1" customWidth="1"/>
    <col min="4" max="4" width="25.5703125" style="66" customWidth="1"/>
    <col min="5" max="5" width="11.42578125" style="66" bestFit="1" customWidth="1"/>
    <col min="6" max="6" width="12" style="83" customWidth="1"/>
    <col min="7" max="7" width="7.28515625" style="83" customWidth="1"/>
    <col min="8" max="8" width="13.7109375" style="66" customWidth="1"/>
    <col min="9" max="9" width="14.7109375" style="66" customWidth="1"/>
    <col min="10" max="10" width="15.42578125" style="66" customWidth="1"/>
    <col min="11" max="11" width="21" style="66" customWidth="1"/>
    <col min="12" max="12" width="12.7109375" style="66" customWidth="1"/>
    <col min="13" max="13" width="9.85546875" style="66" customWidth="1"/>
    <col min="14" max="14" width="14.85546875" style="66" customWidth="1"/>
    <col min="15" max="15" width="11.28515625" style="66" bestFit="1" customWidth="1"/>
    <col min="16" max="16" width="9.140625" style="66"/>
    <col min="17" max="17" width="10.28515625" style="66" bestFit="1" customWidth="1"/>
    <col min="18" max="16384" width="9.140625" style="66"/>
  </cols>
  <sheetData>
    <row r="1" spans="1:17" x14ac:dyDescent="0.2">
      <c r="A1" s="291" t="s">
        <v>284</v>
      </c>
      <c r="B1" s="291"/>
      <c r="H1" s="292"/>
    </row>
    <row r="2" spans="1:17" x14ac:dyDescent="0.2">
      <c r="A2" s="291" t="s">
        <v>653</v>
      </c>
      <c r="B2" s="291"/>
    </row>
    <row r="3" spans="1:17" x14ac:dyDescent="0.2">
      <c r="A3" s="291" t="s">
        <v>917</v>
      </c>
      <c r="B3" s="291"/>
    </row>
    <row r="4" spans="1:17" x14ac:dyDescent="0.2">
      <c r="D4" s="68"/>
      <c r="E4" s="68"/>
      <c r="H4" s="68"/>
      <c r="N4" s="489" t="s">
        <v>1083</v>
      </c>
    </row>
    <row r="5" spans="1:17" x14ac:dyDescent="0.2">
      <c r="F5" s="293" t="s">
        <v>249</v>
      </c>
      <c r="G5" s="293"/>
      <c r="H5" s="293" t="s">
        <v>177</v>
      </c>
      <c r="I5" s="294" t="s">
        <v>283</v>
      </c>
      <c r="J5" s="294" t="s">
        <v>450</v>
      </c>
      <c r="K5" s="294" t="s">
        <v>370</v>
      </c>
      <c r="L5" s="294" t="s">
        <v>282</v>
      </c>
      <c r="N5" s="489"/>
    </row>
    <row r="6" spans="1:17" x14ac:dyDescent="0.2">
      <c r="A6" s="295" t="s">
        <v>24</v>
      </c>
      <c r="B6" s="159" t="s">
        <v>918</v>
      </c>
      <c r="C6" s="296" t="s">
        <v>919</v>
      </c>
      <c r="D6" s="296" t="s">
        <v>920</v>
      </c>
      <c r="E6" s="296" t="s">
        <v>44</v>
      </c>
      <c r="F6" s="296" t="s">
        <v>192</v>
      </c>
      <c r="G6" s="296" t="s">
        <v>175</v>
      </c>
      <c r="H6" s="297" t="s">
        <v>444</v>
      </c>
      <c r="I6" s="296" t="s">
        <v>280</v>
      </c>
      <c r="J6" s="296" t="s">
        <v>280</v>
      </c>
      <c r="K6" s="296" t="s">
        <v>371</v>
      </c>
      <c r="L6" s="296" t="s">
        <v>177</v>
      </c>
      <c r="N6" s="490"/>
    </row>
    <row r="7" spans="1:17" x14ac:dyDescent="0.2">
      <c r="B7" s="83" t="s">
        <v>26</v>
      </c>
      <c r="C7" s="83" t="s">
        <v>27</v>
      </c>
      <c r="D7" s="83" t="s">
        <v>28</v>
      </c>
      <c r="E7" s="83" t="s">
        <v>29</v>
      </c>
      <c r="F7" s="83" t="s">
        <v>36</v>
      </c>
      <c r="G7" s="83" t="s">
        <v>30</v>
      </c>
      <c r="H7" s="83" t="s">
        <v>31</v>
      </c>
      <c r="I7" s="83" t="s">
        <v>32</v>
      </c>
      <c r="J7" s="83" t="s">
        <v>33</v>
      </c>
      <c r="K7" s="83" t="s">
        <v>34</v>
      </c>
      <c r="L7" s="83" t="s">
        <v>35</v>
      </c>
      <c r="N7" s="83" t="s">
        <v>157</v>
      </c>
    </row>
    <row r="8" spans="1:17" x14ac:dyDescent="0.2">
      <c r="B8" s="291"/>
      <c r="L8" s="68"/>
    </row>
    <row r="9" spans="1:17" x14ac:dyDescent="0.2">
      <c r="A9" s="71">
        <v>1</v>
      </c>
      <c r="B9" s="299" t="s">
        <v>921</v>
      </c>
      <c r="C9" s="299" t="s">
        <v>922</v>
      </c>
      <c r="D9" s="300" t="s">
        <v>923</v>
      </c>
      <c r="E9" s="4" t="s">
        <v>924</v>
      </c>
      <c r="F9" s="4" t="s">
        <v>434</v>
      </c>
      <c r="G9" s="190">
        <v>3</v>
      </c>
      <c r="H9" s="68">
        <v>898872</v>
      </c>
      <c r="I9" s="68">
        <f t="shared" ref="I9:I14" si="0">N9/SUM($N$9:$N$14)*$H$15</f>
        <v>355.00526510283663</v>
      </c>
      <c r="J9" s="68"/>
      <c r="K9" s="209"/>
      <c r="L9" s="68">
        <f t="shared" ref="L9:L28" si="1">SUM(H9:K9)</f>
        <v>899227.00526510284</v>
      </c>
      <c r="N9" s="68">
        <f>-(SUMIFS('SRC5 (Monthly Sales)'!$I$4:$I$23,'SRC5 (Monthly Sales)'!$E$4:$E$23,'SRC-1 (S.D. Sales)'!F9,'SRC5 (Monthly Sales)'!$D$4:$D$23,'SRC-1 (S.D. Sales)'!D9)+SUMIFS('SRC5 (Monthly Sales)'!$T$4:$T$23,'SRC5 (Monthly Sales)'!$E$4:$E$23,'SRC-1 (S.D. Sales)'!F9,'SRC5 (Monthly Sales)'!$D$4:$D$23,'SRC-1 (S.D. Sales)'!D9))</f>
        <v>197353</v>
      </c>
      <c r="O9" s="301"/>
    </row>
    <row r="10" spans="1:17" x14ac:dyDescent="0.2">
      <c r="A10" s="71">
        <f t="shared" ref="A10:A28" si="2">A9+1</f>
        <v>2</v>
      </c>
      <c r="B10" s="299" t="s">
        <v>921</v>
      </c>
      <c r="C10" s="299" t="s">
        <v>922</v>
      </c>
      <c r="D10" s="299" t="s">
        <v>923</v>
      </c>
      <c r="E10" s="4" t="s">
        <v>924</v>
      </c>
      <c r="F10" s="4" t="s">
        <v>666</v>
      </c>
      <c r="G10" s="190">
        <v>2</v>
      </c>
      <c r="H10" s="68">
        <v>23344419</v>
      </c>
      <c r="I10" s="68">
        <f t="shared" si="0"/>
        <v>14386.46726180067</v>
      </c>
      <c r="J10" s="68"/>
      <c r="K10" s="209">
        <v>456139</v>
      </c>
      <c r="L10" s="68">
        <f t="shared" si="1"/>
        <v>23814944.467261802</v>
      </c>
      <c r="N10" s="68">
        <f>-(SUMIFS('SRC5 (Monthly Sales)'!$I$4:$I$23,'SRC5 (Monthly Sales)'!$E$4:$E$23,'SRC-1 (S.D. Sales)'!F10,'SRC5 (Monthly Sales)'!$D$4:$D$23,'SRC-1 (S.D. Sales)'!D10)+SUMIFS('SRC5 (Monthly Sales)'!$T$4:$T$23,'SRC5 (Monthly Sales)'!$E$4:$E$23,'SRC-1 (S.D. Sales)'!F10,'SRC5 (Monthly Sales)'!$D$4:$D$23,'SRC-1 (S.D. Sales)'!D10))</f>
        <v>7997663</v>
      </c>
      <c r="O10" s="68"/>
      <c r="Q10" s="302"/>
    </row>
    <row r="11" spans="1:17" x14ac:dyDescent="0.2">
      <c r="A11" s="71">
        <f t="shared" si="2"/>
        <v>3</v>
      </c>
      <c r="B11" s="299" t="s">
        <v>921</v>
      </c>
      <c r="C11" s="299" t="s">
        <v>922</v>
      </c>
      <c r="D11" s="300" t="s">
        <v>923</v>
      </c>
      <c r="E11" s="4" t="s">
        <v>924</v>
      </c>
      <c r="F11" s="4" t="s">
        <v>670</v>
      </c>
      <c r="G11" s="190">
        <v>1</v>
      </c>
      <c r="H11" s="68">
        <v>14637</v>
      </c>
      <c r="I11" s="68">
        <f t="shared" si="0"/>
        <v>12.12234159869886</v>
      </c>
      <c r="J11" s="68"/>
      <c r="K11" s="303"/>
      <c r="L11" s="68">
        <f t="shared" si="1"/>
        <v>14649.122341598699</v>
      </c>
      <c r="N11" s="68">
        <f>-(SUMIFS('SRC5 (Monthly Sales)'!$I$4:$I$23,'SRC5 (Monthly Sales)'!$E$4:$E$23,'SRC-1 (S.D. Sales)'!F11,'SRC5 (Monthly Sales)'!$D$4:$D$23,'SRC-1 (S.D. Sales)'!D11)+SUMIFS('SRC5 (Monthly Sales)'!$T$4:$T$23,'SRC5 (Monthly Sales)'!$E$4:$E$23,'SRC-1 (S.D. Sales)'!F11,'SRC5 (Monthly Sales)'!$D$4:$D$23,'SRC-1 (S.D. Sales)'!D11))</f>
        <v>6739</v>
      </c>
      <c r="O11" s="68"/>
      <c r="Q11" s="302"/>
    </row>
    <row r="12" spans="1:17" x14ac:dyDescent="0.2">
      <c r="A12" s="71">
        <f t="shared" si="2"/>
        <v>4</v>
      </c>
      <c r="B12" s="299" t="s">
        <v>921</v>
      </c>
      <c r="C12" s="299" t="s">
        <v>922</v>
      </c>
      <c r="D12" s="299" t="s">
        <v>923</v>
      </c>
      <c r="E12" s="4" t="s">
        <v>924</v>
      </c>
      <c r="F12" s="4" t="s">
        <v>435</v>
      </c>
      <c r="G12" s="190">
        <v>1</v>
      </c>
      <c r="H12" s="68">
        <v>232691</v>
      </c>
      <c r="I12" s="68">
        <f t="shared" si="0"/>
        <v>44.413208795351657</v>
      </c>
      <c r="J12" s="68"/>
      <c r="K12" s="209"/>
      <c r="L12" s="68">
        <f t="shared" si="1"/>
        <v>232735.41320879536</v>
      </c>
      <c r="N12" s="68">
        <f>-(SUMIFS('SRC5 (Monthly Sales)'!$I$4:$I$23,'SRC5 (Monthly Sales)'!$E$4:$E$23,'SRC-1 (S.D. Sales)'!F12,'SRC5 (Monthly Sales)'!$D$4:$D$23,'SRC-1 (S.D. Sales)'!D12)+SUMIFS('SRC5 (Monthly Sales)'!$T$4:$T$23,'SRC5 (Monthly Sales)'!$E$4:$E$23,'SRC-1 (S.D. Sales)'!F12,'SRC5 (Monthly Sales)'!$D$4:$D$23,'SRC-1 (S.D. Sales)'!D12))</f>
        <v>24690</v>
      </c>
    </row>
    <row r="13" spans="1:17" ht="15" customHeight="1" x14ac:dyDescent="0.2">
      <c r="A13" s="71">
        <f t="shared" si="2"/>
        <v>5</v>
      </c>
      <c r="B13" s="299" t="s">
        <v>921</v>
      </c>
      <c r="C13" s="299" t="s">
        <v>922</v>
      </c>
      <c r="D13" s="299" t="s">
        <v>923</v>
      </c>
      <c r="E13" s="4" t="s">
        <v>924</v>
      </c>
      <c r="F13" s="4" t="s">
        <v>436</v>
      </c>
      <c r="G13" s="190">
        <v>1</v>
      </c>
      <c r="H13" s="68">
        <v>102708</v>
      </c>
      <c r="I13" s="68">
        <f t="shared" si="0"/>
        <v>5.2382042937247482</v>
      </c>
      <c r="J13" s="68"/>
      <c r="K13" s="209"/>
      <c r="L13" s="68">
        <f t="shared" si="1"/>
        <v>102713.23820429372</v>
      </c>
      <c r="N13" s="68">
        <f>-(SUMIFS('SRC5 (Monthly Sales)'!$I$4:$I$23,'SRC5 (Monthly Sales)'!$E$4:$E$23,'SRC-1 (S.D. Sales)'!F13,'SRC5 (Monthly Sales)'!$D$4:$D$23,'SRC-1 (S.D. Sales)'!D13)+SUMIFS('SRC5 (Monthly Sales)'!$T$4:$T$23,'SRC5 (Monthly Sales)'!$E$4:$E$23,'SRC-1 (S.D. Sales)'!F13,'SRC5 (Monthly Sales)'!$D$4:$D$23,'SRC-1 (S.D. Sales)'!D13))</f>
        <v>2912</v>
      </c>
      <c r="O13" s="68"/>
    </row>
    <row r="14" spans="1:17" x14ac:dyDescent="0.2">
      <c r="A14" s="71">
        <f t="shared" si="2"/>
        <v>6</v>
      </c>
      <c r="B14" s="299" t="s">
        <v>921</v>
      </c>
      <c r="C14" s="299" t="s">
        <v>922</v>
      </c>
      <c r="D14" s="299" t="s">
        <v>923</v>
      </c>
      <c r="E14" s="4" t="s">
        <v>924</v>
      </c>
      <c r="F14" s="4" t="s">
        <v>668</v>
      </c>
      <c r="G14" s="190">
        <v>1</v>
      </c>
      <c r="H14" s="68">
        <v>18685725</v>
      </c>
      <c r="I14" s="68">
        <f t="shared" si="0"/>
        <v>12918.753718408718</v>
      </c>
      <c r="J14" s="68"/>
      <c r="K14" s="304">
        <v>897552</v>
      </c>
      <c r="L14" s="68">
        <f t="shared" si="1"/>
        <v>19596195.75371841</v>
      </c>
      <c r="N14" s="68">
        <f>-(SUMIFS('SRC5 (Monthly Sales)'!$I$4:$I$23,'SRC5 (Monthly Sales)'!$E$4:$E$23,'SRC-1 (S.D. Sales)'!F14,'SRC5 (Monthly Sales)'!$D$4:$D$23,'SRC-1 (S.D. Sales)'!D14)+SUMIFS('SRC5 (Monthly Sales)'!$T$4:$T$23,'SRC5 (Monthly Sales)'!$E$4:$E$23,'SRC-1 (S.D. Sales)'!F14,'SRC5 (Monthly Sales)'!$D$4:$D$23,'SRC-1 (S.D. Sales)'!D14))</f>
        <v>7181738</v>
      </c>
      <c r="O14" s="68"/>
    </row>
    <row r="15" spans="1:17" x14ac:dyDescent="0.2">
      <c r="A15" s="71">
        <f t="shared" si="2"/>
        <v>7</v>
      </c>
      <c r="B15" s="299" t="s">
        <v>921</v>
      </c>
      <c r="C15" s="299" t="s">
        <v>925</v>
      </c>
      <c r="D15" s="299" t="s">
        <v>926</v>
      </c>
      <c r="E15" s="4" t="s">
        <v>298</v>
      </c>
      <c r="F15" s="4" t="s">
        <v>927</v>
      </c>
      <c r="G15" s="190"/>
      <c r="H15" s="68">
        <v>27722</v>
      </c>
      <c r="I15" s="68">
        <f>-SUM(I9:I14)</f>
        <v>-27722</v>
      </c>
      <c r="K15" s="209"/>
      <c r="L15" s="68">
        <f t="shared" si="1"/>
        <v>0</v>
      </c>
      <c r="N15" s="68"/>
      <c r="O15" s="68"/>
    </row>
    <row r="16" spans="1:17" x14ac:dyDescent="0.2">
      <c r="A16" s="71">
        <f t="shared" si="2"/>
        <v>8</v>
      </c>
      <c r="B16" s="299" t="s">
        <v>921</v>
      </c>
      <c r="C16" s="299" t="s">
        <v>928</v>
      </c>
      <c r="D16" s="299" t="s">
        <v>929</v>
      </c>
      <c r="E16" s="4" t="s">
        <v>924</v>
      </c>
      <c r="F16" s="4" t="s">
        <v>665</v>
      </c>
      <c r="G16" s="190">
        <v>3</v>
      </c>
      <c r="H16" s="68">
        <v>28746925</v>
      </c>
      <c r="J16" s="68">
        <f>H16/SUM($H$16:$H$19)*$H$20</f>
        <v>284334.22088747669</v>
      </c>
      <c r="K16" s="209"/>
      <c r="L16" s="68">
        <f t="shared" si="1"/>
        <v>29031259.220887478</v>
      </c>
      <c r="N16" s="68">
        <f>-(SUMIFS('SRC5 (Monthly Sales)'!$I$4:$I$23,'SRC5 (Monthly Sales)'!$E$4:$E$23,'SRC-1 (S.D. Sales)'!F16,'SRC5 (Monthly Sales)'!$D$4:$D$23,'SRC-1 (S.D. Sales)'!D16)+SUMIFS('SRC5 (Monthly Sales)'!$T$4:$T$23,'SRC5 (Monthly Sales)'!$E$4:$E$23,'SRC-1 (S.D. Sales)'!F16,'SRC5 (Monthly Sales)'!$D$4:$D$23,'SRC-1 (S.D. Sales)'!D16))</f>
        <v>5662438</v>
      </c>
    </row>
    <row r="17" spans="1:16" x14ac:dyDescent="0.2">
      <c r="A17" s="71">
        <f t="shared" si="2"/>
        <v>9</v>
      </c>
      <c r="B17" s="299" t="s">
        <v>921</v>
      </c>
      <c r="C17" s="299" t="s">
        <v>928</v>
      </c>
      <c r="D17" s="299" t="s">
        <v>929</v>
      </c>
      <c r="E17" s="4" t="s">
        <v>924</v>
      </c>
      <c r="F17" s="4" t="s">
        <v>438</v>
      </c>
      <c r="G17" s="190">
        <v>2</v>
      </c>
      <c r="H17" s="68">
        <v>12748723</v>
      </c>
      <c r="J17" s="68">
        <f t="shared" ref="J17:J19" si="3">H17/SUM($H$16:$H$19)*$H$20</f>
        <v>126096.9032867082</v>
      </c>
      <c r="K17" s="209">
        <v>381266</v>
      </c>
      <c r="L17" s="68">
        <f t="shared" si="1"/>
        <v>13256085.903286709</v>
      </c>
      <c r="N17" s="68">
        <f>-(SUMIFS('SRC5 (Monthly Sales)'!$I$4:$I$23,'SRC5 (Monthly Sales)'!$E$4:$E$23,'SRC-1 (S.D. Sales)'!F17,'SRC5 (Monthly Sales)'!$D$4:$D$23,'SRC-1 (S.D. Sales)'!D17)+SUMIFS('SRC5 (Monthly Sales)'!$T$4:$T$23,'SRC5 (Monthly Sales)'!$E$4:$E$23,'SRC-1 (S.D. Sales)'!F17,'SRC5 (Monthly Sales)'!$D$4:$D$23,'SRC-1 (S.D. Sales)'!D17))</f>
        <v>4318279</v>
      </c>
      <c r="O17" s="24"/>
    </row>
    <row r="18" spans="1:16" x14ac:dyDescent="0.2">
      <c r="A18" s="71">
        <f t="shared" si="2"/>
        <v>10</v>
      </c>
      <c r="B18" s="299" t="s">
        <v>921</v>
      </c>
      <c r="C18" s="299" t="s">
        <v>928</v>
      </c>
      <c r="D18" s="299" t="s">
        <v>929</v>
      </c>
      <c r="E18" s="4" t="s">
        <v>924</v>
      </c>
      <c r="F18" s="4" t="s">
        <v>667</v>
      </c>
      <c r="G18" s="190">
        <v>2</v>
      </c>
      <c r="H18" s="68">
        <v>9566541</v>
      </c>
      <c r="J18" s="68">
        <f t="shared" si="3"/>
        <v>94622.119820575666</v>
      </c>
      <c r="K18" s="303">
        <v>170659</v>
      </c>
      <c r="L18" s="68">
        <f t="shared" si="1"/>
        <v>9831822.1198205762</v>
      </c>
      <c r="N18" s="68">
        <f>-(SUMIFS('SRC5 (Monthly Sales)'!$I$4:$I$23,'SRC5 (Monthly Sales)'!$E$4:$E$23,'SRC-1 (S.D. Sales)'!F18,'SRC5 (Monthly Sales)'!$D$4:$D$23,'SRC-1 (S.D. Sales)'!D18)+SUMIFS('SRC5 (Monthly Sales)'!$T$4:$T$23,'SRC5 (Monthly Sales)'!$E$4:$E$23,'SRC-1 (S.D. Sales)'!F18,'SRC5 (Monthly Sales)'!$D$4:$D$23,'SRC-1 (S.D. Sales)'!D18))</f>
        <v>1960849</v>
      </c>
      <c r="O18" s="68"/>
    </row>
    <row r="19" spans="1:16" x14ac:dyDescent="0.2">
      <c r="A19" s="71">
        <f t="shared" si="2"/>
        <v>11</v>
      </c>
      <c r="B19" s="299" t="s">
        <v>921</v>
      </c>
      <c r="C19" s="299" t="s">
        <v>928</v>
      </c>
      <c r="D19" s="299" t="s">
        <v>929</v>
      </c>
      <c r="E19" s="4" t="s">
        <v>924</v>
      </c>
      <c r="F19" s="4" t="s">
        <v>439</v>
      </c>
      <c r="G19" s="190">
        <v>1</v>
      </c>
      <c r="H19" s="68">
        <v>483549</v>
      </c>
      <c r="J19" s="68">
        <f t="shared" si="3"/>
        <v>4782.7560052394629</v>
      </c>
      <c r="K19" s="209">
        <v>17743</v>
      </c>
      <c r="L19" s="68">
        <f t="shared" si="1"/>
        <v>506074.75600523944</v>
      </c>
      <c r="N19" s="68">
        <f>-(SUMIFS('SRC5 (Monthly Sales)'!$I$4:$I$23,'SRC5 (Monthly Sales)'!$E$4:$E$23,'SRC-1 (S.D. Sales)'!F19,'SRC5 (Monthly Sales)'!$D$4:$D$23,'SRC-1 (S.D. Sales)'!D19)+SUMIFS('SRC5 (Monthly Sales)'!$T$4:$T$23,'SRC5 (Monthly Sales)'!$E$4:$E$23,'SRC-1 (S.D. Sales)'!F19,'SRC5 (Monthly Sales)'!$D$4:$D$23,'SRC-1 (S.D. Sales)'!D19))</f>
        <v>30982</v>
      </c>
      <c r="O19" s="68"/>
    </row>
    <row r="20" spans="1:16" x14ac:dyDescent="0.2">
      <c r="A20" s="71">
        <f t="shared" si="2"/>
        <v>12</v>
      </c>
      <c r="B20" s="299" t="s">
        <v>921</v>
      </c>
      <c r="C20" s="299" t="s">
        <v>928</v>
      </c>
      <c r="D20" s="299" t="s">
        <v>929</v>
      </c>
      <c r="E20" s="4" t="s">
        <v>298</v>
      </c>
      <c r="F20" s="4" t="s">
        <v>927</v>
      </c>
      <c r="G20" s="190"/>
      <c r="H20" s="68">
        <v>509836</v>
      </c>
      <c r="J20" s="68">
        <f>-SUM(J16:J19)</f>
        <v>-509836</v>
      </c>
      <c r="K20" s="209"/>
      <c r="L20" s="68">
        <f t="shared" si="1"/>
        <v>0</v>
      </c>
      <c r="N20" s="68"/>
    </row>
    <row r="21" spans="1:16" x14ac:dyDescent="0.2">
      <c r="A21" s="71">
        <f t="shared" si="2"/>
        <v>13</v>
      </c>
      <c r="B21" s="299" t="s">
        <v>921</v>
      </c>
      <c r="C21" s="299" t="s">
        <v>930</v>
      </c>
      <c r="D21" s="299" t="s">
        <v>931</v>
      </c>
      <c r="E21" s="4" t="s">
        <v>924</v>
      </c>
      <c r="F21" s="4" t="s">
        <v>666</v>
      </c>
      <c r="G21" s="190">
        <v>2</v>
      </c>
      <c r="H21" s="68">
        <v>906548</v>
      </c>
      <c r="I21" s="68">
        <f>N21/SUM($N$21:$N$23)*$H$24</f>
        <v>7895.8514850658412</v>
      </c>
      <c r="J21" s="68"/>
      <c r="K21" s="209"/>
      <c r="L21" s="68">
        <f t="shared" si="1"/>
        <v>914443.85148506588</v>
      </c>
      <c r="N21" s="68">
        <f>-(SUMIFS('SRC5 (Monthly Sales)'!$I$4:$I$23,'SRC5 (Monthly Sales)'!$E$4:$E$23,'SRC-1 (S.D. Sales)'!F21,'SRC5 (Monthly Sales)'!$D$4:$D$23,'SRC-1 (S.D. Sales)'!D21)+SUMIFS('SRC5 (Monthly Sales)'!$T$4:$T$23,'SRC5 (Monthly Sales)'!$E$4:$E$23,'SRC-1 (S.D. Sales)'!F21,'SRC5 (Monthly Sales)'!$D$4:$D$23,'SRC-1 (S.D. Sales)'!D21))</f>
        <v>312182</v>
      </c>
    </row>
    <row r="22" spans="1:16" x14ac:dyDescent="0.2">
      <c r="A22" s="71">
        <f t="shared" si="2"/>
        <v>14</v>
      </c>
      <c r="B22" s="299" t="s">
        <v>921</v>
      </c>
      <c r="C22" s="299" t="s">
        <v>930</v>
      </c>
      <c r="D22" s="299" t="s">
        <v>931</v>
      </c>
      <c r="E22" s="4" t="s">
        <v>924</v>
      </c>
      <c r="F22" s="4" t="s">
        <v>436</v>
      </c>
      <c r="G22" s="190">
        <v>1</v>
      </c>
      <c r="H22" s="68">
        <v>85351</v>
      </c>
      <c r="I22" s="68">
        <f>N22/SUM($N$21:$N$23)*$H$24</f>
        <v>273.43681059461085</v>
      </c>
      <c r="J22" s="68"/>
      <c r="K22" s="209"/>
      <c r="L22" s="68">
        <f t="shared" si="1"/>
        <v>85624.436810594605</v>
      </c>
      <c r="N22" s="68">
        <f>-(SUMIFS('SRC5 (Monthly Sales)'!$I$4:$I$23,'SRC5 (Monthly Sales)'!$E$4:$E$23,'SRC-1 (S.D. Sales)'!F22,'SRC5 (Monthly Sales)'!$D$4:$D$23,'SRC-1 (S.D. Sales)'!D22)+SUMIFS('SRC5 (Monthly Sales)'!$T$4:$T$23,'SRC5 (Monthly Sales)'!$E$4:$E$23,'SRC-1 (S.D. Sales)'!F22,'SRC5 (Monthly Sales)'!$D$4:$D$23,'SRC-1 (S.D. Sales)'!D22))</f>
        <v>10811</v>
      </c>
      <c r="O22" s="68"/>
    </row>
    <row r="23" spans="1:16" x14ac:dyDescent="0.2">
      <c r="A23" s="71">
        <f t="shared" si="2"/>
        <v>15</v>
      </c>
      <c r="B23" s="299" t="s">
        <v>921</v>
      </c>
      <c r="C23" s="299" t="s">
        <v>930</v>
      </c>
      <c r="D23" s="299" t="s">
        <v>931</v>
      </c>
      <c r="E23" s="4" t="s">
        <v>924</v>
      </c>
      <c r="F23" s="4" t="s">
        <v>668</v>
      </c>
      <c r="G23" s="190">
        <v>1</v>
      </c>
      <c r="H23" s="68">
        <v>76702</v>
      </c>
      <c r="I23" s="68">
        <f>N23/SUM($N$21:$N$23)*$H$24</f>
        <v>917.71170433954865</v>
      </c>
      <c r="J23" s="68"/>
      <c r="K23" s="209"/>
      <c r="L23" s="68">
        <f t="shared" si="1"/>
        <v>77619.711704339556</v>
      </c>
      <c r="N23" s="68">
        <f>-(SUMIFS('SRC5 (Monthly Sales)'!$I$4:$I$23,'SRC5 (Monthly Sales)'!$E$4:$E$23,'SRC-1 (S.D. Sales)'!F23,'SRC5 (Monthly Sales)'!$D$4:$D$23,'SRC-1 (S.D. Sales)'!D23)+SUMIFS('SRC5 (Monthly Sales)'!$T$4:$T$23,'SRC5 (Monthly Sales)'!$E$4:$E$23,'SRC-1 (S.D. Sales)'!F23,'SRC5 (Monthly Sales)'!$D$4:$D$23,'SRC-1 (S.D. Sales)'!D23))</f>
        <v>36284</v>
      </c>
      <c r="O23" s="68"/>
      <c r="P23" s="68"/>
    </row>
    <row r="24" spans="1:16" x14ac:dyDescent="0.2">
      <c r="A24" s="71">
        <f t="shared" si="2"/>
        <v>16</v>
      </c>
      <c r="B24" s="299" t="s">
        <v>921</v>
      </c>
      <c r="C24" s="299" t="s">
        <v>932</v>
      </c>
      <c r="D24" s="299" t="s">
        <v>933</v>
      </c>
      <c r="E24" s="4" t="s">
        <v>298</v>
      </c>
      <c r="F24" s="4" t="s">
        <v>927</v>
      </c>
      <c r="G24" s="190"/>
      <c r="H24" s="68">
        <v>9087</v>
      </c>
      <c r="I24" s="68">
        <f>-SUM(I21:I23)</f>
        <v>-9087</v>
      </c>
      <c r="J24" s="68"/>
      <c r="K24" s="209"/>
      <c r="L24" s="68">
        <f t="shared" si="1"/>
        <v>0</v>
      </c>
      <c r="N24" s="68"/>
    </row>
    <row r="25" spans="1:16" x14ac:dyDescent="0.2">
      <c r="A25" s="71">
        <f t="shared" si="2"/>
        <v>17</v>
      </c>
      <c r="B25" s="299" t="s">
        <v>921</v>
      </c>
      <c r="C25" s="299" t="s">
        <v>934</v>
      </c>
      <c r="D25" s="299" t="s">
        <v>935</v>
      </c>
      <c r="E25" s="4" t="s">
        <v>298</v>
      </c>
      <c r="F25" s="4" t="s">
        <v>927</v>
      </c>
      <c r="G25" s="190"/>
      <c r="H25" s="68">
        <v>6232508</v>
      </c>
      <c r="I25" s="68"/>
      <c r="J25" s="68">
        <f>-H25</f>
        <v>-6232508</v>
      </c>
      <c r="K25" s="209"/>
      <c r="L25" s="68">
        <f t="shared" si="1"/>
        <v>0</v>
      </c>
      <c r="N25" s="68"/>
    </row>
    <row r="26" spans="1:16" x14ac:dyDescent="0.2">
      <c r="A26" s="71">
        <f t="shared" si="2"/>
        <v>18</v>
      </c>
      <c r="B26" s="299" t="s">
        <v>921</v>
      </c>
      <c r="C26" s="299" t="s">
        <v>936</v>
      </c>
      <c r="D26" s="299" t="s">
        <v>937</v>
      </c>
      <c r="E26" s="4" t="s">
        <v>924</v>
      </c>
      <c r="F26" s="4" t="s">
        <v>670</v>
      </c>
      <c r="G26" s="190">
        <v>1</v>
      </c>
      <c r="H26" s="68">
        <v>249454</v>
      </c>
      <c r="I26" s="68">
        <f>N26/SUM($N$26:$N$27)*$H$28</f>
        <v>550.5554101675541</v>
      </c>
      <c r="J26" s="68"/>
      <c r="K26" s="209"/>
      <c r="L26" s="68">
        <f t="shared" si="1"/>
        <v>250004.55541016755</v>
      </c>
      <c r="N26" s="68">
        <f>-(SUMIFS('SRC5 (Monthly Sales)'!$I$4:$I$23,'SRC5 (Monthly Sales)'!$E$4:$E$23,'SRC-1 (S.D. Sales)'!F26,'SRC5 (Monthly Sales)'!$D$4:$D$23,'SRC-1 (S.D. Sales)'!D26)+SUMIFS('SRC5 (Monthly Sales)'!$T$4:$T$23,'SRC5 (Monthly Sales)'!$E$4:$E$23,'SRC-1 (S.D. Sales)'!F26,'SRC5 (Monthly Sales)'!$D$4:$D$23,'SRC-1 (S.D. Sales)'!D26))</f>
        <v>118560</v>
      </c>
    </row>
    <row r="27" spans="1:16" x14ac:dyDescent="0.2">
      <c r="A27" s="71">
        <f t="shared" si="2"/>
        <v>19</v>
      </c>
      <c r="B27" s="299" t="s">
        <v>921</v>
      </c>
      <c r="C27" s="299" t="s">
        <v>936</v>
      </c>
      <c r="D27" s="299" t="s">
        <v>937</v>
      </c>
      <c r="E27" s="4" t="s">
        <v>924</v>
      </c>
      <c r="F27" s="4" t="s">
        <v>668</v>
      </c>
      <c r="G27" s="190">
        <v>1</v>
      </c>
      <c r="H27" s="68">
        <v>62942618</v>
      </c>
      <c r="I27" s="68">
        <f>N27/SUM($N$26:$N$27)*$H$28</f>
        <v>105951.44458983245</v>
      </c>
      <c r="J27" s="68"/>
      <c r="K27" s="303">
        <v>2138025</v>
      </c>
      <c r="L27" s="68">
        <f t="shared" si="1"/>
        <v>65186594.444589831</v>
      </c>
      <c r="M27" s="68"/>
      <c r="N27" s="68">
        <f>-(SUMIFS('SRC5 (Monthly Sales)'!$I$4:$I$23,'SRC5 (Monthly Sales)'!$E$4:$E$23,'SRC-1 (S.D. Sales)'!F27,'SRC5 (Monthly Sales)'!$D$4:$D$23,'SRC-1 (S.D. Sales)'!D27)+SUMIFS('SRC5 (Monthly Sales)'!$T$4:$T$23,'SRC5 (Monthly Sales)'!$E$4:$E$23,'SRC-1 (S.D. Sales)'!F27,'SRC5 (Monthly Sales)'!$D$4:$D$23,'SRC-1 (S.D. Sales)'!D27))</f>
        <v>22816238</v>
      </c>
      <c r="O27" s="301"/>
    </row>
    <row r="28" spans="1:16" x14ac:dyDescent="0.2">
      <c r="A28" s="71">
        <f t="shared" si="2"/>
        <v>20</v>
      </c>
      <c r="B28" s="299" t="s">
        <v>921</v>
      </c>
      <c r="C28" s="299" t="s">
        <v>938</v>
      </c>
      <c r="D28" s="299" t="s">
        <v>939</v>
      </c>
      <c r="E28" s="4" t="s">
        <v>298</v>
      </c>
      <c r="F28" s="4" t="s">
        <v>927</v>
      </c>
      <c r="G28" s="96"/>
      <c r="H28" s="68">
        <v>106502</v>
      </c>
      <c r="I28" s="68">
        <f>-H28</f>
        <v>-106502</v>
      </c>
      <c r="J28" s="68"/>
      <c r="K28" s="303"/>
      <c r="L28" s="68">
        <f t="shared" si="1"/>
        <v>0</v>
      </c>
      <c r="N28" s="68"/>
    </row>
    <row r="29" spans="1:16" x14ac:dyDescent="0.2">
      <c r="A29" s="71"/>
      <c r="B29" s="299"/>
      <c r="C29" s="299"/>
      <c r="D29" s="299"/>
      <c r="E29" s="299"/>
      <c r="F29" s="303"/>
      <c r="G29" s="96"/>
      <c r="H29" s="303"/>
      <c r="I29" s="68"/>
      <c r="J29" s="68"/>
      <c r="K29" s="303"/>
      <c r="L29" s="68"/>
      <c r="N29" s="24"/>
    </row>
    <row r="30" spans="1:16" x14ac:dyDescent="0.2">
      <c r="A30" s="71"/>
      <c r="B30" s="299"/>
      <c r="C30" s="299"/>
      <c r="D30" s="299"/>
      <c r="E30" s="299"/>
      <c r="F30" s="303"/>
      <c r="G30" s="96"/>
      <c r="H30" s="303"/>
      <c r="I30" s="68"/>
      <c r="J30" s="68"/>
      <c r="K30" s="303"/>
      <c r="L30" s="68"/>
      <c r="N30" s="24"/>
    </row>
    <row r="32" spans="1:16" ht="13.5" thickBot="1" x14ac:dyDescent="0.25">
      <c r="A32" s="71">
        <f>A28+1</f>
        <v>21</v>
      </c>
      <c r="D32" s="66" t="s">
        <v>277</v>
      </c>
      <c r="H32" s="174">
        <f t="shared" ref="H32:L32" si="4">+SUM(H9:H28)</f>
        <v>165971118</v>
      </c>
      <c r="I32" s="174">
        <f t="shared" si="4"/>
        <v>0</v>
      </c>
      <c r="J32" s="174">
        <f t="shared" si="4"/>
        <v>-6232508</v>
      </c>
      <c r="K32" s="174">
        <f t="shared" si="4"/>
        <v>4061384</v>
      </c>
      <c r="L32" s="174">
        <f t="shared" si="4"/>
        <v>163799994</v>
      </c>
      <c r="N32" s="174">
        <f>+SUM(N9:N28)</f>
        <v>50677718</v>
      </c>
    </row>
    <row r="33" spans="1:14" ht="13.5" thickTop="1" x14ac:dyDescent="0.2">
      <c r="A33" s="71"/>
      <c r="H33" s="305"/>
      <c r="I33" s="305"/>
      <c r="J33" s="305"/>
      <c r="K33" s="305"/>
      <c r="L33" s="305"/>
      <c r="N33" s="305"/>
    </row>
    <row r="35" spans="1:14" x14ac:dyDescent="0.2">
      <c r="A35" s="69" t="s">
        <v>24</v>
      </c>
      <c r="B35" s="491" t="s">
        <v>1084</v>
      </c>
      <c r="C35" s="491"/>
      <c r="D35" s="491"/>
      <c r="E35" s="491"/>
      <c r="F35" s="491"/>
      <c r="G35" s="491"/>
      <c r="H35" s="105" t="s">
        <v>417</v>
      </c>
      <c r="I35" s="105" t="s">
        <v>418</v>
      </c>
      <c r="J35" s="105" t="s">
        <v>419</v>
      </c>
      <c r="K35" s="105" t="s">
        <v>177</v>
      </c>
      <c r="L35" s="68"/>
    </row>
    <row r="36" spans="1:14" x14ac:dyDescent="0.2">
      <c r="D36" s="66" t="s">
        <v>26</v>
      </c>
      <c r="H36" s="83" t="s">
        <v>27</v>
      </c>
      <c r="I36" s="83" t="s">
        <v>28</v>
      </c>
      <c r="J36" s="83" t="s">
        <v>29</v>
      </c>
      <c r="K36" s="83" t="s">
        <v>36</v>
      </c>
      <c r="L36" s="68"/>
    </row>
    <row r="37" spans="1:14" x14ac:dyDescent="0.2">
      <c r="F37" s="66"/>
      <c r="G37" s="66"/>
      <c r="H37" s="67"/>
      <c r="I37" s="67"/>
      <c r="J37" s="67"/>
      <c r="K37" s="67"/>
      <c r="L37" s="68"/>
    </row>
    <row r="38" spans="1:14" x14ac:dyDescent="0.2">
      <c r="A38" s="71">
        <f>+A32+1</f>
        <v>22</v>
      </c>
      <c r="D38" s="66" t="s">
        <v>277</v>
      </c>
      <c r="F38" s="66"/>
      <c r="G38" s="66"/>
      <c r="H38" s="306">
        <f>SUMIF($G$9:$G$28,1,$L$9:$L$28)</f>
        <v>86052211.431993276</v>
      </c>
      <c r="I38" s="306">
        <f>SUMIF($G$9:$G$28,2,$L$9:$L$28)</f>
        <v>47817296.341854148</v>
      </c>
      <c r="J38" s="306">
        <f>SUMIF($G$9:$G$28,3,$L$9:$L$28)</f>
        <v>29930486.22615258</v>
      </c>
      <c r="K38" s="68">
        <f>SUM(H38:J38)</f>
        <v>163799994</v>
      </c>
      <c r="L38" s="68"/>
    </row>
    <row r="39" spans="1:14" x14ac:dyDescent="0.2">
      <c r="A39" s="71">
        <f>+A38+1</f>
        <v>23</v>
      </c>
      <c r="D39" s="66" t="s">
        <v>449</v>
      </c>
      <c r="F39" s="66"/>
      <c r="G39" s="66"/>
      <c r="H39" s="306">
        <f>SUMIF($G$9:$G$14,1,$L$9:$L$14)+SUMIF(G21:G27,1,L21:L27)</f>
        <v>85546136.675988033</v>
      </c>
      <c r="I39" s="306">
        <f>SUMIF($G$9:$G$14,2,$L$9:$L$14)+SUMIF(G21:G27,2,L21:L27)</f>
        <v>24729388.318746869</v>
      </c>
      <c r="J39" s="306">
        <f>SUMIF($G$9:$G$14,3,$L$9:$L$14)+SUMIF(G21:G27,3,L21:L27)</f>
        <v>899227.00526510284</v>
      </c>
      <c r="K39" s="68">
        <f>SUM(H39:J39)</f>
        <v>111174752</v>
      </c>
    </row>
    <row r="40" spans="1:14" x14ac:dyDescent="0.2">
      <c r="A40" s="71">
        <f>+A39+1</f>
        <v>24</v>
      </c>
      <c r="D40" s="66" t="s">
        <v>450</v>
      </c>
      <c r="F40" s="66"/>
      <c r="G40" s="66"/>
      <c r="H40" s="306">
        <f>SUMIF($G$16:$G$19,1,$L$16:$L$19)</f>
        <v>506074.75600523944</v>
      </c>
      <c r="I40" s="306">
        <f>SUMIF($G$16:$G$19,2,$L$16:$L$19)</f>
        <v>23087908.023107283</v>
      </c>
      <c r="J40" s="306">
        <f>SUMIF($G$16:$G$19,3,$L$16:$L$19)</f>
        <v>29031259.220887478</v>
      </c>
      <c r="K40" s="68">
        <f>SUM(H40:J40)</f>
        <v>52625242</v>
      </c>
    </row>
    <row r="41" spans="1:14" x14ac:dyDescent="0.2">
      <c r="A41" s="71"/>
      <c r="F41" s="66"/>
      <c r="G41" s="66"/>
      <c r="H41" s="306"/>
      <c r="I41" s="306"/>
      <c r="J41" s="306"/>
      <c r="K41" s="68"/>
      <c r="L41" s="4"/>
    </row>
    <row r="42" spans="1:14" x14ac:dyDescent="0.2">
      <c r="L42" s="4"/>
    </row>
    <row r="43" spans="1:14" x14ac:dyDescent="0.2">
      <c r="A43" s="66" t="s">
        <v>176</v>
      </c>
      <c r="H43" s="49"/>
      <c r="I43" s="49"/>
      <c r="J43" s="49"/>
      <c r="K43" s="49"/>
      <c r="L43" s="4"/>
    </row>
    <row r="44" spans="1:14" x14ac:dyDescent="0.2">
      <c r="A44" s="66" t="s">
        <v>279</v>
      </c>
      <c r="H44" s="49"/>
      <c r="I44" s="49"/>
      <c r="J44" s="49"/>
      <c r="K44" s="49"/>
      <c r="L44" s="4"/>
    </row>
    <row r="45" spans="1:14" x14ac:dyDescent="0.2">
      <c r="A45" s="66" t="s">
        <v>673</v>
      </c>
      <c r="H45" s="49"/>
      <c r="I45" s="49"/>
      <c r="J45" s="49"/>
      <c r="K45" s="49"/>
      <c r="L45" s="4"/>
    </row>
    <row r="46" spans="1:14" x14ac:dyDescent="0.2">
      <c r="A46" s="66" t="s">
        <v>1138</v>
      </c>
      <c r="H46" s="49"/>
      <c r="I46" s="49"/>
      <c r="J46" s="49"/>
      <c r="K46" s="49"/>
      <c r="L46" s="4"/>
    </row>
    <row r="47" spans="1:14" x14ac:dyDescent="0.2">
      <c r="H47" s="49"/>
      <c r="I47" s="49"/>
      <c r="J47" s="49"/>
      <c r="K47" s="49"/>
      <c r="L47" s="4"/>
    </row>
    <row r="48" spans="1:14" x14ac:dyDescent="0.2">
      <c r="A48" s="66" t="s">
        <v>278</v>
      </c>
      <c r="H48" s="49"/>
      <c r="I48" s="83"/>
      <c r="J48" s="83"/>
      <c r="K48" s="83"/>
    </row>
    <row r="49" spans="1:11" x14ac:dyDescent="0.2">
      <c r="A49" s="66" t="s">
        <v>590</v>
      </c>
      <c r="H49" s="49"/>
      <c r="I49" s="83"/>
      <c r="J49" s="83"/>
      <c r="K49" s="83"/>
    </row>
    <row r="50" spans="1:11" x14ac:dyDescent="0.2">
      <c r="A50" s="66" t="s">
        <v>589</v>
      </c>
      <c r="H50" s="49"/>
      <c r="I50" s="83"/>
      <c r="J50" s="83"/>
      <c r="K50" s="83"/>
    </row>
    <row r="51" spans="1:11" x14ac:dyDescent="0.2">
      <c r="H51" s="49"/>
      <c r="I51" s="83"/>
      <c r="J51" s="83"/>
      <c r="K51" s="83"/>
    </row>
    <row r="52" spans="1:11" x14ac:dyDescent="0.2">
      <c r="A52" s="66" t="s">
        <v>940</v>
      </c>
      <c r="H52" s="49"/>
      <c r="I52" s="49"/>
      <c r="J52" s="49"/>
      <c r="K52" s="49"/>
    </row>
    <row r="53" spans="1:11" x14ac:dyDescent="0.2">
      <c r="H53" s="49"/>
      <c r="I53" s="49"/>
      <c r="J53" s="49"/>
      <c r="K53" s="49"/>
    </row>
    <row r="54" spans="1:11" x14ac:dyDescent="0.2">
      <c r="H54" s="49"/>
      <c r="I54" s="49"/>
      <c r="J54" s="49"/>
      <c r="K54" s="49"/>
    </row>
    <row r="55" spans="1:11" x14ac:dyDescent="0.2">
      <c r="H55" s="49"/>
      <c r="I55" s="49"/>
      <c r="J55" s="49"/>
      <c r="K55" s="49"/>
    </row>
    <row r="56" spans="1:11" x14ac:dyDescent="0.2">
      <c r="H56" s="49"/>
      <c r="I56" s="49"/>
      <c r="J56" s="49"/>
      <c r="K56" s="49"/>
    </row>
    <row r="57" spans="1:11" x14ac:dyDescent="0.2">
      <c r="H57" s="49"/>
      <c r="I57" s="49"/>
      <c r="J57" s="49"/>
      <c r="K57" s="49"/>
    </row>
    <row r="58" spans="1:11" x14ac:dyDescent="0.2">
      <c r="H58" s="49"/>
      <c r="I58" s="49"/>
      <c r="J58" s="49"/>
      <c r="K58" s="49"/>
    </row>
    <row r="59" spans="1:11" x14ac:dyDescent="0.2">
      <c r="H59" s="49"/>
      <c r="I59" s="49"/>
      <c r="J59" s="49"/>
      <c r="K59" s="49"/>
    </row>
    <row r="60" spans="1:11" x14ac:dyDescent="0.2">
      <c r="H60" s="49"/>
      <c r="I60" s="49"/>
      <c r="J60" s="49"/>
      <c r="K60" s="49"/>
    </row>
    <row r="61" spans="1:11" x14ac:dyDescent="0.2">
      <c r="H61" s="49"/>
      <c r="I61" s="49"/>
      <c r="J61" s="49"/>
      <c r="K61" s="49"/>
    </row>
    <row r="62" spans="1:11" x14ac:dyDescent="0.2">
      <c r="H62" s="49"/>
      <c r="I62" s="49"/>
      <c r="J62" s="49"/>
      <c r="K62" s="49"/>
    </row>
    <row r="63" spans="1:11" x14ac:dyDescent="0.2">
      <c r="H63" s="49"/>
      <c r="I63" s="49"/>
      <c r="J63" s="49"/>
      <c r="K63" s="49"/>
    </row>
    <row r="64" spans="1:11" x14ac:dyDescent="0.2">
      <c r="H64" s="49"/>
      <c r="I64" s="49"/>
      <c r="J64" s="49"/>
      <c r="K64" s="49"/>
    </row>
    <row r="65" spans="8:11" x14ac:dyDescent="0.2">
      <c r="H65" s="49"/>
      <c r="I65" s="49"/>
      <c r="J65" s="49"/>
      <c r="K65" s="49"/>
    </row>
    <row r="66" spans="8:11" x14ac:dyDescent="0.2">
      <c r="H66" s="49"/>
      <c r="I66" s="49"/>
      <c r="J66" s="49"/>
      <c r="K66" s="49"/>
    </row>
    <row r="67" spans="8:11" x14ac:dyDescent="0.2">
      <c r="H67" s="49"/>
      <c r="I67" s="49"/>
      <c r="J67" s="49"/>
      <c r="K67" s="49"/>
    </row>
  </sheetData>
  <mergeCells count="2">
    <mergeCell ref="N4:N6"/>
    <mergeCell ref="B35:G35"/>
  </mergeCells>
  <pageMargins left="0.7" right="0.7" top="1.2" bottom="0.75" header="0.3" footer="0.3"/>
  <pageSetup scale="60" orientation="landscape" useFirstPageNumber="1" r:id="rId1"/>
  <headerFooter alignWithMargins="0">
    <oddHeader>&amp;CRULE 20:10:13:98
STATEMENT O WORKPAPER - Tab &amp;A
South Dakota Jurisdictional Sales by Rate Code
Test Year Ending December 31, 2025
Utility: MidAmerican Energy Company
Docket No. NG26-___
Individual Responsible: Stephen Stratton&amp;RPage &amp;P of &amp;N</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07A0E-2485-4C1F-AB9D-9FA4A074D8D1}">
  <sheetPr codeName="Sheet9"/>
  <dimension ref="A1:R73"/>
  <sheetViews>
    <sheetView view="pageLayout" zoomScaleNormal="100" workbookViewId="0"/>
  </sheetViews>
  <sheetFormatPr defaultColWidth="9.140625" defaultRowHeight="12.75" x14ac:dyDescent="0.2"/>
  <cols>
    <col min="1" max="1" width="6" style="315" customWidth="1"/>
    <col min="2" max="2" width="8.5703125" style="315" customWidth="1"/>
    <col min="3" max="3" width="11.42578125" style="315" customWidth="1"/>
    <col min="4" max="4" width="51.42578125" style="315" customWidth="1"/>
    <col min="5" max="5" width="7.5703125" style="315" customWidth="1"/>
    <col min="6" max="6" width="10.85546875" style="315" bestFit="1" customWidth="1"/>
    <col min="7" max="7" width="6.7109375" style="316" customWidth="1"/>
    <col min="8" max="8" width="17.28515625" style="315" customWidth="1"/>
    <col min="9" max="9" width="19.140625" style="315" customWidth="1"/>
    <col min="10" max="10" width="16.42578125" style="315" customWidth="1"/>
    <col min="11" max="11" width="22.42578125" style="315" customWidth="1"/>
    <col min="12" max="13" width="16.42578125" style="315" customWidth="1"/>
    <col min="14" max="14" width="13.7109375" style="315" customWidth="1"/>
    <col min="15" max="15" width="15" style="315" customWidth="1"/>
    <col min="16" max="16" width="13.85546875" style="315" customWidth="1"/>
    <col min="17" max="17" width="12.85546875" style="315" customWidth="1"/>
    <col min="18" max="18" width="14" style="315" bestFit="1" customWidth="1"/>
    <col min="19" max="19" width="11" style="315" bestFit="1" customWidth="1"/>
    <col min="20" max="16384" width="9.140625" style="315"/>
  </cols>
  <sheetData>
    <row r="1" spans="1:18" x14ac:dyDescent="0.2">
      <c r="A1" s="307" t="s">
        <v>284</v>
      </c>
    </row>
    <row r="2" spans="1:18" x14ac:dyDescent="0.2">
      <c r="A2" s="307" t="s">
        <v>652</v>
      </c>
    </row>
    <row r="3" spans="1:18" x14ac:dyDescent="0.2">
      <c r="A3" s="307" t="s">
        <v>917</v>
      </c>
    </row>
    <row r="4" spans="1:18" x14ac:dyDescent="0.2">
      <c r="A4" s="307"/>
    </row>
    <row r="5" spans="1:18" x14ac:dyDescent="0.2">
      <c r="K5" s="294" t="s">
        <v>672</v>
      </c>
    </row>
    <row r="6" spans="1:18" x14ac:dyDescent="0.2">
      <c r="E6" s="309" t="s">
        <v>249</v>
      </c>
      <c r="F6" s="309"/>
      <c r="G6" s="309"/>
      <c r="H6" s="309"/>
      <c r="I6" s="294" t="s">
        <v>496</v>
      </c>
      <c r="J6" s="294" t="s">
        <v>490</v>
      </c>
      <c r="K6" s="307" t="s">
        <v>675</v>
      </c>
      <c r="L6" s="294" t="s">
        <v>370</v>
      </c>
      <c r="M6" s="294" t="s">
        <v>142</v>
      </c>
      <c r="N6" s="294"/>
      <c r="O6" s="294"/>
      <c r="P6" s="294" t="s">
        <v>281</v>
      </c>
      <c r="Q6" s="294" t="s">
        <v>282</v>
      </c>
    </row>
    <row r="7" spans="1:18" x14ac:dyDescent="0.2">
      <c r="A7" s="295" t="s">
        <v>24</v>
      </c>
      <c r="B7" s="310" t="s">
        <v>918</v>
      </c>
      <c r="C7" s="311" t="s">
        <v>919</v>
      </c>
      <c r="D7" s="311" t="s">
        <v>920</v>
      </c>
      <c r="E7" s="310" t="s">
        <v>192</v>
      </c>
      <c r="F7" s="310"/>
      <c r="G7" s="310" t="s">
        <v>175</v>
      </c>
      <c r="H7" s="312" t="s">
        <v>177</v>
      </c>
      <c r="I7" s="296" t="s">
        <v>280</v>
      </c>
      <c r="J7" s="296" t="s">
        <v>280</v>
      </c>
      <c r="K7" s="296" t="s">
        <v>686</v>
      </c>
      <c r="L7" s="296" t="s">
        <v>371</v>
      </c>
      <c r="M7" s="296" t="s">
        <v>287</v>
      </c>
      <c r="N7" s="296" t="s">
        <v>286</v>
      </c>
      <c r="O7" s="296" t="s">
        <v>412</v>
      </c>
      <c r="P7" s="296" t="s">
        <v>143</v>
      </c>
      <c r="Q7" s="296" t="s">
        <v>177</v>
      </c>
    </row>
    <row r="8" spans="1:18" x14ac:dyDescent="0.2">
      <c r="B8" s="83" t="s">
        <v>26</v>
      </c>
      <c r="C8" s="83" t="s">
        <v>27</v>
      </c>
      <c r="D8" s="83" t="s">
        <v>28</v>
      </c>
      <c r="E8" s="83" t="s">
        <v>29</v>
      </c>
      <c r="F8" s="83"/>
      <c r="G8" s="316" t="s">
        <v>36</v>
      </c>
      <c r="H8" s="83" t="s">
        <v>30</v>
      </c>
      <c r="I8" s="83" t="s">
        <v>31</v>
      </c>
      <c r="J8" s="83" t="s">
        <v>32</v>
      </c>
      <c r="K8" s="83" t="s">
        <v>33</v>
      </c>
      <c r="L8" s="83" t="s">
        <v>34</v>
      </c>
      <c r="M8" s="83" t="s">
        <v>35</v>
      </c>
      <c r="N8" s="83" t="s">
        <v>157</v>
      </c>
      <c r="O8" s="83" t="s">
        <v>158</v>
      </c>
      <c r="P8" s="83" t="s">
        <v>159</v>
      </c>
      <c r="Q8" s="316" t="s">
        <v>160</v>
      </c>
      <c r="R8" s="83"/>
    </row>
    <row r="9" spans="1:18" x14ac:dyDescent="0.2">
      <c r="B9" s="83"/>
      <c r="C9" s="83"/>
      <c r="D9" s="83"/>
      <c r="E9" s="83"/>
      <c r="F9" s="83"/>
      <c r="H9" s="83"/>
      <c r="I9" s="83"/>
      <c r="J9" s="83"/>
      <c r="K9" s="83"/>
      <c r="L9" s="83"/>
      <c r="M9" s="83"/>
      <c r="N9" s="83"/>
      <c r="O9" s="83"/>
      <c r="P9" s="83"/>
      <c r="Q9" s="316"/>
      <c r="R9" s="83"/>
    </row>
    <row r="10" spans="1:18" x14ac:dyDescent="0.2">
      <c r="A10" s="317">
        <v>1</v>
      </c>
      <c r="B10" s="4" t="s">
        <v>921</v>
      </c>
      <c r="C10" s="4" t="s">
        <v>941</v>
      </c>
      <c r="D10" s="4" t="s">
        <v>942</v>
      </c>
      <c r="E10" t="s">
        <v>670</v>
      </c>
      <c r="F10" s="66" t="s">
        <v>62</v>
      </c>
      <c r="G10" s="329">
        <v>1</v>
      </c>
      <c r="H10" s="305">
        <v>246582.24</v>
      </c>
      <c r="I10" s="305">
        <f>P10/SUM($P$10:$P$11)*$H$13</f>
        <v>-535.82820363040526</v>
      </c>
      <c r="J10" s="305">
        <f>SUMIFS('SRC-3 (S.D. Riders)'!$E$6:$E$44,'SRC-3 (S.D. Riders)'!$B$6:$B$44,'SRC-2 (S.D. Revenue)'!F10,'SRC-3 (S.D. Riders)'!$C$6:$C$44,'SRC-2 (S.D. Revenue)'!E10)</f>
        <v>-1065.1012044096794</v>
      </c>
      <c r="K10" s="305">
        <f>$H$12*O10/SUM($O$10:$O$11)</f>
        <v>57.854569566285356</v>
      </c>
      <c r="L10" s="305">
        <v>0</v>
      </c>
      <c r="M10" s="305">
        <v>1233.2688426260565</v>
      </c>
      <c r="N10" s="305">
        <f>H10+I10+J10+K10+L10+M10</f>
        <v>246272.43400415225</v>
      </c>
      <c r="O10" s="305">
        <f>SUMIFS('SRC-3 (S.D. Riders)'!$F$6:$F$44,'SRC-3 (S.D. Riders)'!$B$6:$B$44,F10,'SRC-3 (S.D. Riders)'!$C$6:$C$44,E10)</f>
        <v>122506.3887955903</v>
      </c>
      <c r="P10" s="318">
        <f>-SUM('CSR-Revenues'!G8,'CSR-Revenues'!R8)</f>
        <v>110078.33000000002</v>
      </c>
      <c r="Q10" s="318">
        <f>N10-O10</f>
        <v>123766.04520856195</v>
      </c>
      <c r="R10" s="319"/>
    </row>
    <row r="11" spans="1:18" x14ac:dyDescent="0.2">
      <c r="A11" s="317">
        <f>A10+1</f>
        <v>2</v>
      </c>
      <c r="B11" s="4" t="s">
        <v>921</v>
      </c>
      <c r="C11" s="4" t="s">
        <v>941</v>
      </c>
      <c r="D11" s="4" t="s">
        <v>942</v>
      </c>
      <c r="E11" t="s">
        <v>668</v>
      </c>
      <c r="F11" s="66" t="s">
        <v>62</v>
      </c>
      <c r="G11" s="329">
        <v>1</v>
      </c>
      <c r="H11" s="305">
        <v>57201033.659999996</v>
      </c>
      <c r="I11" s="305">
        <f>P11/SUM($P$10:$P$11)*$H$13</f>
        <v>-88063.79179636942</v>
      </c>
      <c r="J11" s="305">
        <f>SUMIFS('SRC-3 (S.D. Riders)'!$E$6:$E$44,'SRC-3 (S.D. Riders)'!$B$6:$B$44,'SRC-2 (S.D. Revenue)'!F11,'SRC-3 (S.D. Riders)'!$C$6:$C$44,'SRC-2 (S.D. Revenue)'!E11)</f>
        <v>-277030.64879559091</v>
      </c>
      <c r="K11" s="305">
        <f>$H$12*O11/SUM($O$10:$O$11)</f>
        <v>15047.855430433714</v>
      </c>
      <c r="L11" s="305">
        <v>466662.17708283354</v>
      </c>
      <c r="M11" s="305">
        <v>286088.13262010395</v>
      </c>
      <c r="N11" s="305">
        <f>H11+I11+J11+K11+L11+M11</f>
        <v>57603737.384541407</v>
      </c>
      <c r="O11" s="305">
        <f>SUMIFS('SRC-3 (S.D. Riders)'!$F$6:$F$44,'SRC-3 (S.D. Riders)'!$B$6:$B$44,F11,'SRC-3 (S.D. Riders)'!$C$6:$C$44,E11)</f>
        <v>31863661.62120441</v>
      </c>
      <c r="P11" s="318">
        <f>-SUM('CSR-Revenues'!G9,'CSR-Revenues'!R9)</f>
        <v>18091461.16</v>
      </c>
      <c r="Q11" s="318">
        <f t="shared" ref="Q11:Q37" si="0">N11-O11</f>
        <v>25740075.763336997</v>
      </c>
      <c r="R11" s="319"/>
    </row>
    <row r="12" spans="1:18" x14ac:dyDescent="0.2">
      <c r="A12" s="317">
        <f t="shared" ref="A12:A37" si="1">A11+1</f>
        <v>3</v>
      </c>
      <c r="B12" s="4" t="s">
        <v>921</v>
      </c>
      <c r="C12" s="4" t="s">
        <v>941</v>
      </c>
      <c r="D12" s="4" t="s">
        <v>942</v>
      </c>
      <c r="E12" t="s">
        <v>927</v>
      </c>
      <c r="F12" s="66" t="s">
        <v>62</v>
      </c>
      <c r="G12" s="329"/>
      <c r="H12" s="305">
        <v>15105.71</v>
      </c>
      <c r="I12" s="305">
        <f>P12/SUM($P$10:$P$11)*$H$13</f>
        <v>0</v>
      </c>
      <c r="J12" s="305">
        <f>SUMIFS('SRC-3 (S.D. Riders)'!$E$6:$E$44,'SRC-3 (S.D. Riders)'!$B$6:$B$44,'SRC-2 (S.D. Revenue)'!F12,'SRC-3 (S.D. Riders)'!$C$6:$C$44,'SRC-2 (S.D. Revenue)'!E12)</f>
        <v>0</v>
      </c>
      <c r="K12" s="305">
        <f>-H12</f>
        <v>-15105.71</v>
      </c>
      <c r="L12" s="320"/>
      <c r="M12" s="320"/>
      <c r="N12" s="305">
        <f t="shared" ref="N12:N37" si="2">H12+I12+J12+K12+L12</f>
        <v>0</v>
      </c>
      <c r="O12" s="305">
        <f>SUMIFS('SRC-3 (S.D. Riders)'!$F$6:$F$44,'SRC-3 (S.D. Riders)'!$B$6:$B$44,F12,'SRC-3 (S.D. Riders)'!$C$6:$C$44,E12)</f>
        <v>0</v>
      </c>
      <c r="P12" s="318"/>
      <c r="Q12" s="318">
        <f t="shared" si="0"/>
        <v>0</v>
      </c>
      <c r="R12" s="319"/>
    </row>
    <row r="13" spans="1:18" x14ac:dyDescent="0.2">
      <c r="A13" s="317">
        <f t="shared" si="1"/>
        <v>4</v>
      </c>
      <c r="B13" s="4" t="s">
        <v>921</v>
      </c>
      <c r="C13" s="4" t="s">
        <v>943</v>
      </c>
      <c r="D13" s="4" t="s">
        <v>944</v>
      </c>
      <c r="E13" t="s">
        <v>927</v>
      </c>
      <c r="F13" s="66" t="s">
        <v>62</v>
      </c>
      <c r="G13" s="329"/>
      <c r="H13" s="305">
        <v>-88599.619999999821</v>
      </c>
      <c r="I13" s="305">
        <f>-H13</f>
        <v>88599.619999999821</v>
      </c>
      <c r="J13" s="305">
        <f>SUMIFS('SRC-3 (S.D. Riders)'!$E$6:$E$44,'SRC-3 (S.D. Riders)'!$B$6:$B$44,'SRC-2 (S.D. Revenue)'!F13,'SRC-3 (S.D. Riders)'!$C$6:$C$44,'SRC-2 (S.D. Revenue)'!E13)</f>
        <v>0</v>
      </c>
      <c r="K13" s="305">
        <v>0</v>
      </c>
      <c r="L13" s="305">
        <v>0</v>
      </c>
      <c r="M13" s="305"/>
      <c r="N13" s="305">
        <f t="shared" si="2"/>
        <v>0</v>
      </c>
      <c r="O13" s="305">
        <f>SUMIFS('SRC-3 (S.D. Riders)'!$F$6:$F$44,'SRC-3 (S.D. Riders)'!$B$6:$B$44,F13,'SRC-3 (S.D. Riders)'!$C$6:$C$44,E13)</f>
        <v>0</v>
      </c>
      <c r="P13" s="318">
        <f>-SUM('CSR-Revenues'!G11,'CSR-Revenues'!R11)</f>
        <v>381040.09999999986</v>
      </c>
      <c r="Q13" s="318">
        <f t="shared" si="0"/>
        <v>0</v>
      </c>
      <c r="R13" s="319"/>
    </row>
    <row r="14" spans="1:18" x14ac:dyDescent="0.2">
      <c r="A14" s="317">
        <f t="shared" si="1"/>
        <v>5</v>
      </c>
      <c r="B14" s="4" t="s">
        <v>921</v>
      </c>
      <c r="C14" s="4" t="s">
        <v>945</v>
      </c>
      <c r="D14" s="4" t="s">
        <v>946</v>
      </c>
      <c r="E14" t="s">
        <v>927</v>
      </c>
      <c r="F14" s="66" t="s">
        <v>62</v>
      </c>
      <c r="G14" s="329"/>
      <c r="H14" s="305">
        <v>-278095.75000000058</v>
      </c>
      <c r="I14" s="305">
        <v>0</v>
      </c>
      <c r="J14" s="305">
        <f>-H14</f>
        <v>278095.75000000058</v>
      </c>
      <c r="K14" s="305">
        <v>0</v>
      </c>
      <c r="L14" s="305">
        <v>0</v>
      </c>
      <c r="M14" s="305"/>
      <c r="N14" s="305">
        <f t="shared" si="2"/>
        <v>0</v>
      </c>
      <c r="O14" s="305">
        <f>SUMIFS('SRC-3 (S.D. Riders)'!$F$6:$F$44,'SRC-3 (S.D. Riders)'!$B$6:$B$44,F14,'SRC-3 (S.D. Riders)'!$C$6:$C$44,E14)</f>
        <v>0</v>
      </c>
      <c r="P14" s="318"/>
      <c r="Q14" s="318">
        <f t="shared" si="0"/>
        <v>0</v>
      </c>
      <c r="R14" s="319"/>
    </row>
    <row r="15" spans="1:18" x14ac:dyDescent="0.2">
      <c r="A15" s="317">
        <f>A14+1</f>
        <v>6</v>
      </c>
      <c r="B15" s="4" t="s">
        <v>921</v>
      </c>
      <c r="C15" s="4" t="s">
        <v>947</v>
      </c>
      <c r="D15" s="4" t="s">
        <v>948</v>
      </c>
      <c r="E15" t="s">
        <v>434</v>
      </c>
      <c r="F15" s="66" t="s">
        <v>61</v>
      </c>
      <c r="G15" s="329">
        <v>3</v>
      </c>
      <c r="H15" s="305">
        <v>389328.29000000004</v>
      </c>
      <c r="I15" s="305">
        <f t="shared" ref="I15:I20" si="3">P15/SUM($P$15:$P$20)*$H$22</f>
        <v>-506.33858231454519</v>
      </c>
      <c r="J15" s="305">
        <f>SUMIFS('SRC-3 (S.D. Riders)'!$E$6:$E$44,'SRC-3 (S.D. Riders)'!$B$6:$B$44,'SRC-2 (S.D. Revenue)'!F15,'SRC-3 (S.D. Riders)'!$C$6:$C$44,'SRC-2 (S.D. Revenue)'!E15)</f>
        <v>-3008.8389297728918</v>
      </c>
      <c r="K15" s="305">
        <f t="shared" ref="K15:K20" si="4">$H$21*O15/SUM($O$15:$O$20)</f>
        <v>122.7673191151743</v>
      </c>
      <c r="L15" s="305">
        <v>0</v>
      </c>
      <c r="M15" s="305">
        <v>2017.6147178516585</v>
      </c>
      <c r="N15" s="305">
        <f>H15+I15+J15+K15+L15+M15</f>
        <v>387953.49452487944</v>
      </c>
      <c r="O15" s="305">
        <f>SUMIFS('SRC-3 (S.D. Riders)'!$F$6:$F$44,'SRC-3 (S.D. Riders)'!$B$6:$B$44,F15,'SRC-3 (S.D. Riders)'!$C$6:$C$44,E15)</f>
        <v>346895.1610702271</v>
      </c>
      <c r="P15" s="318">
        <f>-SUM('CSR-Revenues'!G13,'CSR-Revenues'!R13)</f>
        <v>81248.73</v>
      </c>
      <c r="Q15" s="318">
        <f t="shared" si="0"/>
        <v>41058.33345465234</v>
      </c>
      <c r="R15" s="319"/>
    </row>
    <row r="16" spans="1:18" x14ac:dyDescent="0.2">
      <c r="A16" s="317">
        <f t="shared" si="1"/>
        <v>7</v>
      </c>
      <c r="B16" s="4" t="s">
        <v>921</v>
      </c>
      <c r="C16" s="4" t="s">
        <v>947</v>
      </c>
      <c r="D16" s="4" t="s">
        <v>948</v>
      </c>
      <c r="E16" t="s">
        <v>666</v>
      </c>
      <c r="F16" s="66" t="s">
        <v>61</v>
      </c>
      <c r="G16" s="329">
        <v>2</v>
      </c>
      <c r="H16" s="305">
        <v>15354755.870000001</v>
      </c>
      <c r="I16" s="305">
        <f t="shared" si="3"/>
        <v>-30583.426939985617</v>
      </c>
      <c r="J16" s="305">
        <f>SUMIFS('SRC-3 (S.D. Riders)'!$E$6:$E$44,'SRC-3 (S.D. Riders)'!$B$6:$B$44,'SRC-2 (S.D. Revenue)'!F16,'SRC-3 (S.D. Riders)'!$C$6:$C$44,'SRC-2 (S.D. Revenue)'!E16)</f>
        <v>-103554.27999282291</v>
      </c>
      <c r="K16" s="305">
        <f t="shared" si="4"/>
        <v>4225.244898230756</v>
      </c>
      <c r="L16" s="305">
        <v>44281.97064</v>
      </c>
      <c r="M16" s="305">
        <v>79572.900886116317</v>
      </c>
      <c r="N16" s="305">
        <f t="shared" ref="N16:N20" si="5">H16+I16+J16+K16+L16+M16</f>
        <v>15348698.27949154</v>
      </c>
      <c r="O16" s="305">
        <f>SUMIFS('SRC-3 (S.D. Riders)'!$F$6:$F$44,'SRC-3 (S.D. Riders)'!$B$6:$B$44,F16,'SRC-3 (S.D. Riders)'!$C$6:$C$44,E16)</f>
        <v>11938983.600007176</v>
      </c>
      <c r="P16" s="318">
        <f>-SUM('CSR-Revenues'!G14,'CSR-Revenues'!R14)</f>
        <v>4907515.8100000005</v>
      </c>
      <c r="Q16" s="318">
        <f t="shared" si="0"/>
        <v>3409714.6794843636</v>
      </c>
      <c r="R16" s="319"/>
    </row>
    <row r="17" spans="1:18" x14ac:dyDescent="0.2">
      <c r="A17" s="317">
        <f t="shared" si="1"/>
        <v>8</v>
      </c>
      <c r="B17" s="4" t="s">
        <v>921</v>
      </c>
      <c r="C17" s="4" t="s">
        <v>947</v>
      </c>
      <c r="D17" s="4" t="s">
        <v>948</v>
      </c>
      <c r="E17" t="s">
        <v>670</v>
      </c>
      <c r="F17" s="66" t="s">
        <v>61</v>
      </c>
      <c r="G17" s="329">
        <v>1</v>
      </c>
      <c r="H17" s="305">
        <v>14523.81</v>
      </c>
      <c r="I17" s="305">
        <f t="shared" si="3"/>
        <v>-39.697378398236914</v>
      </c>
      <c r="J17" s="305">
        <f>SUMIFS('SRC-3 (S.D. Riders)'!$E$6:$E$44,'SRC-3 (S.D. Riders)'!$B$6:$B$44,'SRC-2 (S.D. Revenue)'!F17,'SRC-3 (S.D. Riders)'!$C$6:$C$44,'SRC-2 (S.D. Revenue)'!E17)</f>
        <v>-63.272433445697452</v>
      </c>
      <c r="K17" s="305">
        <f t="shared" si="4"/>
        <v>2.5816559840269955</v>
      </c>
      <c r="L17" s="320"/>
      <c r="M17" s="305">
        <v>75.266692834679688</v>
      </c>
      <c r="N17" s="305">
        <f t="shared" si="5"/>
        <v>14498.688536974771</v>
      </c>
      <c r="O17" s="305">
        <f>SUMIFS('SRC-3 (S.D. Riders)'!$F$6:$F$44,'SRC-3 (S.D. Riders)'!$B$6:$B$44,F17,'SRC-3 (S.D. Riders)'!$C$6:$C$44,E17)</f>
        <v>7294.8075665543029</v>
      </c>
      <c r="P17" s="318">
        <f>-SUM('CSR-Revenues'!G15,'CSR-Revenues'!R15)</f>
        <v>6369.9699999999993</v>
      </c>
      <c r="Q17" s="318">
        <f t="shared" si="0"/>
        <v>7203.8809704204677</v>
      </c>
      <c r="R17" s="319"/>
    </row>
    <row r="18" spans="1:18" x14ac:dyDescent="0.2">
      <c r="A18" s="317">
        <f t="shared" si="1"/>
        <v>9</v>
      </c>
      <c r="B18" s="4" t="s">
        <v>921</v>
      </c>
      <c r="C18" s="4" t="s">
        <v>947</v>
      </c>
      <c r="D18" s="4" t="s">
        <v>948</v>
      </c>
      <c r="E18" t="s">
        <v>435</v>
      </c>
      <c r="F18" s="66" t="s">
        <v>61</v>
      </c>
      <c r="G18" s="329">
        <v>1</v>
      </c>
      <c r="H18" s="305">
        <v>152908.59</v>
      </c>
      <c r="I18" s="305">
        <f t="shared" si="3"/>
        <v>-94.404861190786761</v>
      </c>
      <c r="J18" s="305">
        <f>SUMIFS('SRC-3 (S.D. Riders)'!$E$6:$E$44,'SRC-3 (S.D. Riders)'!$B$6:$B$44,'SRC-2 (S.D. Revenue)'!F18,'SRC-3 (S.D. Riders)'!$C$6:$C$44,'SRC-2 (S.D. Revenue)'!E18)</f>
        <v>-1139.0951306903812</v>
      </c>
      <c r="K18" s="305">
        <f t="shared" si="4"/>
        <v>46.477614347592429</v>
      </c>
      <c r="L18" s="305">
        <v>0</v>
      </c>
      <c r="M18" s="305">
        <v>792.41768346693982</v>
      </c>
      <c r="N18" s="305">
        <f t="shared" si="5"/>
        <v>152513.98530593337</v>
      </c>
      <c r="O18" s="305">
        <f>SUMIFS('SRC-3 (S.D. Riders)'!$F$6:$F$44,'SRC-3 (S.D. Riders)'!$B$6:$B$44,F18,'SRC-3 (S.D. Riders)'!$C$6:$C$44,E18)</f>
        <v>131328.5948693096</v>
      </c>
      <c r="P18" s="318">
        <f>-SUM('CSR-Revenues'!G16,'CSR-Revenues'!R16)</f>
        <v>15148.51</v>
      </c>
      <c r="Q18" s="318">
        <f t="shared" si="0"/>
        <v>21185.390436623769</v>
      </c>
      <c r="R18" s="319"/>
    </row>
    <row r="19" spans="1:18" x14ac:dyDescent="0.2">
      <c r="A19" s="317">
        <f t="shared" si="1"/>
        <v>10</v>
      </c>
      <c r="B19" s="4" t="s">
        <v>921</v>
      </c>
      <c r="C19" s="4" t="s">
        <v>947</v>
      </c>
      <c r="D19" s="4" t="s">
        <v>948</v>
      </c>
      <c r="E19" t="s">
        <v>436</v>
      </c>
      <c r="F19" s="66" t="s">
        <v>61</v>
      </c>
      <c r="G19" s="329">
        <v>1</v>
      </c>
      <c r="H19" s="305">
        <v>42978.439999999995</v>
      </c>
      <c r="I19" s="305">
        <f t="shared" si="3"/>
        <v>-11.914566770435222</v>
      </c>
      <c r="J19" s="305">
        <f>SUMIFS('SRC-3 (S.D. Riders)'!$E$6:$E$44,'SRC-3 (S.D. Riders)'!$B$6:$B$44,'SRC-2 (S.D. Revenue)'!F19,'SRC-3 (S.D. Riders)'!$C$6:$C$44,'SRC-2 (S.D. Revenue)'!E19)</f>
        <v>-268.16350913355654</v>
      </c>
      <c r="K19" s="305">
        <f t="shared" si="4"/>
        <v>10.941667490100322</v>
      </c>
      <c r="L19" s="305">
        <v>0</v>
      </c>
      <c r="M19" s="305">
        <v>222.72702837572999</v>
      </c>
      <c r="N19" s="305">
        <f t="shared" si="5"/>
        <v>42932.030619961835</v>
      </c>
      <c r="O19" s="305">
        <f>SUMIFS('SRC-3 (S.D. Riders)'!$F$6:$F$44,'SRC-3 (S.D. Riders)'!$B$6:$B$44,F19,'SRC-3 (S.D. Riders)'!$C$6:$C$44,E19)</f>
        <v>30917.116490866443</v>
      </c>
      <c r="P19" s="318">
        <f>-SUM('CSR-Revenues'!G17,'CSR-Revenues'!R17)</f>
        <v>1911.85</v>
      </c>
      <c r="Q19" s="318">
        <f t="shared" si="0"/>
        <v>12014.914129095392</v>
      </c>
      <c r="R19" s="319"/>
    </row>
    <row r="20" spans="1:18" x14ac:dyDescent="0.2">
      <c r="A20" s="317">
        <f t="shared" si="1"/>
        <v>11</v>
      </c>
      <c r="B20" s="4" t="s">
        <v>921</v>
      </c>
      <c r="C20" s="4" t="s">
        <v>947</v>
      </c>
      <c r="D20" s="4" t="s">
        <v>948</v>
      </c>
      <c r="E20" t="s">
        <v>668</v>
      </c>
      <c r="F20" s="66" t="s">
        <v>61</v>
      </c>
      <c r="G20" s="329">
        <v>1</v>
      </c>
      <c r="H20" s="305">
        <v>14415820.539999999</v>
      </c>
      <c r="I20" s="305">
        <f t="shared" si="3"/>
        <v>-32248.937671340493</v>
      </c>
      <c r="J20" s="305">
        <f>SUMIFS('SRC-3 (S.D. Riders)'!$E$6:$E$44,'SRC-3 (S.D. Riders)'!$B$6:$B$44,'SRC-2 (S.D. Revenue)'!F20,'SRC-3 (S.D. Riders)'!$C$6:$C$44,'SRC-2 (S.D. Revenue)'!E20)</f>
        <v>-82505.720004134506</v>
      </c>
      <c r="K20" s="305">
        <f t="shared" si="4"/>
        <v>3366.4168448323485</v>
      </c>
      <c r="L20" s="305">
        <v>173683.23343500152</v>
      </c>
      <c r="M20" s="305">
        <v>74707.059410997957</v>
      </c>
      <c r="N20" s="305">
        <f t="shared" si="5"/>
        <v>14552822.592015356</v>
      </c>
      <c r="O20" s="305">
        <f>SUMIFS('SRC-3 (S.D. Riders)'!$F$6:$F$44,'SRC-3 (S.D. Riders)'!$B$6:$B$44,F20,'SRC-3 (S.D. Riders)'!$C$6:$C$44,E20)</f>
        <v>9512252.2999958675</v>
      </c>
      <c r="P20" s="318">
        <f>-SUM('CSR-Revenues'!G18,'CSR-Revenues'!R18)</f>
        <v>5174769.0600000005</v>
      </c>
      <c r="Q20" s="318">
        <f t="shared" si="0"/>
        <v>5040570.2920194883</v>
      </c>
      <c r="R20" s="319"/>
    </row>
    <row r="21" spans="1:18" x14ac:dyDescent="0.2">
      <c r="A21" s="317">
        <f t="shared" si="1"/>
        <v>12</v>
      </c>
      <c r="B21" s="4" t="s">
        <v>921</v>
      </c>
      <c r="C21" s="4" t="s">
        <v>947</v>
      </c>
      <c r="D21" s="4" t="s">
        <v>948</v>
      </c>
      <c r="E21" t="s">
        <v>927</v>
      </c>
      <c r="F21" s="66" t="s">
        <v>61</v>
      </c>
      <c r="G21" s="329"/>
      <c r="H21" s="305">
        <v>7774.43</v>
      </c>
      <c r="I21" s="305">
        <f>P21/SUM($P$16:$P$21)*$H$22</f>
        <v>0</v>
      </c>
      <c r="J21" s="305">
        <f>SUMIFS('SRC-3 (S.D. Riders)'!$E$6:$E$44,'SRC-3 (S.D. Riders)'!$B$6:$B$44,'SRC-2 (S.D. Revenue)'!F21,'SRC-3 (S.D. Riders)'!$C$6:$C$44,'SRC-2 (S.D. Revenue)'!E21)</f>
        <v>0</v>
      </c>
      <c r="K21" s="305">
        <f>-H21</f>
        <v>-7774.43</v>
      </c>
      <c r="L21" s="320"/>
      <c r="M21" s="320"/>
      <c r="N21" s="305">
        <f t="shared" si="2"/>
        <v>0</v>
      </c>
      <c r="O21" s="305">
        <f>SUMIFS('SRC-3 (S.D. Riders)'!$F$6:$F$44,'SRC-3 (S.D. Riders)'!$B$6:$B$44,F21,'SRC-3 (S.D. Riders)'!$C$6:$C$44,E21)</f>
        <v>0</v>
      </c>
      <c r="P21" s="318"/>
      <c r="Q21" s="318">
        <f t="shared" si="0"/>
        <v>0</v>
      </c>
      <c r="R21" s="319"/>
    </row>
    <row r="22" spans="1:18" x14ac:dyDescent="0.2">
      <c r="A22" s="317">
        <f t="shared" si="1"/>
        <v>13</v>
      </c>
      <c r="B22" s="4" t="s">
        <v>921</v>
      </c>
      <c r="C22" s="4" t="s">
        <v>949</v>
      </c>
      <c r="D22" s="4" t="s">
        <v>950</v>
      </c>
      <c r="E22" t="s">
        <v>927</v>
      </c>
      <c r="F22" s="66" t="s">
        <v>61</v>
      </c>
      <c r="G22" s="329"/>
      <c r="H22" s="305">
        <v>-63484.720000000103</v>
      </c>
      <c r="I22" s="305">
        <f>-H22</f>
        <v>63484.720000000103</v>
      </c>
      <c r="J22" s="305">
        <f>SUMIFS('SRC-3 (S.D. Riders)'!$E$6:$E$44,'SRC-3 (S.D. Riders)'!$B$6:$B$44,'SRC-2 (S.D. Revenue)'!F22,'SRC-3 (S.D. Riders)'!$C$6:$C$44,'SRC-2 (S.D. Revenue)'!E22)</f>
        <v>0</v>
      </c>
      <c r="K22" s="305">
        <v>0</v>
      </c>
      <c r="L22" s="305">
        <v>0</v>
      </c>
      <c r="M22" s="305"/>
      <c r="N22" s="305">
        <f t="shared" si="2"/>
        <v>0</v>
      </c>
      <c r="O22" s="305">
        <f>SUMIFS('SRC-3 (S.D. Riders)'!$F$6:$F$44,'SRC-3 (S.D. Riders)'!$B$6:$B$44,F22,'SRC-3 (S.D. Riders)'!$C$6:$C$44,E22)</f>
        <v>0</v>
      </c>
      <c r="P22" s="318">
        <f>-SUM('CSR-Revenues'!G20,'CSR-Revenues'!R20)</f>
        <v>123810.56999999999</v>
      </c>
      <c r="Q22" s="318">
        <f t="shared" si="0"/>
        <v>0</v>
      </c>
      <c r="R22" s="319"/>
    </row>
    <row r="23" spans="1:18" x14ac:dyDescent="0.2">
      <c r="A23" s="317">
        <f t="shared" si="1"/>
        <v>14</v>
      </c>
      <c r="B23" s="4" t="s">
        <v>921</v>
      </c>
      <c r="C23" s="4" t="s">
        <v>951</v>
      </c>
      <c r="D23" s="4" t="s">
        <v>952</v>
      </c>
      <c r="E23" t="s">
        <v>927</v>
      </c>
      <c r="F23" s="66" t="s">
        <v>61</v>
      </c>
      <c r="G23" s="329"/>
      <c r="H23" s="305">
        <v>-190539.36999999994</v>
      </c>
      <c r="I23" s="305">
        <v>0</v>
      </c>
      <c r="J23" s="305">
        <f>-H23</f>
        <v>190539.36999999994</v>
      </c>
      <c r="K23" s="305">
        <v>0</v>
      </c>
      <c r="L23" s="305">
        <v>0</v>
      </c>
      <c r="M23" s="305"/>
      <c r="N23" s="305">
        <f t="shared" si="2"/>
        <v>0</v>
      </c>
      <c r="O23" s="305">
        <f>SUMIFS('SRC-3 (S.D. Riders)'!$F$6:$F$44,'SRC-3 (S.D. Riders)'!$B$6:$B$44,F23,'SRC-3 (S.D. Riders)'!$C$6:$C$44,E23)</f>
        <v>0</v>
      </c>
      <c r="P23" s="318"/>
      <c r="Q23" s="318">
        <f t="shared" si="0"/>
        <v>0</v>
      </c>
      <c r="R23" s="319"/>
    </row>
    <row r="24" spans="1:18" x14ac:dyDescent="0.2">
      <c r="A24" s="317">
        <f t="shared" si="1"/>
        <v>15</v>
      </c>
      <c r="B24" s="4" t="s">
        <v>921</v>
      </c>
      <c r="C24" s="4" t="s">
        <v>953</v>
      </c>
      <c r="D24" s="4" t="s">
        <v>954</v>
      </c>
      <c r="E24" t="s">
        <v>665</v>
      </c>
      <c r="F24" s="66" t="s">
        <v>60</v>
      </c>
      <c r="G24" s="329">
        <v>3</v>
      </c>
      <c r="H24" s="305">
        <v>-8424.2999999999993</v>
      </c>
      <c r="I24" s="305">
        <v>0</v>
      </c>
      <c r="J24" s="305">
        <f>SUMIFS('SRC-3 (S.D. Riders)'!$E$6:$E$44,'SRC-3 (S.D. Riders)'!$B$6:$B$44,'SRC-2 (S.D. Revenue)'!F24,'SRC-3 (S.D. Riders)'!$C$6:$C$44,'SRC-2 (S.D. Revenue)'!E24)</f>
        <v>0</v>
      </c>
      <c r="K24" s="305">
        <f>$H$29*O24/SUM($O$24:$O$29)</f>
        <v>0</v>
      </c>
      <c r="L24" s="305">
        <v>0</v>
      </c>
      <c r="M24" s="305"/>
      <c r="N24" s="305">
        <f t="shared" si="2"/>
        <v>-8424.2999999999993</v>
      </c>
      <c r="O24" s="305">
        <f>SUMIFS('SRC-3 (S.D. Riders)'!$F$6:$F$44,'SRC-3 (S.D. Riders)'!$B$6:$B$44,F24,'SRC-3 (S.D. Riders)'!$C$6:$C$44,E24)</f>
        <v>0</v>
      </c>
      <c r="P24" s="318"/>
      <c r="Q24" s="318">
        <f t="shared" si="0"/>
        <v>-8424.2999999999993</v>
      </c>
      <c r="R24" s="319"/>
    </row>
    <row r="25" spans="1:18" x14ac:dyDescent="0.2">
      <c r="A25" s="317">
        <f t="shared" si="1"/>
        <v>16</v>
      </c>
      <c r="B25" s="4" t="s">
        <v>921</v>
      </c>
      <c r="C25" s="4" t="s">
        <v>953</v>
      </c>
      <c r="D25" s="4" t="s">
        <v>954</v>
      </c>
      <c r="E25" t="s">
        <v>666</v>
      </c>
      <c r="F25" s="66" t="s">
        <v>60</v>
      </c>
      <c r="G25" s="329">
        <v>2</v>
      </c>
      <c r="H25" s="305">
        <v>579469.88000000012</v>
      </c>
      <c r="I25" s="305">
        <f>P25/SUM($P$24:$P$30)*$H$30</f>
        <v>-2.1308657110193678</v>
      </c>
      <c r="J25" s="305">
        <f>SUMIFS('SRC-3 (S.D. Riders)'!$E$6:$E$44,'SRC-3 (S.D. Riders)'!$B$6:$B$44,'SRC-2 (S.D. Revenue)'!F25,'SRC-3 (S.D. Riders)'!$C$6:$C$44,'SRC-2 (S.D. Revenue)'!E25)</f>
        <v>-3113.082136384392</v>
      </c>
      <c r="K25" s="305"/>
      <c r="L25" s="305">
        <v>0</v>
      </c>
      <c r="M25" s="305"/>
      <c r="N25" s="305">
        <f t="shared" si="2"/>
        <v>576354.66699790466</v>
      </c>
      <c r="O25" s="305">
        <f>SUMIFS('SRC-3 (S.D. Riders)'!$F$6:$F$44,'SRC-3 (S.D. Riders)'!$B$6:$B$44,F25,'SRC-3 (S.D. Riders)'!$C$6:$C$44,E25)</f>
        <v>615753.91786361556</v>
      </c>
      <c r="P25" s="318">
        <f>-SUM('CSR-Revenues'!G23,'CSR-Revenues'!R23)</f>
        <v>193585.61</v>
      </c>
      <c r="Q25" s="318">
        <f t="shared" si="0"/>
        <v>-39399.250865710899</v>
      </c>
      <c r="R25" s="319"/>
    </row>
    <row r="26" spans="1:18" x14ac:dyDescent="0.2">
      <c r="A26" s="317">
        <f t="shared" si="1"/>
        <v>17</v>
      </c>
      <c r="B26" s="4" t="s">
        <v>921</v>
      </c>
      <c r="C26" s="4" t="s">
        <v>953</v>
      </c>
      <c r="D26" s="4" t="s">
        <v>954</v>
      </c>
      <c r="E26" t="s">
        <v>667</v>
      </c>
      <c r="F26" s="66" t="s">
        <v>60</v>
      </c>
      <c r="G26" s="329">
        <v>2</v>
      </c>
      <c r="H26" s="305">
        <v>380.13</v>
      </c>
      <c r="I26" s="305">
        <f t="shared" ref="I26:I29" si="6">P26/SUM($P$24:$P$30)*$H$30</f>
        <v>0</v>
      </c>
      <c r="J26" s="305">
        <f>SUMIFS('SRC-3 (S.D. Riders)'!$E$6:$E$44,'SRC-3 (S.D. Riders)'!$B$6:$B$44,'SRC-2 (S.D. Revenue)'!F26,'SRC-3 (S.D. Riders)'!$C$6:$C$44,'SRC-2 (S.D. Revenue)'!E26)</f>
        <v>0</v>
      </c>
      <c r="K26" s="305"/>
      <c r="L26" s="305">
        <v>0</v>
      </c>
      <c r="M26" s="305"/>
      <c r="N26" s="305">
        <f t="shared" si="2"/>
        <v>380.13</v>
      </c>
      <c r="O26" s="305">
        <f>SUMIFS('SRC-3 (S.D. Riders)'!$F$6:$F$44,'SRC-3 (S.D. Riders)'!$B$6:$B$44,F26,'SRC-3 (S.D. Riders)'!$C$6:$C$44,E26)</f>
        <v>0</v>
      </c>
      <c r="P26" s="318"/>
      <c r="Q26" s="318">
        <f t="shared" si="0"/>
        <v>380.13</v>
      </c>
      <c r="R26" s="319"/>
    </row>
    <row r="27" spans="1:18" x14ac:dyDescent="0.2">
      <c r="A27" s="317">
        <f t="shared" si="1"/>
        <v>18</v>
      </c>
      <c r="B27" s="4" t="s">
        <v>921</v>
      </c>
      <c r="C27" s="4" t="s">
        <v>953</v>
      </c>
      <c r="D27" s="4" t="s">
        <v>954</v>
      </c>
      <c r="E27" t="s">
        <v>436</v>
      </c>
      <c r="F27" s="66" t="s">
        <v>60</v>
      </c>
      <c r="G27" s="329">
        <v>1</v>
      </c>
      <c r="H27" s="305">
        <v>40818.74</v>
      </c>
      <c r="I27" s="305">
        <f t="shared" si="6"/>
        <v>-6.3218767424974176E-2</v>
      </c>
      <c r="J27" s="305">
        <f>SUMIFS('SRC-3 (S.D. Riders)'!$E$6:$E$44,'SRC-3 (S.D. Riders)'!$B$6:$B$44,'SRC-2 (S.D. Revenue)'!F27,'SRC-3 (S.D. Riders)'!$C$6:$C$44,'SRC-2 (S.D. Revenue)'!E27)</f>
        <v>-145.36600133323077</v>
      </c>
      <c r="K27" s="305"/>
      <c r="L27" s="305">
        <v>0</v>
      </c>
      <c r="M27" s="305"/>
      <c r="N27" s="305">
        <f t="shared" si="2"/>
        <v>40673.310779899337</v>
      </c>
      <c r="O27" s="305">
        <f>SUMIFS('SRC-3 (S.D. Riders)'!$F$6:$F$44,'SRC-3 (S.D. Riders)'!$B$6:$B$44,F27,'SRC-3 (S.D. Riders)'!$C$6:$C$44,E27)</f>
        <v>28752.753998666769</v>
      </c>
      <c r="P27" s="318">
        <f>-SUM('CSR-Revenues'!G25,'CSR-Revenues'!R25)</f>
        <v>5743.32</v>
      </c>
      <c r="Q27" s="318">
        <f t="shared" si="0"/>
        <v>11920.556781232568</v>
      </c>
      <c r="R27" s="319"/>
    </row>
    <row r="28" spans="1:18" x14ac:dyDescent="0.2">
      <c r="A28" s="317">
        <f t="shared" si="1"/>
        <v>19</v>
      </c>
      <c r="B28" s="4" t="s">
        <v>921</v>
      </c>
      <c r="C28" s="4" t="s">
        <v>953</v>
      </c>
      <c r="D28" s="4" t="s">
        <v>954</v>
      </c>
      <c r="E28" t="s">
        <v>668</v>
      </c>
      <c r="F28" s="66" t="s">
        <v>60</v>
      </c>
      <c r="G28" s="329">
        <v>1</v>
      </c>
      <c r="H28" s="305">
        <v>56254.290000000008</v>
      </c>
      <c r="I28" s="305">
        <f t="shared" si="6"/>
        <v>-0.28193878220785856</v>
      </c>
      <c r="J28" s="305">
        <f>SUMIFS('SRC-3 (S.D. Riders)'!$E$6:$E$44,'SRC-3 (S.D. Riders)'!$B$6:$B$44,'SRC-2 (S.D. Revenue)'!F28,'SRC-3 (S.D. Riders)'!$C$6:$C$44,'SRC-2 (S.D. Revenue)'!E28)</f>
        <v>-196.42186228238131</v>
      </c>
      <c r="K28" s="305"/>
      <c r="L28" s="305">
        <v>0</v>
      </c>
      <c r="M28" s="305"/>
      <c r="N28" s="305">
        <f t="shared" si="2"/>
        <v>56057.586198935416</v>
      </c>
      <c r="O28" s="305">
        <f>SUMIFS('SRC-3 (S.D. Riders)'!$F$6:$F$44,'SRC-3 (S.D. Riders)'!$B$6:$B$44,F28,'SRC-3 (S.D. Riders)'!$C$6:$C$44,E28)</f>
        <v>38851.37813771762</v>
      </c>
      <c r="P28" s="318">
        <f>-SUM('CSR-Revenues'!G26,'CSR-Revenues'!R26)</f>
        <v>25613.67</v>
      </c>
      <c r="Q28" s="318">
        <f t="shared" si="0"/>
        <v>17206.208061217796</v>
      </c>
      <c r="R28" s="319"/>
    </row>
    <row r="29" spans="1:18" x14ac:dyDescent="0.2">
      <c r="A29" s="317">
        <f t="shared" si="1"/>
        <v>20</v>
      </c>
      <c r="B29" s="4" t="s">
        <v>921</v>
      </c>
      <c r="C29" s="4" t="s">
        <v>953</v>
      </c>
      <c r="D29" s="4" t="s">
        <v>954</v>
      </c>
      <c r="E29" t="s">
        <v>927</v>
      </c>
      <c r="F29" s="66" t="s">
        <v>60</v>
      </c>
      <c r="G29" s="329" t="s">
        <v>955</v>
      </c>
      <c r="H29" s="305">
        <v>2400752.7600000002</v>
      </c>
      <c r="I29" s="305">
        <f t="shared" si="6"/>
        <v>0</v>
      </c>
      <c r="J29" s="305">
        <f>SUMIFS('SRC-3 (S.D. Riders)'!$E$6:$E$44,'SRC-3 (S.D. Riders)'!$B$6:$B$44,'SRC-2 (S.D. Revenue)'!F29,'SRC-3 (S.D. Riders)'!$C$6:$C$44,'SRC-2 (S.D. Revenue)'!E29)</f>
        <v>0</v>
      </c>
      <c r="K29" s="305"/>
      <c r="L29" s="305">
        <v>0</v>
      </c>
      <c r="M29" s="305"/>
      <c r="N29" s="305">
        <f t="shared" si="2"/>
        <v>2400752.7600000002</v>
      </c>
      <c r="O29" s="305">
        <f>N29</f>
        <v>2400752.7600000002</v>
      </c>
      <c r="P29" s="318"/>
      <c r="Q29" s="318">
        <f t="shared" si="0"/>
        <v>0</v>
      </c>
      <c r="R29" s="319"/>
    </row>
    <row r="30" spans="1:18" x14ac:dyDescent="0.2">
      <c r="A30" s="317">
        <f t="shared" si="1"/>
        <v>21</v>
      </c>
      <c r="B30" s="4" t="s">
        <v>921</v>
      </c>
      <c r="C30" s="4" t="s">
        <v>956</v>
      </c>
      <c r="D30" s="4" t="s">
        <v>957</v>
      </c>
      <c r="E30" t="s">
        <v>927</v>
      </c>
      <c r="F30" s="66" t="s">
        <v>60</v>
      </c>
      <c r="G30" s="329"/>
      <c r="H30" s="305">
        <v>-2.4499999999975444</v>
      </c>
      <c r="I30" s="305">
        <f>-H30</f>
        <v>2.4499999999975444</v>
      </c>
      <c r="J30" s="305">
        <v>0</v>
      </c>
      <c r="K30" s="305">
        <v>0</v>
      </c>
      <c r="L30" s="305">
        <v>0</v>
      </c>
      <c r="M30" s="305"/>
      <c r="N30" s="305">
        <f>H30+I30+J30+K30+L30</f>
        <v>0</v>
      </c>
      <c r="O30" s="305">
        <f>SUMIFS('SRC-3 (S.D. Riders)'!$F$6:$F$44,'SRC-3 (S.D. Riders)'!$B$6:$B$44,F30,'SRC-3 (S.D. Riders)'!$C$6:$C$44,E30)</f>
        <v>0</v>
      </c>
      <c r="P30" s="318">
        <f>-SUM('CSR-Revenues'!G28,'CSR-Revenues'!R28)</f>
        <v>-2364.1699999999983</v>
      </c>
      <c r="Q30" s="318">
        <f t="shared" si="0"/>
        <v>0</v>
      </c>
      <c r="R30" s="319"/>
    </row>
    <row r="31" spans="1:18" ht="15.75" customHeight="1" x14ac:dyDescent="0.2">
      <c r="A31" s="317">
        <f t="shared" si="1"/>
        <v>22</v>
      </c>
      <c r="B31" s="4" t="s">
        <v>921</v>
      </c>
      <c r="C31" s="4" t="s">
        <v>958</v>
      </c>
      <c r="D31" s="4" t="s">
        <v>959</v>
      </c>
      <c r="E31" t="s">
        <v>927</v>
      </c>
      <c r="F31" s="66" t="s">
        <v>60</v>
      </c>
      <c r="G31" s="329"/>
      <c r="H31" s="305">
        <v>-3454.8700000000044</v>
      </c>
      <c r="I31" s="305"/>
      <c r="J31" s="305">
        <f>-H31</f>
        <v>3454.8700000000044</v>
      </c>
      <c r="K31" s="305">
        <v>0</v>
      </c>
      <c r="L31" s="305">
        <v>0</v>
      </c>
      <c r="M31" s="305"/>
      <c r="N31" s="305">
        <f>H31+I31+J31+K31+L31</f>
        <v>0</v>
      </c>
      <c r="O31" s="305">
        <f>SUMIFS('SRC-3 (S.D. Riders)'!$F$6:$F$44,'SRC-3 (S.D. Riders)'!$B$6:$B$44,F31,'SRC-3 (S.D. Riders)'!$C$6:$C$44,E31)</f>
        <v>0</v>
      </c>
      <c r="P31" s="318"/>
      <c r="Q31" s="318">
        <f t="shared" si="0"/>
        <v>0</v>
      </c>
      <c r="R31" s="319"/>
    </row>
    <row r="32" spans="1:18" x14ac:dyDescent="0.2">
      <c r="A32" s="317">
        <f>A31+1</f>
        <v>23</v>
      </c>
      <c r="B32" s="4" t="s">
        <v>921</v>
      </c>
      <c r="C32" s="4" t="s">
        <v>960</v>
      </c>
      <c r="D32" s="4" t="s">
        <v>961</v>
      </c>
      <c r="E32" t="s">
        <v>665</v>
      </c>
      <c r="F32"/>
      <c r="G32" s="329">
        <v>3</v>
      </c>
      <c r="H32" s="305">
        <v>1628986.19</v>
      </c>
      <c r="I32" s="305">
        <f>H32/SUM($H$32:$H$35)*SUM($H$36:$H$37)</f>
        <v>51886.665928623959</v>
      </c>
      <c r="J32" s="305"/>
      <c r="K32" s="305"/>
      <c r="L32" s="305"/>
      <c r="M32" s="305"/>
      <c r="N32" s="305">
        <f t="shared" si="2"/>
        <v>1680872.8559286238</v>
      </c>
      <c r="O32" s="305">
        <f>SUMIFS('SRC-3 (S.D. Riders)'!$F$6:$F$44,'SRC-3 (S.D. Riders)'!$B$6:$B$44,F32,'SRC-3 (S.D. Riders)'!$C$6:$C$44,E32)</f>
        <v>0</v>
      </c>
      <c r="P32" s="319">
        <f>-SUM('CSR-Revenues'!G32,'CSR-Revenues'!R32)</f>
        <v>317579.21999999997</v>
      </c>
      <c r="Q32" s="318">
        <f t="shared" si="0"/>
        <v>1680872.8559286238</v>
      </c>
      <c r="R32" s="319"/>
    </row>
    <row r="33" spans="1:18" x14ac:dyDescent="0.2">
      <c r="A33" s="317">
        <f t="shared" si="1"/>
        <v>24</v>
      </c>
      <c r="B33" s="4" t="s">
        <v>921</v>
      </c>
      <c r="C33" s="4" t="s">
        <v>960</v>
      </c>
      <c r="D33" s="4" t="s">
        <v>961</v>
      </c>
      <c r="E33" t="s">
        <v>438</v>
      </c>
      <c r="F33"/>
      <c r="G33" s="329">
        <v>2</v>
      </c>
      <c r="H33" s="305">
        <v>1824740.2300000002</v>
      </c>
      <c r="I33" s="305">
        <f t="shared" ref="I33:I35" si="7">H33/SUM($H$32:$H$35)*SUM($H$36:$H$37)</f>
        <v>58121.847380750631</v>
      </c>
      <c r="J33" s="305"/>
      <c r="K33" s="305"/>
      <c r="L33" s="305">
        <v>37013.30328</v>
      </c>
      <c r="M33" s="305"/>
      <c r="N33" s="305">
        <f t="shared" si="2"/>
        <v>1919875.3806607509</v>
      </c>
      <c r="O33" s="305">
        <f>SUMIFS('SRC-3 (S.D. Riders)'!$F$6:$F$44,'SRC-3 (S.D. Riders)'!$B$6:$B$44,F33,'SRC-3 (S.D. Riders)'!$C$6:$C$44,E33)</f>
        <v>0</v>
      </c>
      <c r="P33" s="319">
        <f>-SUM('CSR-Revenues'!G33,'CSR-Revenues'!R33)</f>
        <v>557285.91999999993</v>
      </c>
      <c r="Q33" s="318">
        <f t="shared" si="0"/>
        <v>1919875.3806607509</v>
      </c>
      <c r="R33" s="319"/>
    </row>
    <row r="34" spans="1:18" x14ac:dyDescent="0.2">
      <c r="A34" s="317">
        <f t="shared" si="1"/>
        <v>25</v>
      </c>
      <c r="B34" s="4" t="s">
        <v>921</v>
      </c>
      <c r="C34" s="4" t="s">
        <v>960</v>
      </c>
      <c r="D34" s="4" t="s">
        <v>961</v>
      </c>
      <c r="E34" t="s">
        <v>667</v>
      </c>
      <c r="F34"/>
      <c r="G34" s="329">
        <v>2</v>
      </c>
      <c r="H34" s="305">
        <v>1078770.29</v>
      </c>
      <c r="I34" s="305">
        <f t="shared" si="7"/>
        <v>34361.122270137101</v>
      </c>
      <c r="J34" s="305">
        <v>0</v>
      </c>
      <c r="K34" s="305">
        <v>0</v>
      </c>
      <c r="L34" s="305">
        <v>16567.575720000001</v>
      </c>
      <c r="M34" s="305"/>
      <c r="N34" s="305">
        <f t="shared" si="2"/>
        <v>1129698.9879901372</v>
      </c>
      <c r="O34" s="305">
        <f>SUMIFS('SRC-3 (S.D. Riders)'!$F$6:$F$44,'SRC-3 (S.D. Riders)'!$B$6:$B$44,F34,'SRC-3 (S.D. Riders)'!$C$6:$C$44,E34)</f>
        <v>0</v>
      </c>
      <c r="P34" s="319">
        <f>-SUM('CSR-Revenues'!G34,'CSR-Revenues'!R34)</f>
        <v>214394.57</v>
      </c>
      <c r="Q34" s="318">
        <f t="shared" si="0"/>
        <v>1129698.9879901372</v>
      </c>
      <c r="R34" s="319"/>
    </row>
    <row r="35" spans="1:18" x14ac:dyDescent="0.2">
      <c r="A35" s="317">
        <f t="shared" si="1"/>
        <v>26</v>
      </c>
      <c r="B35" s="4" t="s">
        <v>921</v>
      </c>
      <c r="C35" s="4" t="s">
        <v>960</v>
      </c>
      <c r="D35" s="4" t="s">
        <v>961</v>
      </c>
      <c r="E35" t="s">
        <v>439</v>
      </c>
      <c r="F35"/>
      <c r="G35" s="329">
        <v>1</v>
      </c>
      <c r="H35" s="305">
        <v>129304.87</v>
      </c>
      <c r="I35" s="305">
        <f t="shared" si="7"/>
        <v>4118.6344204883344</v>
      </c>
      <c r="J35" s="305">
        <v>0</v>
      </c>
      <c r="K35" s="305">
        <v>0</v>
      </c>
      <c r="L35" s="305">
        <v>3157.8572197595486</v>
      </c>
      <c r="M35" s="305"/>
      <c r="N35" s="305">
        <f t="shared" si="2"/>
        <v>136581.36164024787</v>
      </c>
      <c r="O35" s="305">
        <f>SUMIFS('SRC-3 (S.D. Riders)'!$F$6:$F$44,'SRC-3 (S.D. Riders)'!$B$6:$B$44,F35,'SRC-3 (S.D. Riders)'!$C$6:$C$44,E35)</f>
        <v>0</v>
      </c>
      <c r="P35" s="319">
        <f>-SUM('CSR-Revenues'!G35,'CSR-Revenues'!R35)</f>
        <v>8029.6299999999992</v>
      </c>
      <c r="Q35" s="318">
        <f t="shared" si="0"/>
        <v>136581.36164024787</v>
      </c>
      <c r="R35" s="319"/>
    </row>
    <row r="36" spans="1:18" x14ac:dyDescent="0.2">
      <c r="A36" s="317">
        <f t="shared" si="1"/>
        <v>27</v>
      </c>
      <c r="B36" s="4" t="s">
        <v>921</v>
      </c>
      <c r="C36" s="4" t="s">
        <v>960</v>
      </c>
      <c r="D36" s="4" t="s">
        <v>961</v>
      </c>
      <c r="E36" t="s">
        <v>927</v>
      </c>
      <c r="F36"/>
      <c r="G36" s="329"/>
      <c r="H36" s="305">
        <v>987.2600000000001</v>
      </c>
      <c r="I36" s="305">
        <f>-H36</f>
        <v>-987.2600000000001</v>
      </c>
      <c r="J36" s="305">
        <v>0</v>
      </c>
      <c r="K36" s="305">
        <v>0</v>
      </c>
      <c r="L36" s="305">
        <v>0</v>
      </c>
      <c r="M36" s="305"/>
      <c r="N36" s="305">
        <f t="shared" si="2"/>
        <v>0</v>
      </c>
      <c r="O36" s="305">
        <f>SUMIFS('SRC-3 (S.D. Riders)'!$F$6:$F$44,'SRC-3 (S.D. Riders)'!$B$6:$B$44,F36,'SRC-3 (S.D. Riders)'!$C$6:$C$44,E36)</f>
        <v>0</v>
      </c>
      <c r="Q36" s="318">
        <f t="shared" si="0"/>
        <v>0</v>
      </c>
      <c r="R36" s="313"/>
    </row>
    <row r="37" spans="1:18" x14ac:dyDescent="0.2">
      <c r="A37" s="317">
        <f t="shared" si="1"/>
        <v>28</v>
      </c>
      <c r="B37" s="4" t="s">
        <v>921</v>
      </c>
      <c r="C37" s="4" t="s">
        <v>960</v>
      </c>
      <c r="D37" s="4" t="s">
        <v>961</v>
      </c>
      <c r="E37" t="s">
        <v>927</v>
      </c>
      <c r="F37"/>
      <c r="G37" s="329"/>
      <c r="H37" s="305">
        <v>147501.01</v>
      </c>
      <c r="I37" s="305">
        <f>-H37</f>
        <v>-147501.01</v>
      </c>
      <c r="J37" s="305">
        <v>0</v>
      </c>
      <c r="K37" s="305">
        <v>0</v>
      </c>
      <c r="L37" s="305">
        <v>0</v>
      </c>
      <c r="M37" s="305"/>
      <c r="N37" s="305">
        <f t="shared" si="2"/>
        <v>0</v>
      </c>
      <c r="O37" s="305">
        <f>SUMIFS('SRC-3 (S.D. Riders)'!$F$6:$F$44,'SRC-3 (S.D. Riders)'!$B$6:$B$44,F37,'SRC-3 (S.D. Riders)'!$C$6:$C$44,E37)</f>
        <v>0</v>
      </c>
      <c r="Q37" s="318">
        <f t="shared" si="0"/>
        <v>0</v>
      </c>
      <c r="R37" s="319"/>
    </row>
    <row r="38" spans="1:18" x14ac:dyDescent="0.2">
      <c r="B38" s="321"/>
      <c r="C38" s="321"/>
      <c r="D38" s="321"/>
      <c r="E38" s="322"/>
      <c r="F38" s="322"/>
      <c r="G38" s="314"/>
      <c r="H38" s="314"/>
      <c r="I38" s="314"/>
      <c r="J38" s="314"/>
      <c r="K38" s="314"/>
      <c r="L38" s="314"/>
      <c r="M38" s="314"/>
      <c r="N38" s="314"/>
      <c r="O38" s="305"/>
      <c r="P38" s="314"/>
      <c r="Q38" s="314"/>
    </row>
    <row r="39" spans="1:18" ht="13.5" thickBot="1" x14ac:dyDescent="0.25">
      <c r="A39" s="317">
        <f>A37+1</f>
        <v>29</v>
      </c>
      <c r="B39" s="321"/>
      <c r="C39" s="321"/>
      <c r="D39" s="321" t="s">
        <v>286</v>
      </c>
      <c r="E39" s="322"/>
      <c r="F39" s="322"/>
      <c r="G39" s="314"/>
      <c r="H39" s="323">
        <f t="shared" ref="H39:Q39" si="8">SUM(H10:H37)</f>
        <v>95096176.150000021</v>
      </c>
      <c r="I39" s="174">
        <f t="shared" si="8"/>
        <v>-2.602326066698879E-2</v>
      </c>
      <c r="J39" s="174">
        <f t="shared" si="8"/>
        <v>4.5474735088646412E-13</v>
      </c>
      <c r="K39" s="174">
        <f t="shared" si="8"/>
        <v>-1.8189894035458565E-12</v>
      </c>
      <c r="L39" s="174">
        <f t="shared" si="8"/>
        <v>741366.11737759446</v>
      </c>
      <c r="M39" s="174">
        <f t="shared" si="8"/>
        <v>444709.3878823733</v>
      </c>
      <c r="N39" s="174">
        <f t="shared" si="8"/>
        <v>96282251.629236728</v>
      </c>
      <c r="O39" s="174">
        <f t="shared" si="8"/>
        <v>57037950.399999999</v>
      </c>
      <c r="P39" s="174">
        <f t="shared" si="8"/>
        <v>30213221.860000003</v>
      </c>
      <c r="Q39" s="174">
        <f t="shared" si="8"/>
        <v>39244301.229236707</v>
      </c>
    </row>
    <row r="40" spans="1:18" ht="13.5" thickTop="1" x14ac:dyDescent="0.2">
      <c r="A40" s="317"/>
      <c r="B40" s="321"/>
      <c r="C40" s="321"/>
      <c r="D40" s="321" t="s">
        <v>1010</v>
      </c>
      <c r="E40" s="322"/>
      <c r="F40" s="322"/>
      <c r="G40" s="314"/>
      <c r="H40" s="24">
        <v>10207101</v>
      </c>
      <c r="I40" s="305"/>
      <c r="J40" s="305"/>
      <c r="K40" s="305"/>
      <c r="L40" s="305"/>
      <c r="M40" s="305"/>
      <c r="N40" s="305"/>
      <c r="O40" s="305"/>
    </row>
    <row r="41" spans="1:18" x14ac:dyDescent="0.2">
      <c r="A41" s="317"/>
      <c r="B41" s="321"/>
      <c r="C41" s="321"/>
      <c r="D41" s="315" t="s">
        <v>1012</v>
      </c>
      <c r="H41" s="49">
        <v>144093</v>
      </c>
      <c r="L41" s="324" t="s">
        <v>175</v>
      </c>
      <c r="M41" s="324" t="s">
        <v>1049</v>
      </c>
      <c r="N41" s="318"/>
      <c r="P41" s="324" t="s">
        <v>175</v>
      </c>
      <c r="Q41" s="324" t="s">
        <v>500</v>
      </c>
    </row>
    <row r="42" spans="1:18" x14ac:dyDescent="0.2">
      <c r="A42" s="317">
        <f>A39+1</f>
        <v>30</v>
      </c>
      <c r="B42" s="321"/>
      <c r="C42" s="321"/>
      <c r="D42" s="315" t="s">
        <v>1008</v>
      </c>
      <c r="H42" s="49">
        <v>183208</v>
      </c>
      <c r="L42" s="330">
        <v>1</v>
      </c>
      <c r="M42" s="318">
        <f>SUMIF($G$10:$G$37,P42,M$10:M$38)</f>
        <v>363118.8722784053</v>
      </c>
      <c r="O42" s="318"/>
      <c r="P42" s="330">
        <v>1</v>
      </c>
      <c r="Q42" s="49">
        <f>SUMIF($G$10:$G$37,P42,Q$10:Q$37)</f>
        <v>31110524.412583891</v>
      </c>
    </row>
    <row r="43" spans="1:18" x14ac:dyDescent="0.2">
      <c r="A43" s="317">
        <f>A42+1</f>
        <v>31</v>
      </c>
      <c r="B43" s="321"/>
      <c r="C43" s="321"/>
      <c r="D43" s="315" t="s">
        <v>1013</v>
      </c>
      <c r="H43" s="325">
        <v>53175</v>
      </c>
      <c r="L43" s="330">
        <v>2</v>
      </c>
      <c r="M43" s="318">
        <f>SUMIF($G$10:$G$37,P43,M$10:M$38)</f>
        <v>79572.900886116317</v>
      </c>
      <c r="N43" s="318"/>
      <c r="P43" s="330">
        <v>2</v>
      </c>
      <c r="Q43" s="49">
        <f>SUMIF($G$10:$G$37,P43,Q$10:Q$37)</f>
        <v>6420269.9272695407</v>
      </c>
    </row>
    <row r="44" spans="1:18" x14ac:dyDescent="0.2">
      <c r="A44" s="317">
        <f>A43+1</f>
        <v>32</v>
      </c>
      <c r="B44" s="321"/>
      <c r="C44" s="321"/>
      <c r="D44" s="321" t="s">
        <v>177</v>
      </c>
      <c r="E44" s="322"/>
      <c r="F44" s="322"/>
      <c r="H44" s="326">
        <f>SUM(H39:H43)</f>
        <v>105683753.15000002</v>
      </c>
      <c r="L44" s="330">
        <v>3</v>
      </c>
      <c r="M44" s="318">
        <f>SUMIF($G$10:$G$37,P44,M$10:M$38)</f>
        <v>2017.6147178516585</v>
      </c>
      <c r="P44" s="330">
        <v>3</v>
      </c>
      <c r="Q44" s="49">
        <f>SUMIF($G$10:$G$37,P44,Q$10:Q$37)</f>
        <v>1713506.8893832762</v>
      </c>
    </row>
    <row r="45" spans="1:18" ht="13.5" thickBot="1" x14ac:dyDescent="0.25">
      <c r="D45" s="321" t="s">
        <v>1011</v>
      </c>
      <c r="E45" s="322"/>
      <c r="F45" s="322"/>
      <c r="H45" s="9">
        <v>105683752</v>
      </c>
      <c r="L45" s="315" t="s">
        <v>177</v>
      </c>
      <c r="M45" s="327">
        <f>SUM(M42:M44)</f>
        <v>444709.3878823733</v>
      </c>
    </row>
    <row r="46" spans="1:18" ht="14.25" thickTop="1" thickBot="1" x14ac:dyDescent="0.25">
      <c r="D46" s="321" t="s">
        <v>272</v>
      </c>
      <c r="E46" s="322"/>
      <c r="F46" s="322"/>
      <c r="H46" s="328">
        <f>+H44-H45</f>
        <v>1.1500000208616257</v>
      </c>
      <c r="L46" s="315" t="s">
        <v>597</v>
      </c>
      <c r="R46" s="4"/>
    </row>
    <row r="47" spans="1:18" ht="13.5" thickTop="1" x14ac:dyDescent="0.2">
      <c r="D47" s="66"/>
      <c r="E47" s="83"/>
      <c r="F47" s="83"/>
      <c r="G47" s="83"/>
      <c r="L47" s="315" t="s">
        <v>598</v>
      </c>
      <c r="R47" s="4"/>
    </row>
    <row r="48" spans="1:18" x14ac:dyDescent="0.2">
      <c r="D48" s="66"/>
      <c r="E48" s="83"/>
      <c r="F48" s="83"/>
      <c r="G48" s="83"/>
      <c r="L48" s="315" t="s">
        <v>599</v>
      </c>
      <c r="R48" s="4"/>
    </row>
    <row r="49" spans="1:18" x14ac:dyDescent="0.2">
      <c r="D49" s="66"/>
      <c r="E49" s="83"/>
      <c r="F49" s="83"/>
      <c r="G49" s="83"/>
      <c r="R49" s="4"/>
    </row>
    <row r="50" spans="1:18" x14ac:dyDescent="0.2">
      <c r="D50" s="66"/>
      <c r="E50" s="83"/>
      <c r="F50" s="83"/>
      <c r="G50" s="83"/>
      <c r="R50" s="4"/>
    </row>
    <row r="51" spans="1:18" x14ac:dyDescent="0.2">
      <c r="D51" s="66"/>
      <c r="E51" s="83"/>
      <c r="F51" s="83"/>
      <c r="G51" s="83"/>
      <c r="R51" s="4"/>
    </row>
    <row r="52" spans="1:18" x14ac:dyDescent="0.2">
      <c r="D52" s="66"/>
      <c r="E52" s="83"/>
      <c r="F52" s="83"/>
      <c r="G52" s="83"/>
      <c r="R52" s="4"/>
    </row>
    <row r="53" spans="1:18" x14ac:dyDescent="0.2">
      <c r="A53" s="66" t="s">
        <v>176</v>
      </c>
      <c r="B53" s="66"/>
      <c r="C53" s="66"/>
      <c r="D53" s="66"/>
      <c r="E53" s="83"/>
      <c r="F53" s="83"/>
      <c r="G53" s="83"/>
      <c r="R53" s="4"/>
    </row>
    <row r="54" spans="1:18" x14ac:dyDescent="0.2">
      <c r="A54" s="66" t="s">
        <v>285</v>
      </c>
      <c r="B54" s="66"/>
      <c r="C54" s="66"/>
      <c r="D54" s="66"/>
      <c r="E54" s="83"/>
      <c r="F54" s="83"/>
      <c r="G54" s="83"/>
      <c r="R54" s="4"/>
    </row>
    <row r="55" spans="1:18" x14ac:dyDescent="0.2">
      <c r="A55" s="66" t="s">
        <v>734</v>
      </c>
      <c r="B55" s="66"/>
      <c r="C55" s="66"/>
      <c r="D55" s="66"/>
      <c r="E55" s="83"/>
      <c r="F55" s="83"/>
      <c r="G55" s="83"/>
      <c r="R55" s="4"/>
    </row>
    <row r="56" spans="1:18" x14ac:dyDescent="0.2">
      <c r="A56" s="66" t="s">
        <v>1157</v>
      </c>
      <c r="B56" s="66"/>
      <c r="C56" s="66"/>
      <c r="D56" s="66"/>
      <c r="E56" s="83"/>
      <c r="F56" s="83"/>
      <c r="G56" s="83"/>
      <c r="R56" s="4"/>
    </row>
    <row r="57" spans="1:18" x14ac:dyDescent="0.2">
      <c r="A57" s="66" t="s">
        <v>1159</v>
      </c>
      <c r="B57" s="66"/>
      <c r="C57" s="66"/>
      <c r="D57" s="66"/>
      <c r="E57" s="83"/>
      <c r="F57" s="83"/>
      <c r="G57" s="83"/>
    </row>
    <row r="58" spans="1:18" x14ac:dyDescent="0.2">
      <c r="A58" s="66"/>
      <c r="B58" s="66"/>
      <c r="C58" s="66"/>
      <c r="D58" s="66"/>
      <c r="E58" s="83"/>
      <c r="F58" s="83"/>
      <c r="G58" s="83"/>
    </row>
    <row r="59" spans="1:18" x14ac:dyDescent="0.2">
      <c r="A59" s="66" t="s">
        <v>591</v>
      </c>
      <c r="B59" s="66"/>
      <c r="C59" s="66"/>
      <c r="D59" s="173"/>
      <c r="E59" s="83"/>
      <c r="F59" s="83"/>
      <c r="G59" s="83"/>
    </row>
    <row r="60" spans="1:18" x14ac:dyDescent="0.2">
      <c r="A60" s="66"/>
      <c r="B60" s="66"/>
      <c r="C60" s="66"/>
      <c r="D60" s="173"/>
      <c r="E60" s="83"/>
      <c r="F60" s="83"/>
      <c r="G60" s="83"/>
    </row>
    <row r="61" spans="1:18" x14ac:dyDescent="0.2">
      <c r="A61" s="66"/>
      <c r="B61" s="66" t="s">
        <v>594</v>
      </c>
      <c r="C61" s="66"/>
      <c r="D61" s="173"/>
      <c r="E61" s="83"/>
      <c r="F61" s="83"/>
      <c r="G61" s="83"/>
    </row>
    <row r="62" spans="1:18" x14ac:dyDescent="0.2">
      <c r="A62" s="66"/>
      <c r="B62" s="66"/>
      <c r="C62" s="66"/>
      <c r="D62" s="173"/>
      <c r="E62" s="83"/>
      <c r="F62" s="83"/>
      <c r="G62" s="83"/>
    </row>
    <row r="63" spans="1:18" x14ac:dyDescent="0.2">
      <c r="A63" s="66"/>
      <c r="B63" s="66" t="s">
        <v>592</v>
      </c>
      <c r="C63" s="66"/>
      <c r="D63" s="173"/>
      <c r="E63" s="83"/>
      <c r="F63" s="83"/>
      <c r="G63" s="83"/>
    </row>
    <row r="64" spans="1:18" x14ac:dyDescent="0.2">
      <c r="A64" s="66"/>
      <c r="B64" s="66" t="s">
        <v>595</v>
      </c>
      <c r="C64" s="66"/>
      <c r="D64" s="173"/>
      <c r="E64" s="83"/>
      <c r="F64" s="83"/>
      <c r="G64" s="83"/>
    </row>
    <row r="65" spans="1:7" x14ac:dyDescent="0.2">
      <c r="A65" s="66"/>
      <c r="B65" s="66" t="s">
        <v>593</v>
      </c>
      <c r="C65" s="66"/>
      <c r="D65" s="173"/>
      <c r="E65" s="83"/>
      <c r="F65" s="83"/>
      <c r="G65" s="83"/>
    </row>
    <row r="66" spans="1:7" x14ac:dyDescent="0.2">
      <c r="A66" s="66"/>
      <c r="B66" s="66"/>
      <c r="C66" s="66"/>
      <c r="D66" s="173"/>
      <c r="E66" s="83"/>
      <c r="F66" s="83"/>
      <c r="G66" s="83"/>
    </row>
    <row r="67" spans="1:7" x14ac:dyDescent="0.2">
      <c r="A67" s="66"/>
      <c r="B67" s="66" t="s">
        <v>794</v>
      </c>
      <c r="C67" s="66"/>
      <c r="D67" s="308"/>
    </row>
    <row r="68" spans="1:7" x14ac:dyDescent="0.2">
      <c r="A68" s="66"/>
      <c r="B68" s="66" t="s">
        <v>795</v>
      </c>
      <c r="C68" s="66"/>
      <c r="D68" s="308"/>
    </row>
    <row r="69" spans="1:7" x14ac:dyDescent="0.2">
      <c r="A69" s="66"/>
      <c r="B69" s="66"/>
      <c r="C69" s="66"/>
      <c r="D69" s="308"/>
    </row>
    <row r="70" spans="1:7" x14ac:dyDescent="0.2">
      <c r="A70" s="66"/>
      <c r="B70" s="66" t="s">
        <v>596</v>
      </c>
      <c r="C70" s="66"/>
      <c r="D70" s="308"/>
    </row>
    <row r="71" spans="1:7" x14ac:dyDescent="0.2">
      <c r="A71" s="66"/>
      <c r="B71" s="66"/>
      <c r="C71" s="66"/>
    </row>
    <row r="72" spans="1:7" x14ac:dyDescent="0.2">
      <c r="A72" s="66" t="s">
        <v>1160</v>
      </c>
      <c r="B72" s="66"/>
      <c r="C72" s="66"/>
    </row>
    <row r="73" spans="1:7" x14ac:dyDescent="0.2">
      <c r="A73" s="66" t="s">
        <v>796</v>
      </c>
      <c r="B73" s="66"/>
      <c r="C73" s="66"/>
    </row>
  </sheetData>
  <autoFilter ref="D7:D37" xr:uid="{00000000-0001-0000-0700-000000000000}"/>
  <pageMargins left="0.7" right="0.7" top="1.4963541666666667" bottom="0.75" header="0.5" footer="0.25"/>
  <pageSetup scale="65" fitToWidth="2" fitToHeight="2" pageOrder="overThenDown" orientation="landscape" r:id="rId1"/>
  <headerFooter alignWithMargins="0">
    <oddHeader>&amp;CRULE 20:10:13:98
STATEMENT O WORKPAPER - Tab &amp;A
South Dakota Jurisdictional Revenues by Rate Code
Test Year Ending December 31, 2025
Utility: MidAmerican Energy Company
Docket No. NG26-___
Individual Responsible: Stephen Stratton&amp;RPage &amp;P of &amp;N</oddHeader>
  </headerFooter>
  <colBreaks count="1" manualBreakCount="1">
    <brk id="10" max="87"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146B5-3D30-4B19-A15E-55750095E12E}">
  <sheetPr codeName="Sheet10"/>
  <dimension ref="A1:J95"/>
  <sheetViews>
    <sheetView view="pageLayout" zoomScaleNormal="100" workbookViewId="0"/>
  </sheetViews>
  <sheetFormatPr defaultColWidth="9.140625" defaultRowHeight="12.75" x14ac:dyDescent="0.2"/>
  <cols>
    <col min="1" max="1" width="6.85546875" style="66" customWidth="1"/>
    <col min="2" max="2" width="28" style="66" customWidth="1"/>
    <col min="3" max="3" width="20.85546875" style="66" customWidth="1"/>
    <col min="4" max="4" width="31.28515625" style="66" customWidth="1"/>
    <col min="5" max="5" width="13.5703125" style="66" bestFit="1" customWidth="1"/>
    <col min="6" max="6" width="15.42578125" style="66" customWidth="1"/>
    <col min="7" max="7" width="14.5703125" style="66" customWidth="1"/>
    <col min="8" max="8" width="12.28515625" style="66" customWidth="1"/>
    <col min="9" max="9" width="4.85546875" style="66" bestFit="1" customWidth="1"/>
    <col min="10" max="16384" width="9.140625" style="66"/>
  </cols>
  <sheetData>
    <row r="1" spans="1:6" ht="15" x14ac:dyDescent="0.2">
      <c r="A1" s="144" t="s">
        <v>476</v>
      </c>
    </row>
    <row r="3" spans="1:6" x14ac:dyDescent="0.2">
      <c r="A3" s="69" t="s">
        <v>24</v>
      </c>
      <c r="B3" s="69" t="s">
        <v>296</v>
      </c>
      <c r="C3" s="69" t="s">
        <v>295</v>
      </c>
      <c r="D3" s="105" t="s">
        <v>412</v>
      </c>
      <c r="E3" s="105" t="s">
        <v>490</v>
      </c>
      <c r="F3" s="105" t="s">
        <v>491</v>
      </c>
    </row>
    <row r="4" spans="1:6" x14ac:dyDescent="0.2">
      <c r="B4" s="83" t="s">
        <v>26</v>
      </c>
      <c r="C4" s="83" t="s">
        <v>27</v>
      </c>
      <c r="D4" s="83" t="s">
        <v>28</v>
      </c>
      <c r="E4" s="83" t="s">
        <v>29</v>
      </c>
      <c r="F4" s="83" t="s">
        <v>36</v>
      </c>
    </row>
    <row r="6" spans="1:6" x14ac:dyDescent="0.2">
      <c r="A6" s="71">
        <v>1</v>
      </c>
      <c r="B6" s="66" t="s">
        <v>62</v>
      </c>
      <c r="C6" s="66" t="s">
        <v>670</v>
      </c>
      <c r="D6" s="202">
        <v>123571.48999999999</v>
      </c>
      <c r="E6" s="175">
        <f>D6/SUM(D$6:D$7)*D$8</f>
        <v>-1065.1012044096794</v>
      </c>
      <c r="F6" s="175">
        <f>D6+E6</f>
        <v>122506.3887955903</v>
      </c>
    </row>
    <row r="7" spans="1:6" x14ac:dyDescent="0.2">
      <c r="A7" s="71">
        <f>A6+1</f>
        <v>2</v>
      </c>
      <c r="B7" s="66" t="s">
        <v>62</v>
      </c>
      <c r="C7" s="66" t="s">
        <v>668</v>
      </c>
      <c r="D7" s="202">
        <v>32140692.27</v>
      </c>
      <c r="E7" s="175">
        <f>D7/SUM(D$6:D$7)*D$8</f>
        <v>-277030.64879559091</v>
      </c>
      <c r="F7" s="175">
        <f>D7+E7</f>
        <v>31863661.62120441</v>
      </c>
    </row>
    <row r="8" spans="1:6" x14ac:dyDescent="0.2">
      <c r="A8" s="199">
        <f>A7+1</f>
        <v>3</v>
      </c>
      <c r="B8" s="69" t="s">
        <v>62</v>
      </c>
      <c r="C8" s="69" t="s">
        <v>294</v>
      </c>
      <c r="D8" s="176">
        <f>'SRC-2 (S.D. Revenue)'!H14</f>
        <v>-278095.75000000058</v>
      </c>
      <c r="E8" s="176">
        <f>-D8</f>
        <v>278095.75000000058</v>
      </c>
      <c r="F8" s="176">
        <f>D8+E8</f>
        <v>0</v>
      </c>
    </row>
    <row r="9" spans="1:6" x14ac:dyDescent="0.2">
      <c r="A9" s="71">
        <f>A8+1</f>
        <v>4</v>
      </c>
      <c r="D9" s="175">
        <f>SUM(D6:D8)</f>
        <v>31986168.009999998</v>
      </c>
      <c r="E9" s="175">
        <f t="shared" ref="E9:F9" si="0">SUM(E6:E8)</f>
        <v>0</v>
      </c>
      <c r="F9" s="175">
        <f t="shared" si="0"/>
        <v>31986168.010000002</v>
      </c>
    </row>
    <row r="10" spans="1:6" x14ac:dyDescent="0.2">
      <c r="A10" s="71"/>
      <c r="D10" s="175"/>
      <c r="E10" s="175"/>
      <c r="F10" s="175"/>
    </row>
    <row r="11" spans="1:6" x14ac:dyDescent="0.2">
      <c r="A11" s="71">
        <f>A9+1</f>
        <v>5</v>
      </c>
      <c r="B11" s="66" t="s">
        <v>61</v>
      </c>
      <c r="C11" s="66" t="s">
        <v>434</v>
      </c>
      <c r="D11" s="175">
        <v>349904</v>
      </c>
      <c r="E11" s="175">
        <f t="shared" ref="E11:E16" si="1">D11/SUM(D$11:D$16)*D$17</f>
        <v>-3008.8389297728918</v>
      </c>
      <c r="F11" s="175">
        <f t="shared" ref="F11:F17" si="2">D11+E11</f>
        <v>346895.1610702271</v>
      </c>
    </row>
    <row r="12" spans="1:6" x14ac:dyDescent="0.2">
      <c r="A12" s="71">
        <f>A11+1</f>
        <v>6</v>
      </c>
      <c r="B12" s="66" t="s">
        <v>61</v>
      </c>
      <c r="C12" s="66" t="s">
        <v>666</v>
      </c>
      <c r="D12" s="175">
        <v>12042537.879999999</v>
      </c>
      <c r="E12" s="175">
        <f t="shared" si="1"/>
        <v>-103554.27999282291</v>
      </c>
      <c r="F12" s="175">
        <f t="shared" si="2"/>
        <v>11938983.600007176</v>
      </c>
    </row>
    <row r="13" spans="1:6" x14ac:dyDescent="0.2">
      <c r="A13" s="71">
        <f t="shared" ref="A13:A17" si="3">A12+1</f>
        <v>7</v>
      </c>
      <c r="B13" s="66" t="s">
        <v>61</v>
      </c>
      <c r="C13" s="66" t="s">
        <v>670</v>
      </c>
      <c r="D13" s="175">
        <v>7358.08</v>
      </c>
      <c r="E13" s="175">
        <f t="shared" si="1"/>
        <v>-63.272433445697452</v>
      </c>
      <c r="F13" s="175">
        <f t="shared" si="2"/>
        <v>7294.8075665543029</v>
      </c>
    </row>
    <row r="14" spans="1:6" x14ac:dyDescent="0.2">
      <c r="A14" s="71">
        <f t="shared" si="3"/>
        <v>8</v>
      </c>
      <c r="B14" s="66" t="s">
        <v>61</v>
      </c>
      <c r="C14" s="66" t="s">
        <v>435</v>
      </c>
      <c r="D14" s="175">
        <v>132467.68999999997</v>
      </c>
      <c r="E14" s="175">
        <f t="shared" si="1"/>
        <v>-1139.0951306903812</v>
      </c>
      <c r="F14" s="175">
        <f t="shared" si="2"/>
        <v>131328.5948693096</v>
      </c>
    </row>
    <row r="15" spans="1:6" x14ac:dyDescent="0.2">
      <c r="A15" s="71">
        <f t="shared" si="3"/>
        <v>9</v>
      </c>
      <c r="B15" s="66" t="s">
        <v>61</v>
      </c>
      <c r="C15" s="66" t="s">
        <v>436</v>
      </c>
      <c r="D15" s="175">
        <v>31185.279999999999</v>
      </c>
      <c r="E15" s="175">
        <f t="shared" si="1"/>
        <v>-268.16350913355654</v>
      </c>
      <c r="F15" s="175">
        <f t="shared" si="2"/>
        <v>30917.116490866443</v>
      </c>
    </row>
    <row r="16" spans="1:6" x14ac:dyDescent="0.2">
      <c r="A16" s="71">
        <f t="shared" si="3"/>
        <v>10</v>
      </c>
      <c r="B16" s="66" t="s">
        <v>61</v>
      </c>
      <c r="C16" s="66" t="s">
        <v>668</v>
      </c>
      <c r="D16" s="175">
        <v>9594758.0200000014</v>
      </c>
      <c r="E16" s="175">
        <f t="shared" si="1"/>
        <v>-82505.720004134506</v>
      </c>
      <c r="F16" s="175">
        <f t="shared" si="2"/>
        <v>9512252.2999958675</v>
      </c>
    </row>
    <row r="17" spans="1:6" x14ac:dyDescent="0.2">
      <c r="A17" s="199">
        <f t="shared" si="3"/>
        <v>11</v>
      </c>
      <c r="B17" s="69" t="s">
        <v>61</v>
      </c>
      <c r="C17" s="69" t="s">
        <v>294</v>
      </c>
      <c r="D17" s="176">
        <f>'SRC-2 (S.D. Revenue)'!H23</f>
        <v>-190539.36999999994</v>
      </c>
      <c r="E17" s="176">
        <f>-D17</f>
        <v>190539.36999999994</v>
      </c>
      <c r="F17" s="176">
        <f t="shared" si="2"/>
        <v>0</v>
      </c>
    </row>
    <row r="18" spans="1:6" x14ac:dyDescent="0.2">
      <c r="A18" s="71">
        <f>A17+1</f>
        <v>12</v>
      </c>
      <c r="D18" s="175">
        <f t="shared" ref="D18:F18" si="4">SUM(D11:D17)</f>
        <v>21967671.579999998</v>
      </c>
      <c r="E18" s="175">
        <f t="shared" si="4"/>
        <v>0</v>
      </c>
      <c r="F18" s="175">
        <f t="shared" si="4"/>
        <v>21967671.580000006</v>
      </c>
    </row>
    <row r="19" spans="1:6" x14ac:dyDescent="0.2">
      <c r="A19" s="71"/>
      <c r="D19" s="175"/>
      <c r="E19" s="175"/>
      <c r="F19" s="175"/>
    </row>
    <row r="20" spans="1:6" x14ac:dyDescent="0.2">
      <c r="A20" s="71">
        <f>A18+1</f>
        <v>13</v>
      </c>
      <c r="B20" s="66" t="s">
        <v>60</v>
      </c>
      <c r="C20" s="66" t="s">
        <v>666</v>
      </c>
      <c r="D20" s="175">
        <f>618687+180</f>
        <v>618867</v>
      </c>
      <c r="E20" s="175">
        <f>D20/SUM(D$20:D$22)*D$23</f>
        <v>-3113.082136384392</v>
      </c>
      <c r="F20" s="175">
        <f>D20+E20</f>
        <v>615753.91786361556</v>
      </c>
    </row>
    <row r="21" spans="1:6" x14ac:dyDescent="0.2">
      <c r="A21" s="71">
        <f>A20+1</f>
        <v>14</v>
      </c>
      <c r="B21" s="66" t="s">
        <v>60</v>
      </c>
      <c r="C21" s="66" t="s">
        <v>436</v>
      </c>
      <c r="D21" s="175">
        <v>28898.12</v>
      </c>
      <c r="E21" s="175">
        <f>D21/SUM(D$20:D$22)*D$23</f>
        <v>-145.36600133323077</v>
      </c>
      <c r="F21" s="175">
        <f>D21+E21</f>
        <v>28752.753998666769</v>
      </c>
    </row>
    <row r="22" spans="1:6" x14ac:dyDescent="0.2">
      <c r="A22" s="71">
        <f>A21+1</f>
        <v>15</v>
      </c>
      <c r="B22" s="66" t="s">
        <v>60</v>
      </c>
      <c r="C22" s="66" t="s">
        <v>668</v>
      </c>
      <c r="D22" s="175">
        <v>39047.800000000003</v>
      </c>
      <c r="E22" s="175">
        <f>D22/SUM(D$20:D$22)*D$23</f>
        <v>-196.42186228238131</v>
      </c>
      <c r="F22" s="175">
        <f>D22+E22</f>
        <v>38851.37813771762</v>
      </c>
    </row>
    <row r="23" spans="1:6" x14ac:dyDescent="0.2">
      <c r="A23" s="199">
        <f>A22+1</f>
        <v>16</v>
      </c>
      <c r="B23" s="69" t="s">
        <v>60</v>
      </c>
      <c r="C23" s="69" t="s">
        <v>294</v>
      </c>
      <c r="D23" s="176">
        <f>'SRC-2 (S.D. Revenue)'!H31</f>
        <v>-3454.8700000000044</v>
      </c>
      <c r="E23" s="176">
        <f>-D23</f>
        <v>3454.8700000000044</v>
      </c>
      <c r="F23" s="176">
        <f>D23+E23</f>
        <v>0</v>
      </c>
    </row>
    <row r="24" spans="1:6" x14ac:dyDescent="0.2">
      <c r="A24" s="71">
        <f>A23+1</f>
        <v>17</v>
      </c>
      <c r="D24" s="175">
        <f>SUM(D20:D23)</f>
        <v>683358.05</v>
      </c>
      <c r="E24" s="175">
        <f t="shared" ref="E24:F24" si="5">SUM(E20:E23)</f>
        <v>0</v>
      </c>
      <c r="F24" s="175">
        <f t="shared" si="5"/>
        <v>683358.04999999993</v>
      </c>
    </row>
    <row r="25" spans="1:6" x14ac:dyDescent="0.2">
      <c r="A25" s="71"/>
      <c r="D25" s="175"/>
      <c r="E25" s="175"/>
      <c r="F25" s="175"/>
    </row>
    <row r="26" spans="1:6" x14ac:dyDescent="0.2">
      <c r="A26" s="71">
        <f>A24+1</f>
        <v>18</v>
      </c>
      <c r="B26" s="66" t="s">
        <v>293</v>
      </c>
      <c r="C26" s="66" t="s">
        <v>666</v>
      </c>
      <c r="D26" s="175">
        <v>9689.0400000000009</v>
      </c>
      <c r="E26" s="175">
        <f>D26/SUM(D$26:D$26)*D$28</f>
        <v>0</v>
      </c>
      <c r="F26" s="175">
        <f>D26+E26</f>
        <v>9689.0400000000009</v>
      </c>
    </row>
    <row r="27" spans="1:6" x14ac:dyDescent="0.2">
      <c r="A27" s="71">
        <f>A26+1</f>
        <v>19</v>
      </c>
      <c r="B27" s="66" t="s">
        <v>293</v>
      </c>
      <c r="C27" s="66" t="s">
        <v>668</v>
      </c>
      <c r="D27" s="175">
        <v>5333.1999999999989</v>
      </c>
      <c r="E27" s="175">
        <f>D27/SUM(D$26:D$27)*D$28</f>
        <v>0</v>
      </c>
      <c r="F27" s="175">
        <f>D27+E27</f>
        <v>5333.1999999999989</v>
      </c>
    </row>
    <row r="28" spans="1:6" x14ac:dyDescent="0.2">
      <c r="A28" s="199">
        <f>A27+1</f>
        <v>20</v>
      </c>
      <c r="B28" s="69" t="s">
        <v>293</v>
      </c>
      <c r="C28" s="69" t="s">
        <v>294</v>
      </c>
      <c r="D28" s="176">
        <v>0</v>
      </c>
      <c r="E28" s="176">
        <f>-D28</f>
        <v>0</v>
      </c>
      <c r="F28" s="176">
        <f>D28+E28</f>
        <v>0</v>
      </c>
    </row>
    <row r="29" spans="1:6" x14ac:dyDescent="0.2">
      <c r="A29" s="71">
        <f>A28+1</f>
        <v>21</v>
      </c>
      <c r="D29" s="175">
        <f t="shared" ref="D29:F29" si="6">SUM(D26:D28)</f>
        <v>15022.24</v>
      </c>
      <c r="E29" s="175">
        <f t="shared" si="6"/>
        <v>0</v>
      </c>
      <c r="F29" s="175">
        <f t="shared" si="6"/>
        <v>15022.24</v>
      </c>
    </row>
    <row r="30" spans="1:6" x14ac:dyDescent="0.2">
      <c r="A30" s="71"/>
      <c r="D30" s="175"/>
      <c r="E30" s="175"/>
      <c r="F30" s="175"/>
    </row>
    <row r="31" spans="1:6" x14ac:dyDescent="0.2">
      <c r="A31" s="71">
        <f>A29+1</f>
        <v>22</v>
      </c>
      <c r="B31" s="66" t="s">
        <v>484</v>
      </c>
      <c r="C31" s="66" t="s">
        <v>438</v>
      </c>
      <c r="D31" s="201">
        <v>0</v>
      </c>
      <c r="E31" s="175">
        <v>0</v>
      </c>
      <c r="F31" s="175">
        <f>D31+E31</f>
        <v>0</v>
      </c>
    </row>
    <row r="32" spans="1:6" x14ac:dyDescent="0.2">
      <c r="A32" s="71">
        <f>A31+1</f>
        <v>23</v>
      </c>
      <c r="C32" s="66" t="s">
        <v>439</v>
      </c>
      <c r="D32" s="201">
        <v>0</v>
      </c>
      <c r="E32" s="175">
        <v>0</v>
      </c>
      <c r="F32" s="175">
        <f>D32+E32</f>
        <v>0</v>
      </c>
    </row>
    <row r="33" spans="1:9" x14ac:dyDescent="0.2">
      <c r="A33" s="199">
        <f>A32+1</f>
        <v>24</v>
      </c>
      <c r="B33" s="69"/>
      <c r="C33" s="69" t="s">
        <v>294</v>
      </c>
      <c r="D33" s="200">
        <v>0</v>
      </c>
      <c r="E33" s="176">
        <v>0</v>
      </c>
      <c r="F33" s="176">
        <f>D33+E33</f>
        <v>0</v>
      </c>
    </row>
    <row r="34" spans="1:9" x14ac:dyDescent="0.2">
      <c r="A34" s="71">
        <f>A33+1</f>
        <v>25</v>
      </c>
      <c r="D34" s="175">
        <f t="shared" ref="D34:E34" si="7">SUM(D31:D33)</f>
        <v>0</v>
      </c>
      <c r="E34" s="175">
        <f t="shared" si="7"/>
        <v>0</v>
      </c>
      <c r="F34" s="175">
        <f>SUM(F31:F33)</f>
        <v>0</v>
      </c>
    </row>
    <row r="35" spans="1:9" x14ac:dyDescent="0.2">
      <c r="A35" s="71"/>
      <c r="D35" s="175"/>
      <c r="E35" s="175"/>
      <c r="F35" s="175"/>
    </row>
    <row r="36" spans="1:9" x14ac:dyDescent="0.2">
      <c r="A36" s="71">
        <f>A34+1</f>
        <v>26</v>
      </c>
      <c r="B36" s="66" t="s">
        <v>486</v>
      </c>
      <c r="C36" s="66" t="s">
        <v>438</v>
      </c>
      <c r="D36" s="201">
        <v>0</v>
      </c>
      <c r="E36" s="175">
        <v>0</v>
      </c>
      <c r="F36" s="175">
        <f>D36+E36</f>
        <v>0</v>
      </c>
    </row>
    <row r="37" spans="1:9" x14ac:dyDescent="0.2">
      <c r="A37" s="71">
        <f>A36+1</f>
        <v>27</v>
      </c>
      <c r="C37" s="66" t="s">
        <v>439</v>
      </c>
      <c r="D37" s="201">
        <v>0</v>
      </c>
      <c r="E37" s="175">
        <v>0</v>
      </c>
      <c r="F37" s="175">
        <f>D37+E37</f>
        <v>0</v>
      </c>
      <c r="H37" s="4"/>
      <c r="I37" s="4"/>
    </row>
    <row r="38" spans="1:9" x14ac:dyDescent="0.2">
      <c r="A38" s="199">
        <f>A37+1</f>
        <v>28</v>
      </c>
      <c r="B38" s="69"/>
      <c r="C38" s="69" t="s">
        <v>294</v>
      </c>
      <c r="D38" s="200">
        <v>0</v>
      </c>
      <c r="E38" s="176">
        <v>0</v>
      </c>
      <c r="F38" s="176">
        <f>D38+E38</f>
        <v>0</v>
      </c>
      <c r="H38" s="4"/>
      <c r="I38" s="4"/>
    </row>
    <row r="39" spans="1:9" x14ac:dyDescent="0.2">
      <c r="A39" s="71">
        <f t="shared" ref="A39" si="8">A38+1</f>
        <v>29</v>
      </c>
      <c r="D39" s="175">
        <f t="shared" ref="D39:E39" si="9">SUM(D36:D38)</f>
        <v>0</v>
      </c>
      <c r="E39" s="175">
        <f t="shared" si="9"/>
        <v>0</v>
      </c>
      <c r="F39" s="175">
        <f>SUM(F36:F38)</f>
        <v>0</v>
      </c>
      <c r="H39" s="4"/>
      <c r="I39" s="4"/>
    </row>
    <row r="40" spans="1:9" x14ac:dyDescent="0.2">
      <c r="A40" s="71"/>
      <c r="D40" s="175"/>
      <c r="E40" s="175"/>
      <c r="F40" s="175"/>
      <c r="H40" s="4"/>
      <c r="I40" s="4"/>
    </row>
    <row r="41" spans="1:9" x14ac:dyDescent="0.2">
      <c r="A41" s="71">
        <f>A39+1</f>
        <v>30</v>
      </c>
      <c r="B41" s="66" t="s">
        <v>487</v>
      </c>
      <c r="C41" s="66" t="s">
        <v>438</v>
      </c>
      <c r="D41" s="201">
        <v>0</v>
      </c>
      <c r="E41" s="175">
        <v>0</v>
      </c>
      <c r="F41" s="175">
        <f>D41+E41</f>
        <v>0</v>
      </c>
      <c r="H41" s="4"/>
      <c r="I41" s="4"/>
    </row>
    <row r="42" spans="1:9" x14ac:dyDescent="0.2">
      <c r="A42" s="71">
        <f>A41+1</f>
        <v>31</v>
      </c>
      <c r="C42" s="66" t="s">
        <v>439</v>
      </c>
      <c r="D42" s="201">
        <v>0</v>
      </c>
      <c r="E42" s="175">
        <v>0</v>
      </c>
      <c r="F42" s="175">
        <f>D42+E42</f>
        <v>0</v>
      </c>
      <c r="H42" s="4"/>
      <c r="I42" s="4"/>
    </row>
    <row r="43" spans="1:9" x14ac:dyDescent="0.2">
      <c r="A43" s="199">
        <f>A42+1</f>
        <v>32</v>
      </c>
      <c r="B43" s="69"/>
      <c r="C43" s="69" t="s">
        <v>294</v>
      </c>
      <c r="D43" s="200">
        <v>0</v>
      </c>
      <c r="E43" s="176">
        <v>0</v>
      </c>
      <c r="F43" s="176">
        <f>D43+E43</f>
        <v>0</v>
      </c>
      <c r="H43" s="4"/>
      <c r="I43" s="4"/>
    </row>
    <row r="44" spans="1:9" x14ac:dyDescent="0.2">
      <c r="A44" s="71">
        <f>A43+1</f>
        <v>33</v>
      </c>
      <c r="D44" s="175">
        <f t="shared" ref="D44:E44" si="10">SUM(D41:D43)</f>
        <v>0</v>
      </c>
      <c r="E44" s="175">
        <f t="shared" si="10"/>
        <v>0</v>
      </c>
      <c r="F44" s="175">
        <f>SUM(F41:F43)</f>
        <v>0</v>
      </c>
      <c r="H44" s="4"/>
      <c r="I44" s="4"/>
    </row>
    <row r="45" spans="1:9" x14ac:dyDescent="0.2">
      <c r="A45" s="71"/>
      <c r="D45" s="175"/>
      <c r="E45" s="175"/>
      <c r="F45" s="175"/>
      <c r="H45" s="4"/>
      <c r="I45" s="4"/>
    </row>
    <row r="46" spans="1:9" x14ac:dyDescent="0.2">
      <c r="A46" s="71">
        <f>A44+1</f>
        <v>34</v>
      </c>
      <c r="B46" s="66" t="s">
        <v>62</v>
      </c>
      <c r="D46" s="175">
        <f>+D9</f>
        <v>31986168.009999998</v>
      </c>
      <c r="E46" s="175">
        <f>E9</f>
        <v>0</v>
      </c>
      <c r="F46" s="175">
        <f>D46+E46</f>
        <v>31986168.009999998</v>
      </c>
      <c r="H46" s="4"/>
      <c r="I46" s="4"/>
    </row>
    <row r="47" spans="1:9" x14ac:dyDescent="0.2">
      <c r="A47" s="71">
        <f>A46+1</f>
        <v>35</v>
      </c>
      <c r="B47" s="66" t="s">
        <v>61</v>
      </c>
      <c r="D47" s="175">
        <f>+D18</f>
        <v>21967671.579999998</v>
      </c>
      <c r="E47" s="175">
        <f>E18</f>
        <v>0</v>
      </c>
      <c r="F47" s="175">
        <f>D47+E47</f>
        <v>21967671.579999998</v>
      </c>
      <c r="H47" s="4"/>
      <c r="I47" s="4"/>
    </row>
    <row r="48" spans="1:9" x14ac:dyDescent="0.2">
      <c r="A48" s="71">
        <f t="shared" ref="A48:A52" si="11">A47+1</f>
        <v>36</v>
      </c>
      <c r="B48" s="66" t="s">
        <v>60</v>
      </c>
      <c r="D48" s="175">
        <f>+D24</f>
        <v>683358.05</v>
      </c>
      <c r="E48" s="175">
        <f>E24</f>
        <v>0</v>
      </c>
      <c r="F48" s="175">
        <f>D48+E48</f>
        <v>683358.05</v>
      </c>
      <c r="H48" s="4"/>
      <c r="I48" s="4"/>
    </row>
    <row r="49" spans="1:9" x14ac:dyDescent="0.2">
      <c r="A49" s="71">
        <f t="shared" si="11"/>
        <v>37</v>
      </c>
      <c r="B49" s="66" t="s">
        <v>293</v>
      </c>
      <c r="D49" s="175">
        <f>+D29</f>
        <v>15022.24</v>
      </c>
      <c r="E49" s="175">
        <f>E29</f>
        <v>0</v>
      </c>
      <c r="F49" s="175">
        <f>D49+E49</f>
        <v>15022.24</v>
      </c>
      <c r="H49" s="4"/>
      <c r="I49" s="4"/>
    </row>
    <row r="50" spans="1:9" x14ac:dyDescent="0.2">
      <c r="A50" s="71">
        <f t="shared" si="11"/>
        <v>38</v>
      </c>
      <c r="B50" s="66" t="s">
        <v>484</v>
      </c>
      <c r="D50" s="175">
        <v>0</v>
      </c>
      <c r="E50" s="175">
        <f>E34</f>
        <v>0</v>
      </c>
      <c r="F50" s="175">
        <f>D50+E50</f>
        <v>0</v>
      </c>
      <c r="H50" s="4"/>
      <c r="I50" s="4"/>
    </row>
    <row r="51" spans="1:9" x14ac:dyDescent="0.2">
      <c r="A51" s="71">
        <f t="shared" si="11"/>
        <v>39</v>
      </c>
      <c r="B51" s="66" t="s">
        <v>486</v>
      </c>
      <c r="D51" s="175">
        <v>0</v>
      </c>
      <c r="E51" s="175">
        <f t="shared" ref="E51:F51" si="12">E39</f>
        <v>0</v>
      </c>
      <c r="F51" s="175">
        <f t="shared" si="12"/>
        <v>0</v>
      </c>
      <c r="H51" s="4"/>
      <c r="I51" s="4"/>
    </row>
    <row r="52" spans="1:9" x14ac:dyDescent="0.2">
      <c r="A52" s="71">
        <f t="shared" si="11"/>
        <v>40</v>
      </c>
      <c r="B52" s="66" t="s">
        <v>487</v>
      </c>
      <c r="D52" s="175">
        <v>0</v>
      </c>
      <c r="E52" s="175">
        <f t="shared" ref="E52:F52" si="13">E44</f>
        <v>0</v>
      </c>
      <c r="F52" s="175">
        <f t="shared" si="13"/>
        <v>0</v>
      </c>
      <c r="H52" s="4"/>
      <c r="I52" s="4"/>
    </row>
    <row r="53" spans="1:9" x14ac:dyDescent="0.2">
      <c r="A53" s="71"/>
      <c r="D53" s="175"/>
      <c r="E53" s="175"/>
      <c r="F53" s="175"/>
      <c r="H53" s="4"/>
      <c r="I53" s="4"/>
    </row>
    <row r="54" spans="1:9" x14ac:dyDescent="0.2">
      <c r="A54" s="71">
        <f>A52+1</f>
        <v>41</v>
      </c>
      <c r="B54" s="66" t="s">
        <v>292</v>
      </c>
      <c r="D54" s="175">
        <f t="shared" ref="D54:F54" si="14">SUM(D46:D52)-D49</f>
        <v>54637197.639999993</v>
      </c>
      <c r="E54" s="175">
        <f t="shared" si="14"/>
        <v>0</v>
      </c>
      <c r="F54" s="175">
        <f t="shared" si="14"/>
        <v>54637197.639999993</v>
      </c>
      <c r="H54" s="4"/>
      <c r="I54" s="4"/>
    </row>
    <row r="55" spans="1:9" x14ac:dyDescent="0.2">
      <c r="A55" s="71"/>
      <c r="D55" s="177"/>
      <c r="E55" s="175"/>
      <c r="F55" s="175"/>
      <c r="H55" s="4"/>
      <c r="I55" s="4"/>
    </row>
    <row r="56" spans="1:9" x14ac:dyDescent="0.2">
      <c r="A56" s="71">
        <f>A54+1</f>
        <v>42</v>
      </c>
      <c r="B56" s="66" t="s">
        <v>291</v>
      </c>
      <c r="D56" s="175">
        <f t="shared" ref="D56:E62" si="15">-D46</f>
        <v>-31986168.009999998</v>
      </c>
      <c r="E56" s="175">
        <f t="shared" si="15"/>
        <v>0</v>
      </c>
      <c r="F56" s="175">
        <f t="shared" ref="F56:F62" si="16">D56+E56</f>
        <v>-31986168.009999998</v>
      </c>
      <c r="H56" s="4"/>
      <c r="I56" s="4"/>
    </row>
    <row r="57" spans="1:9" x14ac:dyDescent="0.2">
      <c r="A57" s="71">
        <f>A56+1</f>
        <v>43</v>
      </c>
      <c r="B57" s="66" t="s">
        <v>290</v>
      </c>
      <c r="D57" s="175">
        <f t="shared" si="15"/>
        <v>-21967671.579999998</v>
      </c>
      <c r="E57" s="175">
        <f t="shared" si="15"/>
        <v>0</v>
      </c>
      <c r="F57" s="175">
        <f t="shared" si="16"/>
        <v>-21967671.579999998</v>
      </c>
      <c r="H57" s="4"/>
      <c r="I57" s="4"/>
    </row>
    <row r="58" spans="1:9" x14ac:dyDescent="0.2">
      <c r="A58" s="71">
        <f t="shared" ref="A58:A62" si="17">A57+1</f>
        <v>44</v>
      </c>
      <c r="B58" s="66" t="s">
        <v>289</v>
      </c>
      <c r="D58" s="175">
        <f t="shared" si="15"/>
        <v>-683358.05</v>
      </c>
      <c r="E58" s="175">
        <f t="shared" si="15"/>
        <v>0</v>
      </c>
      <c r="F58" s="175">
        <f t="shared" si="16"/>
        <v>-683358.05</v>
      </c>
    </row>
    <row r="59" spans="1:9" x14ac:dyDescent="0.2">
      <c r="A59" s="71">
        <f t="shared" si="17"/>
        <v>45</v>
      </c>
      <c r="B59" s="66" t="s">
        <v>483</v>
      </c>
      <c r="D59" s="175">
        <f t="shared" si="15"/>
        <v>-15022.24</v>
      </c>
      <c r="E59" s="175">
        <f t="shared" si="15"/>
        <v>0</v>
      </c>
      <c r="F59" s="175">
        <f t="shared" si="16"/>
        <v>-15022.24</v>
      </c>
    </row>
    <row r="60" spans="1:9" x14ac:dyDescent="0.2">
      <c r="A60" s="71">
        <f t="shared" si="17"/>
        <v>46</v>
      </c>
      <c r="B60" s="66" t="s">
        <v>485</v>
      </c>
      <c r="D60" s="175">
        <f t="shared" si="15"/>
        <v>0</v>
      </c>
      <c r="E60" s="175">
        <f t="shared" si="15"/>
        <v>0</v>
      </c>
      <c r="F60" s="175">
        <f t="shared" si="16"/>
        <v>0</v>
      </c>
    </row>
    <row r="61" spans="1:9" x14ac:dyDescent="0.2">
      <c r="A61" s="71">
        <f t="shared" si="17"/>
        <v>47</v>
      </c>
      <c r="B61" s="66" t="s">
        <v>488</v>
      </c>
      <c r="D61" s="175">
        <f t="shared" si="15"/>
        <v>0</v>
      </c>
      <c r="E61" s="175">
        <f t="shared" si="15"/>
        <v>0</v>
      </c>
      <c r="F61" s="175">
        <f t="shared" si="16"/>
        <v>0</v>
      </c>
    </row>
    <row r="62" spans="1:9" x14ac:dyDescent="0.2">
      <c r="A62" s="71">
        <f t="shared" si="17"/>
        <v>48</v>
      </c>
      <c r="B62" s="66" t="s">
        <v>489</v>
      </c>
      <c r="D62" s="175">
        <f t="shared" si="15"/>
        <v>0</v>
      </c>
      <c r="E62" s="175">
        <f t="shared" si="15"/>
        <v>0</v>
      </c>
      <c r="F62" s="175">
        <f t="shared" si="16"/>
        <v>0</v>
      </c>
    </row>
    <row r="63" spans="1:9" x14ac:dyDescent="0.2">
      <c r="A63" s="71"/>
    </row>
    <row r="64" spans="1:9" x14ac:dyDescent="0.2">
      <c r="D64" s="83"/>
      <c r="F64" s="491" t="s">
        <v>1063</v>
      </c>
      <c r="G64" s="491"/>
      <c r="H64" s="491"/>
    </row>
    <row r="65" spans="1:10" x14ac:dyDescent="0.2">
      <c r="D65" s="83"/>
      <c r="F65" s="297" t="s">
        <v>1064</v>
      </c>
      <c r="G65" s="476" t="s">
        <v>1065</v>
      </c>
      <c r="H65" s="297" t="s">
        <v>1062</v>
      </c>
    </row>
    <row r="66" spans="1:10" x14ac:dyDescent="0.2">
      <c r="A66" s="71">
        <f>+A62+1</f>
        <v>49</v>
      </c>
      <c r="C66" s="66" t="s">
        <v>668</v>
      </c>
      <c r="D66" s="83"/>
      <c r="F66" s="11">
        <f>SUMIF($C$6:$C$24,$C66,$F$6:$F$24)</f>
        <v>41414765.299337991</v>
      </c>
      <c r="G66" s="477">
        <f>+'Billing Determinants'!C14</f>
        <v>81705045</v>
      </c>
      <c r="H66" s="478">
        <f>+F66/G66</f>
        <v>0.5068813718827031</v>
      </c>
    </row>
    <row r="67" spans="1:10" x14ac:dyDescent="0.2">
      <c r="A67" s="71">
        <f>+A66+1</f>
        <v>50</v>
      </c>
      <c r="C67" s="66" t="s">
        <v>666</v>
      </c>
      <c r="D67" s="83"/>
      <c r="F67" s="11">
        <f t="shared" ref="F67:F73" si="18">SUMIF($C$6:$C$24,$C67,$F$6:$F$24)</f>
        <v>12554737.517870791</v>
      </c>
      <c r="G67" s="477">
        <f>+'Billing Determinants'!C18</f>
        <v>24250967</v>
      </c>
      <c r="H67" s="478">
        <f t="shared" ref="H67:H73" si="19">+F67/G67</f>
        <v>0.51770049078334857</v>
      </c>
    </row>
    <row r="68" spans="1:10" x14ac:dyDescent="0.2">
      <c r="A68" s="71">
        <f t="shared" ref="A68:A76" si="20">+A67+1</f>
        <v>51</v>
      </c>
      <c r="C68" s="66" t="s">
        <v>439</v>
      </c>
      <c r="D68" s="83"/>
      <c r="F68" s="11"/>
      <c r="G68" s="477"/>
      <c r="H68" s="478"/>
    </row>
    <row r="69" spans="1:10" x14ac:dyDescent="0.2">
      <c r="A69" s="71">
        <f t="shared" si="20"/>
        <v>52</v>
      </c>
      <c r="C69" s="66" t="s">
        <v>438</v>
      </c>
      <c r="D69" s="83"/>
      <c r="F69" s="11"/>
      <c r="G69" s="477"/>
      <c r="H69" s="478"/>
    </row>
    <row r="70" spans="1:10" x14ac:dyDescent="0.2">
      <c r="A70" s="71">
        <f t="shared" si="20"/>
        <v>53</v>
      </c>
      <c r="C70" s="66" t="s">
        <v>436</v>
      </c>
      <c r="D70" s="83"/>
      <c r="F70" s="11">
        <f t="shared" si="18"/>
        <v>59669.870489533212</v>
      </c>
      <c r="G70" s="477">
        <f>+'Billing Determinants'!C15</f>
        <v>188059</v>
      </c>
      <c r="H70" s="478">
        <f t="shared" si="19"/>
        <v>0.31729335203065639</v>
      </c>
      <c r="J70" s="172"/>
    </row>
    <row r="71" spans="1:10" x14ac:dyDescent="0.2">
      <c r="A71" s="71">
        <f t="shared" si="20"/>
        <v>54</v>
      </c>
      <c r="C71" s="66" t="s">
        <v>434</v>
      </c>
      <c r="F71" s="11">
        <f t="shared" si="18"/>
        <v>346895.1610702271</v>
      </c>
      <c r="G71" s="477">
        <f>+'Billing Determinants'!C22</f>
        <v>898872</v>
      </c>
      <c r="H71" s="478">
        <f t="shared" si="19"/>
        <v>0.38592275771214046</v>
      </c>
      <c r="J71" s="172"/>
    </row>
    <row r="72" spans="1:10" x14ac:dyDescent="0.2">
      <c r="A72" s="71">
        <f t="shared" si="20"/>
        <v>55</v>
      </c>
      <c r="C72" s="66" t="s">
        <v>435</v>
      </c>
      <c r="F72" s="11">
        <f t="shared" si="18"/>
        <v>131328.5948693096</v>
      </c>
      <c r="G72" s="477">
        <f>+'Billing Determinants'!C11</f>
        <v>232691</v>
      </c>
      <c r="H72" s="478">
        <f t="shared" si="19"/>
        <v>0.56439052163302228</v>
      </c>
    </row>
    <row r="73" spans="1:10" x14ac:dyDescent="0.2">
      <c r="A73" s="71">
        <f t="shared" si="20"/>
        <v>56</v>
      </c>
      <c r="C73" s="66" t="s">
        <v>670</v>
      </c>
      <c r="F73" s="11">
        <f t="shared" si="18"/>
        <v>129801.1963621446</v>
      </c>
      <c r="G73" s="477">
        <f>+'Billing Determinants'!C10</f>
        <v>264091</v>
      </c>
      <c r="H73" s="478">
        <f t="shared" si="19"/>
        <v>0.49150177916757709</v>
      </c>
    </row>
    <row r="74" spans="1:10" x14ac:dyDescent="0.2">
      <c r="A74" s="71">
        <f t="shared" si="20"/>
        <v>57</v>
      </c>
      <c r="C74" s="66" t="s">
        <v>667</v>
      </c>
      <c r="F74" s="11"/>
      <c r="G74" s="477"/>
      <c r="H74" s="478"/>
    </row>
    <row r="75" spans="1:10" x14ac:dyDescent="0.2">
      <c r="A75" s="71">
        <f t="shared" si="20"/>
        <v>58</v>
      </c>
      <c r="C75" s="66" t="s">
        <v>665</v>
      </c>
      <c r="F75" s="479"/>
      <c r="G75" s="480"/>
      <c r="H75" s="481"/>
    </row>
    <row r="76" spans="1:10" x14ac:dyDescent="0.2">
      <c r="A76" s="71">
        <f t="shared" si="20"/>
        <v>59</v>
      </c>
      <c r="C76" s="66" t="s">
        <v>177</v>
      </c>
      <c r="F76" s="482">
        <f>SUM(F66:F75)</f>
        <v>54637197.639999993</v>
      </c>
      <c r="G76" s="483">
        <f>SUM(G66:G75)</f>
        <v>107539725</v>
      </c>
      <c r="H76" s="478">
        <f>+F76/G76</f>
        <v>0.50806525346796261</v>
      </c>
    </row>
    <row r="77" spans="1:10" x14ac:dyDescent="0.2">
      <c r="C77" s="66" t="s">
        <v>1066</v>
      </c>
      <c r="F77" s="479">
        <f>+'SRC-2 (S.D. Revenue)'!O29</f>
        <v>2400752.7600000002</v>
      </c>
    </row>
    <row r="78" spans="1:10" ht="13.5" thickBot="1" x14ac:dyDescent="0.25">
      <c r="C78" s="66" t="s">
        <v>1067</v>
      </c>
      <c r="F78" s="484">
        <f>+F76+F77</f>
        <v>57037950.399999991</v>
      </c>
    </row>
    <row r="79" spans="1:10" ht="13.5" thickTop="1" x14ac:dyDescent="0.2">
      <c r="F79" s="482">
        <v>0.309999980032444</v>
      </c>
    </row>
    <row r="85" spans="2:2" x14ac:dyDescent="0.2">
      <c r="B85" s="66" t="s">
        <v>176</v>
      </c>
    </row>
    <row r="86" spans="2:2" x14ac:dyDescent="0.2">
      <c r="B86" s="66" t="s">
        <v>836</v>
      </c>
    </row>
    <row r="88" spans="2:2" x14ac:dyDescent="0.2">
      <c r="B88" s="66" t="s">
        <v>288</v>
      </c>
    </row>
    <row r="89" spans="2:2" x14ac:dyDescent="0.2">
      <c r="B89" s="66" t="s">
        <v>710</v>
      </c>
    </row>
    <row r="91" spans="2:2" x14ac:dyDescent="0.2">
      <c r="B91" s="66" t="s">
        <v>46</v>
      </c>
    </row>
    <row r="92" spans="2:2" x14ac:dyDescent="0.2">
      <c r="B92" s="66" t="s">
        <v>1158</v>
      </c>
    </row>
    <row r="93" spans="2:2" x14ac:dyDescent="0.2">
      <c r="B93" s="66" t="s">
        <v>1161</v>
      </c>
    </row>
    <row r="94" spans="2:2" x14ac:dyDescent="0.2">
      <c r="B94" s="66" t="s">
        <v>711</v>
      </c>
    </row>
    <row r="95" spans="2:2" x14ac:dyDescent="0.2">
      <c r="B95" s="66" t="s">
        <v>712</v>
      </c>
    </row>
  </sheetData>
  <mergeCells count="1">
    <mergeCell ref="F64:H64"/>
  </mergeCells>
  <pageMargins left="0.7" right="0.7" top="1.21875" bottom="0.75" header="0.3" footer="0.3"/>
  <pageSetup scale="60" pageOrder="overThenDown" orientation="landscape" useFirstPageNumber="1" r:id="rId1"/>
  <headerFooter>
    <oddHeader>&amp;CRULE 20:10:13:98
STATEMENT O WORKPAPER - Tab &amp;A
South Dakota Jurisdictional Rider Revenue by Rate Code
Test Year Ending December 31, 2025
Utility: MidAmerican Energy Company
Docket No. NG26-___
Individual Responsible: Stephen Stratton&amp;RPage &amp;P of &amp;N</oddHeader>
  </headerFooter>
  <rowBreaks count="1" manualBreakCount="1">
    <brk id="6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17</vt:i4>
      </vt:variant>
    </vt:vector>
  </HeadingPairs>
  <TitlesOfParts>
    <vt:vector size="38" baseType="lpstr">
      <vt:lpstr>FUN-1 (Results)</vt:lpstr>
      <vt:lpstr>FUN-2 (Test Year)</vt:lpstr>
      <vt:lpstr>FUN-3 (Functional COS)</vt:lpstr>
      <vt:lpstr>FUN-4 (Functional Allocators)</vt:lpstr>
      <vt:lpstr>FUN-5 (Payroll)</vt:lpstr>
      <vt:lpstr>CLS1-1 (Class COS)</vt:lpstr>
      <vt:lpstr>SRC-1 (S.D. Sales)</vt:lpstr>
      <vt:lpstr>SRC-2 (S.D. Revenue)</vt:lpstr>
      <vt:lpstr>SRC-3 (S.D. Riders)</vt:lpstr>
      <vt:lpstr>SRC-4 (S.D. Customers)</vt:lpstr>
      <vt:lpstr>SRC5 (Monthly Sales)</vt:lpstr>
      <vt:lpstr>CSR-Revenues</vt:lpstr>
      <vt:lpstr>ALO-1 (Design Day Peak)</vt:lpstr>
      <vt:lpstr>Billing Determinants</vt:lpstr>
      <vt:lpstr>Rate Summary</vt:lpstr>
      <vt:lpstr>RD-1 (SV)</vt:lpstr>
      <vt:lpstr>RD-2 (MV)</vt:lpstr>
      <vt:lpstr>RD-3 (LV)</vt:lpstr>
      <vt:lpstr>RD-4 (MTR)</vt:lpstr>
      <vt:lpstr>RD-5 (INTRVL METER)</vt:lpstr>
      <vt:lpstr>RD-6 (NF RATE SCHEDULE)</vt:lpstr>
      <vt:lpstr>AlocList</vt:lpstr>
      <vt:lpstr>AlocTable</vt:lpstr>
      <vt:lpstr>'RD-5 (INTRVL METER)'!Print_Area</vt:lpstr>
      <vt:lpstr>'RD-6 (NF RATE SCHEDULE)'!Print_Area</vt:lpstr>
      <vt:lpstr>'ALO-1 (Design Day Peak)'!Print_Titles</vt:lpstr>
      <vt:lpstr>'CLS1-1 (Class COS)'!Print_Titles</vt:lpstr>
      <vt:lpstr>'FUN-1 (Results)'!Print_Titles</vt:lpstr>
      <vt:lpstr>'FUN-2 (Test Year)'!Print_Titles</vt:lpstr>
      <vt:lpstr>'FUN-3 (Functional COS)'!Print_Titles</vt:lpstr>
      <vt:lpstr>'FUN-4 (Functional Allocators)'!Print_Titles</vt:lpstr>
      <vt:lpstr>'FUN-5 (Payroll)'!Print_Titles</vt:lpstr>
      <vt:lpstr>'RD-4 (MTR)'!Print_Titles</vt:lpstr>
      <vt:lpstr>'RD-6 (NF RATE SCHEDULE)'!Print_Titles</vt:lpstr>
      <vt:lpstr>'SRC-1 (S.D. Sales)'!Print_Titles</vt:lpstr>
      <vt:lpstr>'SRC-2 (S.D. Revenue)'!Print_Titles</vt:lpstr>
      <vt:lpstr>'SRC-3 (S.D. Riders)'!Print_Titles</vt:lpstr>
      <vt:lpstr>'SRC-4 (S.D. Customers)'!Print_Titles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2026-08-17T16:47:30Z</dcterms:created>
  <dcterms:modified xsi:type="dcterms:W3CDTF">2026-08-17T16:48:14Z</dcterms:modified>
</cp:coreProperties>
</file>