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674815A-5041-460B-8B53-DB360CDB2B6A}" xr6:coauthVersionLast="47" xr6:coauthVersionMax="47" xr10:uidLastSave="{00000000-0000-0000-0000-000000000000}"/>
  <bookViews>
    <workbookView xWindow="28680" yWindow="-120" windowWidth="29040" windowHeight="15720" tabRatio="867" xr2:uid="{AB6883AD-4987-49C3-87DD-05B2C8B4ED03}"/>
  </bookViews>
  <sheets>
    <sheet name="Statement N(1)" sheetId="9" r:id="rId1"/>
    <sheet name="Statement N(2)" sheetId="2" r:id="rId2"/>
    <sheet name="Statement N(3)" sheetId="8" r:id="rId3"/>
    <sheet name="Statement N(4)" sheetId="10" r:id="rId4"/>
    <sheet name="Statement N(5)" sheetId="5" r:id="rId5"/>
    <sheet name="Statement N(6)" sheetId="6" r:id="rId6"/>
    <sheet name="Statement N(7)" sheetId="7" r:id="rId7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AlocList" localSheetId="3">#REF!</definedName>
    <definedName name="AlocList" localSheetId="4">#REF!</definedName>
    <definedName name="AlocList">#REF!</definedName>
    <definedName name="AlocTable" localSheetId="4">#REF!</definedName>
    <definedName name="AlocTable">#REF!</definedName>
    <definedName name="_xlnm.Print_Area" localSheetId="1">'Statement N(2)'!$A$1:$J$22</definedName>
    <definedName name="_xlnm.Print_Area" localSheetId="2">'Statement N(3)'!$A$1:$J$22</definedName>
    <definedName name="Print_Area_MI" localSheetId="0">#REF!</definedName>
    <definedName name="Print_Area_MI">#REF!</definedName>
    <definedName name="_xlnm.Print_Titles" localSheetId="0">'Statement N(1)'!$A:$G,'Statement N(1)'!$1:$5</definedName>
    <definedName name="_xlnm.Print_Titles" localSheetId="3">'Statement N(4)'!$1:$14</definedName>
    <definedName name="qryIADemand" localSheetId="4">#REF!</definedName>
    <definedName name="qryIADemand">#REF!</definedName>
    <definedName name="Recover" localSheetId="0">#REF!</definedName>
    <definedName name="Recover" localSheetId="3">#REF!</definedName>
    <definedName name="Recover" localSheetId="4">#REF!</definedName>
    <definedName name="Recover">#REF!</definedName>
    <definedName name="TableName">"Dummy"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5" l="1"/>
  <c r="G10" i="5" l="1"/>
  <c r="E10" i="5"/>
  <c r="D10" i="5"/>
  <c r="C10" i="5"/>
  <c r="I5" i="10"/>
  <c r="H5" i="10"/>
  <c r="G5" i="10"/>
  <c r="H38" i="10"/>
  <c r="L34" i="10"/>
  <c r="L33" i="10"/>
  <c r="L32" i="10"/>
  <c r="J31" i="10"/>
  <c r="L31" i="10" s="1"/>
  <c r="L29" i="10"/>
  <c r="J25" i="10"/>
  <c r="L25" i="10" s="1"/>
  <c r="J24" i="10"/>
  <c r="L24" i="10" s="1"/>
  <c r="J23" i="10"/>
  <c r="L23" i="10" s="1"/>
  <c r="J22" i="10"/>
  <c r="L22" i="10" s="1"/>
  <c r="L20" i="10"/>
  <c r="L19" i="10"/>
  <c r="L18" i="10"/>
  <c r="L17" i="10"/>
  <c r="L16" i="10"/>
  <c r="A16" i="10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8" i="10" s="1"/>
  <c r="L15" i="10"/>
  <c r="T255" i="9"/>
  <c r="S255" i="9"/>
  <c r="R255" i="9"/>
  <c r="Q255" i="9"/>
  <c r="M255" i="9"/>
  <c r="L255" i="9"/>
  <c r="K255" i="9"/>
  <c r="J255" i="9"/>
  <c r="I255" i="9"/>
  <c r="P255" i="9"/>
  <c r="H199" i="9"/>
  <c r="R169" i="9"/>
  <c r="Q169" i="9"/>
  <c r="J169" i="9"/>
  <c r="I169" i="9"/>
  <c r="H108" i="9"/>
  <c r="H74" i="9"/>
  <c r="P62" i="9"/>
  <c r="N51" i="9"/>
  <c r="M51" i="9"/>
  <c r="K51" i="9"/>
  <c r="H51" i="9"/>
  <c r="S51" i="9"/>
  <c r="R51" i="9"/>
  <c r="Q51" i="9"/>
  <c r="L51" i="9"/>
  <c r="J51" i="9"/>
  <c r="I51" i="9"/>
  <c r="P51" i="9"/>
  <c r="P47" i="9"/>
  <c r="H47" i="9"/>
  <c r="O47" i="9"/>
  <c r="N47" i="9"/>
  <c r="M47" i="9"/>
  <c r="A13" i="9"/>
  <c r="A14" i="9" s="1"/>
  <c r="A15" i="9" s="1"/>
  <c r="A16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6" i="9" s="1"/>
  <c r="A47" i="9" s="1"/>
  <c r="A50" i="9" s="1"/>
  <c r="A51" i="9" s="1"/>
  <c r="A53" i="9" s="1"/>
  <c r="A57" i="9" s="1"/>
  <c r="A58" i="9" s="1"/>
  <c r="A59" i="9" s="1"/>
  <c r="A60" i="9" s="1"/>
  <c r="A61" i="9" s="1"/>
  <c r="A62" i="9" s="1"/>
  <c r="A64" i="9" s="1"/>
  <c r="A69" i="9" s="1"/>
  <c r="A70" i="9" s="1"/>
  <c r="A71" i="9" s="1"/>
  <c r="A72" i="9" s="1"/>
  <c r="A73" i="9" s="1"/>
  <c r="A74" i="9" s="1"/>
  <c r="A76" i="9" s="1"/>
  <c r="A77" i="9" s="1"/>
  <c r="A78" i="9" s="1"/>
  <c r="A79" i="9" s="1"/>
  <c r="A80" i="9" s="1"/>
  <c r="A81" i="9" s="1"/>
  <c r="A82" i="9" s="1"/>
  <c r="A84" i="9" s="1"/>
  <c r="A86" i="9" s="1"/>
  <c r="A93" i="9" s="1"/>
  <c r="A94" i="9" s="1"/>
  <c r="A95" i="9" s="1"/>
  <c r="A96" i="9" s="1"/>
  <c r="A97" i="9" s="1"/>
  <c r="A98" i="9" s="1"/>
  <c r="A100" i="9" s="1"/>
  <c r="A101" i="9" s="1"/>
  <c r="A102" i="9" s="1"/>
  <c r="A104" i="9" s="1"/>
  <c r="A105" i="9" s="1"/>
  <c r="A106" i="9" s="1"/>
  <c r="A107" i="9" s="1"/>
  <c r="A108" i="9" s="1"/>
  <c r="A112" i="9" s="1"/>
  <c r="A113" i="9" s="1"/>
  <c r="A114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2" i="9" s="1"/>
  <c r="A153" i="9" s="1"/>
  <c r="A154" i="9" s="1"/>
  <c r="A155" i="9" s="1"/>
  <c r="A156" i="9" s="1"/>
  <c r="A157" i="9" s="1"/>
  <c r="A158" i="9" s="1"/>
  <c r="A161" i="9" s="1"/>
  <c r="A162" i="9" s="1"/>
  <c r="A163" i="9" s="1"/>
  <c r="A164" i="9" s="1"/>
  <c r="A167" i="9" s="1"/>
  <c r="A168" i="9" s="1"/>
  <c r="A169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5" i="9" s="1"/>
  <c r="A186" i="9" s="1"/>
  <c r="A188" i="9" s="1"/>
  <c r="A189" i="9" s="1"/>
  <c r="A192" i="9" s="1"/>
  <c r="A193" i="9" s="1"/>
  <c r="A194" i="9" s="1"/>
  <c r="A195" i="9" s="1"/>
  <c r="A196" i="9" s="1"/>
  <c r="A197" i="9" s="1"/>
  <c r="A198" i="9" s="1"/>
  <c r="A199" i="9" s="1"/>
  <c r="A202" i="9" s="1"/>
  <c r="A203" i="9" s="1"/>
  <c r="A204" i="9" s="1"/>
  <c r="A205" i="9" s="1"/>
  <c r="A206" i="9" s="1"/>
  <c r="A208" i="9" s="1"/>
  <c r="A212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6" i="9" s="1"/>
  <c r="A229" i="9" s="1"/>
  <c r="A230" i="9" s="1"/>
  <c r="A231" i="9" s="1"/>
  <c r="A233" i="9" s="1"/>
  <c r="A236" i="9" s="1"/>
  <c r="A237" i="9" s="1"/>
  <c r="A238" i="9" s="1"/>
  <c r="A240" i="9" s="1"/>
  <c r="A244" i="9" s="1"/>
  <c r="A245" i="9" s="1"/>
  <c r="A246" i="9" s="1"/>
  <c r="A247" i="9" s="1"/>
  <c r="A248" i="9" s="1"/>
  <c r="A249" i="9" s="1"/>
  <c r="A250" i="9" s="1"/>
  <c r="A251" i="9" s="1"/>
  <c r="A253" i="9" s="1"/>
  <c r="A255" i="9" s="1"/>
  <c r="A257" i="9" s="1"/>
  <c r="A259" i="9" s="1"/>
  <c r="A261" i="9" s="1"/>
  <c r="A12" i="9"/>
  <c r="A11" i="9"/>
  <c r="G12" i="5"/>
  <c r="A6" i="5"/>
  <c r="A7" i="5" s="1"/>
  <c r="A10" i="5" s="1"/>
  <c r="A11" i="5" s="1"/>
  <c r="A12" i="5" s="1"/>
  <c r="G7" i="5"/>
  <c r="E7" i="5"/>
  <c r="D7" i="5"/>
  <c r="C7" i="5"/>
  <c r="F5" i="5"/>
  <c r="F7" i="5" s="1"/>
  <c r="J5" i="10" l="1"/>
  <c r="L27" i="10"/>
  <c r="L21" i="10"/>
  <c r="L28" i="10"/>
  <c r="J26" i="10"/>
  <c r="L26" i="10" s="1"/>
  <c r="M16" i="9"/>
  <c r="H43" i="9"/>
  <c r="P64" i="9"/>
  <c r="R16" i="9"/>
  <c r="H16" i="9"/>
  <c r="R28" i="9"/>
  <c r="R64" i="9"/>
  <c r="Q62" i="9"/>
  <c r="O16" i="9"/>
  <c r="I16" i="9"/>
  <c r="Q16" i="9"/>
  <c r="K16" i="9"/>
  <c r="S16" i="9"/>
  <c r="H28" i="9"/>
  <c r="H82" i="9"/>
  <c r="H84" i="9" s="1"/>
  <c r="H64" i="9"/>
  <c r="H62" i="9"/>
  <c r="I62" i="9"/>
  <c r="O74" i="9"/>
  <c r="M28" i="9"/>
  <c r="L47" i="9"/>
  <c r="S47" i="9"/>
  <c r="K47" i="9"/>
  <c r="R47" i="9"/>
  <c r="J47" i="9"/>
  <c r="Q47" i="9"/>
  <c r="I47" i="9"/>
  <c r="T47" i="9" s="1"/>
  <c r="T60" i="9"/>
  <c r="P43" i="9"/>
  <c r="N74" i="9"/>
  <c r="S74" i="9"/>
  <c r="J108" i="9"/>
  <c r="Q64" i="9"/>
  <c r="O51" i="9"/>
  <c r="T51" i="9" s="1"/>
  <c r="O64" i="9"/>
  <c r="R108" i="9"/>
  <c r="M74" i="9"/>
  <c r="R74" i="9"/>
  <c r="S108" i="9"/>
  <c r="P108" i="9"/>
  <c r="H125" i="9"/>
  <c r="S125" i="9"/>
  <c r="H149" i="9"/>
  <c r="M125" i="9"/>
  <c r="R164" i="9"/>
  <c r="P164" i="9"/>
  <c r="H164" i="9"/>
  <c r="J164" i="9"/>
  <c r="L164" i="9"/>
  <c r="N169" i="9"/>
  <c r="S169" i="9"/>
  <c r="K169" i="9"/>
  <c r="K238" i="9"/>
  <c r="R238" i="9"/>
  <c r="J238" i="9"/>
  <c r="Q238" i="9"/>
  <c r="P238" i="9"/>
  <c r="L238" i="9"/>
  <c r="Q164" i="9"/>
  <c r="H186" i="9"/>
  <c r="L169" i="9"/>
  <c r="H169" i="9"/>
  <c r="J186" i="9"/>
  <c r="H238" i="9"/>
  <c r="H158" i="9"/>
  <c r="M164" i="9"/>
  <c r="S164" i="9"/>
  <c r="O169" i="9"/>
  <c r="S199" i="9"/>
  <c r="N238" i="9"/>
  <c r="P169" i="9"/>
  <c r="P206" i="9"/>
  <c r="S206" i="9"/>
  <c r="M238" i="9"/>
  <c r="I238" i="9"/>
  <c r="J206" i="9"/>
  <c r="Q206" i="9"/>
  <c r="O164" i="9"/>
  <c r="N206" i="9"/>
  <c r="M206" i="9"/>
  <c r="H206" i="9"/>
  <c r="H208" i="9" s="1"/>
  <c r="T245" i="9"/>
  <c r="T246" i="9"/>
  <c r="H251" i="9"/>
  <c r="J199" i="9"/>
  <c r="Q199" i="9"/>
  <c r="H224" i="9"/>
  <c r="S238" i="9"/>
  <c r="T248" i="9"/>
  <c r="O238" i="9"/>
  <c r="T249" i="9"/>
  <c r="N255" i="9"/>
  <c r="T250" i="9"/>
  <c r="O255" i="9"/>
  <c r="H7" i="5"/>
  <c r="D12" i="5"/>
  <c r="E12" i="5"/>
  <c r="S208" i="9" l="1"/>
  <c r="S230" i="9" s="1"/>
  <c r="I199" i="9"/>
  <c r="Q82" i="9"/>
  <c r="O28" i="9"/>
  <c r="O125" i="9"/>
  <c r="N108" i="9"/>
  <c r="N16" i="9"/>
  <c r="R125" i="9"/>
  <c r="K206" i="9"/>
  <c r="S158" i="9"/>
  <c r="L82" i="9"/>
  <c r="I43" i="9"/>
  <c r="I224" i="9"/>
  <c r="K74" i="9"/>
  <c r="S224" i="9"/>
  <c r="P186" i="9"/>
  <c r="L224" i="9"/>
  <c r="O108" i="9"/>
  <c r="N28" i="9"/>
  <c r="M149" i="9"/>
  <c r="N43" i="9"/>
  <c r="P16" i="9"/>
  <c r="J43" i="9"/>
  <c r="J28" i="9"/>
  <c r="P224" i="9"/>
  <c r="P149" i="9"/>
  <c r="P125" i="9"/>
  <c r="N158" i="9"/>
  <c r="L158" i="9"/>
  <c r="J158" i="9"/>
  <c r="N125" i="9"/>
  <c r="J74" i="9"/>
  <c r="O43" i="9"/>
  <c r="S43" i="9"/>
  <c r="N82" i="9"/>
  <c r="N84" i="9" s="1"/>
  <c r="Q149" i="9"/>
  <c r="K108" i="9"/>
  <c r="L16" i="9"/>
  <c r="Q28" i="9"/>
  <c r="L199" i="9"/>
  <c r="Q186" i="9"/>
  <c r="O149" i="9"/>
  <c r="J82" i="9"/>
  <c r="J16" i="9"/>
  <c r="N199" i="9"/>
  <c r="N208" i="9" s="1"/>
  <c r="N230" i="9" s="1"/>
  <c r="Q158" i="9"/>
  <c r="J125" i="9"/>
  <c r="L125" i="9"/>
  <c r="M108" i="9"/>
  <c r="M82" i="9"/>
  <c r="M84" i="9" s="1"/>
  <c r="L30" i="10"/>
  <c r="L38" i="10" s="1"/>
  <c r="J38" i="10"/>
  <c r="H230" i="9"/>
  <c r="M43" i="9"/>
  <c r="M53" i="9" s="1"/>
  <c r="L206" i="9"/>
  <c r="K158" i="9"/>
  <c r="I206" i="9"/>
  <c r="I208" i="9" s="1"/>
  <c r="I230" i="9" s="1"/>
  <c r="J149" i="9"/>
  <c r="I108" i="9"/>
  <c r="L74" i="9"/>
  <c r="K82" i="9"/>
  <c r="K84" i="9" s="1"/>
  <c r="J62" i="9"/>
  <c r="J64" i="9"/>
  <c r="T46" i="9"/>
  <c r="T50" i="9"/>
  <c r="L62" i="9"/>
  <c r="L64" i="9"/>
  <c r="H53" i="9"/>
  <c r="Q43" i="9"/>
  <c r="J208" i="9"/>
  <c r="J230" i="9" s="1"/>
  <c r="O186" i="9"/>
  <c r="L186" i="9"/>
  <c r="R199" i="9"/>
  <c r="Q224" i="9"/>
  <c r="H253" i="9"/>
  <c r="I164" i="9"/>
  <c r="O206" i="9"/>
  <c r="K164" i="9"/>
  <c r="M199" i="9"/>
  <c r="M208" i="9" s="1"/>
  <c r="M230" i="9" s="1"/>
  <c r="P158" i="9"/>
  <c r="R149" i="9"/>
  <c r="Q108" i="9"/>
  <c r="S82" i="9"/>
  <c r="S84" i="9" s="1"/>
  <c r="Q74" i="9"/>
  <c r="Q84" i="9" s="1"/>
  <c r="H188" i="9"/>
  <c r="T57" i="9"/>
  <c r="L43" i="9"/>
  <c r="S62" i="9"/>
  <c r="S64" i="9"/>
  <c r="K224" i="9"/>
  <c r="J224" i="9"/>
  <c r="O199" i="9"/>
  <c r="T238" i="9"/>
  <c r="I186" i="9"/>
  <c r="N186" i="9"/>
  <c r="L149" i="9"/>
  <c r="K149" i="9"/>
  <c r="M158" i="9"/>
  <c r="L108" i="9"/>
  <c r="T61" i="9"/>
  <c r="M64" i="9"/>
  <c r="M62" i="9"/>
  <c r="I28" i="9"/>
  <c r="O62" i="9"/>
  <c r="K199" i="9"/>
  <c r="N149" i="9"/>
  <c r="N189" i="9" s="1"/>
  <c r="S149" i="9"/>
  <c r="S189" i="9" s="1"/>
  <c r="R82" i="9"/>
  <c r="R84" i="9" s="1"/>
  <c r="I74" i="9"/>
  <c r="L28" i="9"/>
  <c r="P74" i="9"/>
  <c r="I158" i="9"/>
  <c r="R224" i="9"/>
  <c r="P199" i="9"/>
  <c r="P208" i="9" s="1"/>
  <c r="P230" i="9" s="1"/>
  <c r="O224" i="9"/>
  <c r="N224" i="9"/>
  <c r="N164" i="9"/>
  <c r="T164" i="9" s="1"/>
  <c r="R186" i="9"/>
  <c r="T237" i="9"/>
  <c r="M169" i="9"/>
  <c r="T169" i="9" s="1"/>
  <c r="R62" i="9"/>
  <c r="H189" i="9"/>
  <c r="I82" i="9"/>
  <c r="N62" i="9"/>
  <c r="N64" i="9"/>
  <c r="R206" i="9"/>
  <c r="M224" i="9"/>
  <c r="R158" i="9"/>
  <c r="K186" i="9"/>
  <c r="I125" i="9"/>
  <c r="I149" i="9"/>
  <c r="T59" i="9"/>
  <c r="I64" i="9"/>
  <c r="O82" i="9"/>
  <c r="O84" i="9" s="1"/>
  <c r="S28" i="9"/>
  <c r="K43" i="9"/>
  <c r="R43" i="9"/>
  <c r="R53" i="9" s="1"/>
  <c r="P28" i="9"/>
  <c r="T58" i="9"/>
  <c r="H226" i="9"/>
  <c r="Q208" i="9"/>
  <c r="Q230" i="9" s="1"/>
  <c r="M186" i="9"/>
  <c r="S186" i="9"/>
  <c r="O158" i="9"/>
  <c r="K125" i="9"/>
  <c r="Q125" i="9"/>
  <c r="T236" i="9"/>
  <c r="K62" i="9"/>
  <c r="K64" i="9"/>
  <c r="P82" i="9"/>
  <c r="K28" i="9"/>
  <c r="K53" i="9" s="1"/>
  <c r="F10" i="5"/>
  <c r="F12" i="5" s="1"/>
  <c r="H12" i="5" s="1"/>
  <c r="C12" i="5"/>
  <c r="P53" i="9" l="1"/>
  <c r="T62" i="9"/>
  <c r="S53" i="9"/>
  <c r="Q189" i="9"/>
  <c r="Q53" i="9"/>
  <c r="T64" i="9"/>
  <c r="K208" i="9"/>
  <c r="K230" i="9" s="1"/>
  <c r="T158" i="9"/>
  <c r="R188" i="9"/>
  <c r="R229" i="9" s="1"/>
  <c r="P188" i="9"/>
  <c r="P229" i="9" s="1"/>
  <c r="P231" i="9" s="1"/>
  <c r="L84" i="9"/>
  <c r="L86" i="9" s="1"/>
  <c r="L259" i="9" s="1"/>
  <c r="S86" i="9"/>
  <c r="S259" i="9" s="1"/>
  <c r="M86" i="9"/>
  <c r="O53" i="9"/>
  <c r="I53" i="9"/>
  <c r="N53" i="9"/>
  <c r="K86" i="9"/>
  <c r="L53" i="9"/>
  <c r="M189" i="9"/>
  <c r="J53" i="9"/>
  <c r="T53" i="9" s="1"/>
  <c r="L208" i="9"/>
  <c r="L230" i="9" s="1"/>
  <c r="T16" i="9"/>
  <c r="K188" i="9"/>
  <c r="K229" i="9" s="1"/>
  <c r="K231" i="9" s="1"/>
  <c r="T43" i="9"/>
  <c r="J84" i="9"/>
  <c r="O188" i="9"/>
  <c r="O229" i="9" s="1"/>
  <c r="T224" i="9"/>
  <c r="T125" i="9"/>
  <c r="R189" i="9"/>
  <c r="J189" i="9"/>
  <c r="T186" i="9"/>
  <c r="T149" i="9"/>
  <c r="N86" i="9"/>
  <c r="N259" i="9" s="1"/>
  <c r="T82" i="9"/>
  <c r="S188" i="9"/>
  <c r="S229" i="9" s="1"/>
  <c r="S231" i="9" s="1"/>
  <c r="L189" i="9"/>
  <c r="T206" i="9"/>
  <c r="I38" i="10"/>
  <c r="M259" i="9"/>
  <c r="K259" i="9"/>
  <c r="H229" i="9"/>
  <c r="M188" i="9"/>
  <c r="M229" i="9" s="1"/>
  <c r="M231" i="9" s="1"/>
  <c r="O189" i="9"/>
  <c r="R208" i="9"/>
  <c r="R230" i="9" s="1"/>
  <c r="R231" i="9" s="1"/>
  <c r="J188" i="9"/>
  <c r="J229" i="9" s="1"/>
  <c r="J231" i="9" s="1"/>
  <c r="I189" i="9"/>
  <c r="N188" i="9"/>
  <c r="N229" i="9" s="1"/>
  <c r="N231" i="9" s="1"/>
  <c r="P84" i="9"/>
  <c r="P86" i="9" s="1"/>
  <c r="Q188" i="9"/>
  <c r="Q229" i="9" s="1"/>
  <c r="Q231" i="9" s="1"/>
  <c r="H86" i="9"/>
  <c r="K189" i="9"/>
  <c r="P189" i="9"/>
  <c r="R86" i="9"/>
  <c r="O208" i="9"/>
  <c r="O230" i="9" s="1"/>
  <c r="I188" i="9"/>
  <c r="I229" i="9" s="1"/>
  <c r="I231" i="9" s="1"/>
  <c r="T108" i="9"/>
  <c r="T199" i="9"/>
  <c r="O86" i="9"/>
  <c r="Q86" i="9"/>
  <c r="I84" i="9"/>
  <c r="T74" i="9"/>
  <c r="T28" i="9"/>
  <c r="L188" i="9"/>
  <c r="L229" i="9" s="1"/>
  <c r="T189" i="9" l="1"/>
  <c r="L231" i="9"/>
  <c r="O231" i="9"/>
  <c r="J86" i="9"/>
  <c r="T84" i="9"/>
  <c r="J259" i="9"/>
  <c r="R259" i="9"/>
  <c r="I86" i="9"/>
  <c r="T230" i="9"/>
  <c r="T208" i="9"/>
  <c r="T188" i="9"/>
  <c r="T229" i="9"/>
  <c r="H231" i="9"/>
  <c r="Q259" i="9"/>
  <c r="P259" i="9"/>
  <c r="O259" i="9"/>
  <c r="H259" i="9"/>
  <c r="I259" i="9" l="1"/>
  <c r="T86" i="9"/>
  <c r="T231" i="9"/>
  <c r="H233" i="9"/>
  <c r="H257" i="9" l="1"/>
  <c r="H261" i="9" s="1"/>
  <c r="H240" i="9"/>
  <c r="L212" i="9" l="1"/>
  <c r="L226" i="9" s="1"/>
  <c r="L233" i="9" s="1"/>
  <c r="K212" i="9"/>
  <c r="K226" i="9" s="1"/>
  <c r="K233" i="9" s="1"/>
  <c r="S212" i="9"/>
  <c r="S226" i="9" s="1"/>
  <c r="S233" i="9" s="1"/>
  <c r="M212" i="9"/>
  <c r="M226" i="9" s="1"/>
  <c r="M233" i="9" s="1"/>
  <c r="N212" i="9"/>
  <c r="N226" i="9" s="1"/>
  <c r="N233" i="9" s="1"/>
  <c r="J212" i="9"/>
  <c r="J226" i="9" s="1"/>
  <c r="J233" i="9" s="1"/>
  <c r="R212" i="9"/>
  <c r="R226" i="9" s="1"/>
  <c r="R233" i="9" s="1"/>
  <c r="O212" i="9"/>
  <c r="O226" i="9" s="1"/>
  <c r="O233" i="9" s="1"/>
  <c r="Q212" i="9"/>
  <c r="Q226" i="9" s="1"/>
  <c r="Q233" i="9" s="1"/>
  <c r="P212" i="9"/>
  <c r="P226" i="9" s="1"/>
  <c r="P233" i="9" s="1"/>
  <c r="I212" i="9"/>
  <c r="M240" i="9" l="1"/>
  <c r="M244" i="9" s="1"/>
  <c r="M251" i="9" s="1"/>
  <c r="M253" i="9" s="1"/>
  <c r="M257" i="9" s="1"/>
  <c r="M261" i="9" s="1"/>
  <c r="J240" i="9"/>
  <c r="J244" i="9" s="1"/>
  <c r="J251" i="9" s="1"/>
  <c r="J253" i="9" s="1"/>
  <c r="J257" i="9" s="1"/>
  <c r="J261" i="9" s="1"/>
  <c r="S240" i="9"/>
  <c r="S244" i="9" s="1"/>
  <c r="S251" i="9" s="1"/>
  <c r="S253" i="9" s="1"/>
  <c r="S257" i="9" s="1"/>
  <c r="S261" i="9" s="1"/>
  <c r="N240" i="9"/>
  <c r="N244" i="9" s="1"/>
  <c r="N251" i="9" s="1"/>
  <c r="N253" i="9" s="1"/>
  <c r="N257" i="9" s="1"/>
  <c r="N261" i="9" s="1"/>
  <c r="P240" i="9"/>
  <c r="P244" i="9" s="1"/>
  <c r="P251" i="9" s="1"/>
  <c r="P253" i="9" s="1"/>
  <c r="P257" i="9" s="1"/>
  <c r="P261" i="9" s="1"/>
  <c r="K240" i="9"/>
  <c r="K244" i="9" s="1"/>
  <c r="K251" i="9" s="1"/>
  <c r="K253" i="9" s="1"/>
  <c r="K257" i="9" s="1"/>
  <c r="K261" i="9" s="1"/>
  <c r="R240" i="9"/>
  <c r="R244" i="9" s="1"/>
  <c r="R251" i="9" s="1"/>
  <c r="R253" i="9" s="1"/>
  <c r="R257" i="9" s="1"/>
  <c r="R261" i="9" s="1"/>
  <c r="T212" i="9"/>
  <c r="I226" i="9"/>
  <c r="Q240" i="9"/>
  <c r="Q244" i="9" s="1"/>
  <c r="Q251" i="9" s="1"/>
  <c r="Q253" i="9" s="1"/>
  <c r="Q257" i="9" s="1"/>
  <c r="Q261" i="9" s="1"/>
  <c r="L240" i="9"/>
  <c r="L244" i="9" s="1"/>
  <c r="L251" i="9" s="1"/>
  <c r="L253" i="9" s="1"/>
  <c r="L257" i="9" s="1"/>
  <c r="L261" i="9" s="1"/>
  <c r="O240" i="9"/>
  <c r="O244" i="9" s="1"/>
  <c r="O251" i="9" s="1"/>
  <c r="O253" i="9" s="1"/>
  <c r="O257" i="9" s="1"/>
  <c r="O261" i="9" s="1"/>
  <c r="I233" i="9" l="1"/>
  <c r="T226" i="9"/>
  <c r="I240" i="9" l="1"/>
  <c r="T233" i="9"/>
  <c r="I244" i="9" l="1"/>
  <c r="T240" i="9"/>
  <c r="I251" i="9" l="1"/>
  <c r="T244" i="9"/>
  <c r="I253" i="9" l="1"/>
  <c r="T251" i="9"/>
  <c r="T253" i="9" l="1"/>
  <c r="I257" i="9"/>
  <c r="I261" i="9" s="1"/>
</calcChain>
</file>

<file path=xl/sharedStrings.xml><?xml version="1.0" encoding="utf-8"?>
<sst xmlns="http://schemas.openxmlformats.org/spreadsheetml/2006/main" count="473" uniqueCount="304">
  <si>
    <t>Cost of Service Study</t>
  </si>
  <si>
    <t>South Dakota</t>
  </si>
  <si>
    <t>Daily</t>
  </si>
  <si>
    <t>Monthly</t>
  </si>
  <si>
    <t>Alloc</t>
  </si>
  <si>
    <t>Test Year</t>
  </si>
  <si>
    <t>Mains</t>
  </si>
  <si>
    <t>Industrial</t>
  </si>
  <si>
    <t>Customer</t>
  </si>
  <si>
    <t>Transport.</t>
  </si>
  <si>
    <t>Gas Supply</t>
  </si>
  <si>
    <t>Line</t>
  </si>
  <si>
    <t>Code</t>
  </si>
  <si>
    <t>Acct</t>
  </si>
  <si>
    <t>Description</t>
  </si>
  <si>
    <t>Jurisdictional</t>
  </si>
  <si>
    <t>Peak Facilities</t>
  </si>
  <si>
    <t>(Average)</t>
  </si>
  <si>
    <t>(Peaking)</t>
  </si>
  <si>
    <t>Services</t>
  </si>
  <si>
    <t>Meters</t>
  </si>
  <si>
    <t>Regulators</t>
  </si>
  <si>
    <t>Accounts</t>
  </si>
  <si>
    <t>Admin.</t>
  </si>
  <si>
    <t>(Non PGA)</t>
  </si>
  <si>
    <t>Variance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</si>
  <si>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</si>
  <si>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</si>
  <si>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</si>
  <si>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</si>
  <si>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</si>
  <si>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</si>
  <si>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</si>
  <si>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</si>
  <si>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</si>
  <si>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</si>
  <si>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</si>
  <si>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</si>
  <si>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</si>
  <si>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</si>
  <si>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</si>
  <si>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</si>
  <si>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</si>
  <si>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</si>
  <si>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Rate Base</t>
  </si>
  <si>
    <t>Manufactured Gas Plant</t>
  </si>
  <si>
    <t>Land and Land Rights</t>
  </si>
  <si>
    <t>Structures and Improvements</t>
  </si>
  <si>
    <t>Boilers</t>
  </si>
  <si>
    <t>Other Power Equipment</t>
  </si>
  <si>
    <t>Hydro Plant</t>
  </si>
  <si>
    <t>Other Plant</t>
  </si>
  <si>
    <t>310-346</t>
  </si>
  <si>
    <t>Manufactured Gas Plant Total</t>
  </si>
  <si>
    <t>Other Storage Plant</t>
  </si>
  <si>
    <t>Gas Holders</t>
  </si>
  <si>
    <t>Purification Equipment</t>
  </si>
  <si>
    <t>Liquification Equipment</t>
  </si>
  <si>
    <t>Vaporizing Equipment</t>
  </si>
  <si>
    <t>Compressor Equipment</t>
  </si>
  <si>
    <t>Measuring and Regulating Equipment</t>
  </si>
  <si>
    <t>Other Equipment</t>
  </si>
  <si>
    <t>Other Storage Plant Total</t>
  </si>
  <si>
    <t>Distribution Plant</t>
  </si>
  <si>
    <t>Structures and Station Equipment</t>
  </si>
  <si>
    <t>Compressor Station Equipment</t>
  </si>
  <si>
    <t>Meas &amp; Reg Station Equipment - Gen.</t>
  </si>
  <si>
    <t>Meas &amp; Reg Station Equipment - CG</t>
  </si>
  <si>
    <t>Meter Installations</t>
  </si>
  <si>
    <t>House Regulators</t>
  </si>
  <si>
    <t>House Regulator Installations</t>
  </si>
  <si>
    <t>Industrial Meas. &amp; Reg Station Equipment</t>
  </si>
  <si>
    <t>Distribution Plant Total</t>
  </si>
  <si>
    <t>General Plant</t>
  </si>
  <si>
    <t>389-398</t>
  </si>
  <si>
    <t>General Plant Total</t>
  </si>
  <si>
    <t>Intangible Plant</t>
  </si>
  <si>
    <t>301-303</t>
  </si>
  <si>
    <t>Intangible Plant Total</t>
  </si>
  <si>
    <t>Gross Natural Gas Plant in Service</t>
  </si>
  <si>
    <t>Additions to Rate Base</t>
  </si>
  <si>
    <t>Fuel Stocks</t>
  </si>
  <si>
    <t>Total Materials and Supplies</t>
  </si>
  <si>
    <t>Prepayments</t>
  </si>
  <si>
    <t>Cash Working Capital</t>
  </si>
  <si>
    <t>Other Working Capital</t>
  </si>
  <si>
    <t>Total Additions to Rate Base</t>
  </si>
  <si>
    <t>Deductions from Rate Base</t>
  </si>
  <si>
    <t>Accumulated Provision for Deprec and Amort</t>
  </si>
  <si>
    <t>108-111</t>
  </si>
  <si>
    <t>Production</t>
  </si>
  <si>
    <t>Distribution</t>
  </si>
  <si>
    <t>Intangible</t>
  </si>
  <si>
    <t>General</t>
  </si>
  <si>
    <t>Total Accumulated Depreciation</t>
  </si>
  <si>
    <t>Customer Advances</t>
  </si>
  <si>
    <t>Accum Deferred Income Taxes</t>
  </si>
  <si>
    <t>Customer Deposits</t>
  </si>
  <si>
    <t>Reserve for Inj &amp; Damages/Misc/Pension</t>
  </si>
  <si>
    <t>Total Deductions from Rate Base</t>
  </si>
  <si>
    <t>Total Rate Base</t>
  </si>
  <si>
    <t>Expenses</t>
  </si>
  <si>
    <t>Production Expense</t>
  </si>
  <si>
    <t>MGP Plant</t>
  </si>
  <si>
    <t>Operation</t>
  </si>
  <si>
    <t>Supervision and Engineering</t>
  </si>
  <si>
    <t>Other Power Expenses</t>
  </si>
  <si>
    <t>Manufactured Gas Site Cleanup</t>
  </si>
  <si>
    <t>LPG Expense</t>
  </si>
  <si>
    <t>Liquified Petroleum Gas</t>
  </si>
  <si>
    <t>Miscellaneous</t>
  </si>
  <si>
    <t>Maintenance</t>
  </si>
  <si>
    <t>Structures &amp; Improvements</t>
  </si>
  <si>
    <t>Production Equipment</t>
  </si>
  <si>
    <t>Other Power Supply Expense</t>
  </si>
  <si>
    <t>800-807</t>
  </si>
  <si>
    <t>Purchased Gas</t>
  </si>
  <si>
    <t>Net Storage</t>
  </si>
  <si>
    <t>Gas Used for Other Utility Oper</t>
  </si>
  <si>
    <t>Other Expenses</t>
  </si>
  <si>
    <t>Total Production Expense</t>
  </si>
  <si>
    <t>Other Storage Expense</t>
  </si>
  <si>
    <t>Labor and Expenses</t>
  </si>
  <si>
    <t>Rents</t>
  </si>
  <si>
    <t>Measuring and Regulating Equip</t>
  </si>
  <si>
    <t>Total Other Storage Expense</t>
  </si>
  <si>
    <t>Distribution Expense</t>
  </si>
  <si>
    <t>Load Dispatching</t>
  </si>
  <si>
    <t>Mains and Services</t>
  </si>
  <si>
    <t>Meas &amp; Reg Sta Equipment - Gen.</t>
  </si>
  <si>
    <t>Meas &amp; Reg Sta Equipment - Ind</t>
  </si>
  <si>
    <t>Meas &amp; Reg Sta Equipment - CG</t>
  </si>
  <si>
    <t>Meters and House Regulators</t>
  </si>
  <si>
    <t>Customer Installation Expenses</t>
  </si>
  <si>
    <t>Total Distribution Expense</t>
  </si>
  <si>
    <t>Customer Accounting Expense</t>
  </si>
  <si>
    <t>Supervision</t>
  </si>
  <si>
    <t>Meter Reading</t>
  </si>
  <si>
    <t>Records and Collection (Cust Serv)</t>
  </si>
  <si>
    <t>Uncollectible Accounts</t>
  </si>
  <si>
    <t>Miscellaneous Expense</t>
  </si>
  <si>
    <t>---</t>
  </si>
  <si>
    <t>Transportation Administration</t>
  </si>
  <si>
    <t>Total Customer Accounting Expense</t>
  </si>
  <si>
    <t>Customer Service and Information Expense</t>
  </si>
  <si>
    <t>Customer Assistance Expense</t>
  </si>
  <si>
    <t>Information / Inst Advertising</t>
  </si>
  <si>
    <t>Total Customer Service and Information Expense</t>
  </si>
  <si>
    <t>Sales Expense</t>
  </si>
  <si>
    <t>Demo/Selling Expense</t>
  </si>
  <si>
    <t>Total Sales Expense</t>
  </si>
  <si>
    <t>Administration and General Expense</t>
  </si>
  <si>
    <t>Admin and General Salaries</t>
  </si>
  <si>
    <t>Office Supplies and Expense</t>
  </si>
  <si>
    <t>Admin Exp Transfer</t>
  </si>
  <si>
    <t>Outside Services</t>
  </si>
  <si>
    <t>Property Insurance</t>
  </si>
  <si>
    <t>Injuries and Damages</t>
  </si>
  <si>
    <t>Pensions and Benefits</t>
  </si>
  <si>
    <t>Regulatory Commission Expense</t>
  </si>
  <si>
    <t>Duplicate Charges Credit</t>
  </si>
  <si>
    <t>Miscellaneous General Expense</t>
  </si>
  <si>
    <t>Total A&amp;G Maintenance</t>
  </si>
  <si>
    <t>Total Administration and General Expense</t>
  </si>
  <si>
    <t>Total O&amp;M Expense</t>
  </si>
  <si>
    <t>Total Supervised O&amp;M Expense</t>
  </si>
  <si>
    <t>Depreciation and Amortization Expense</t>
  </si>
  <si>
    <t>403-404</t>
  </si>
  <si>
    <t>Production and Manufactured Gas</t>
  </si>
  <si>
    <t>Other</t>
  </si>
  <si>
    <t>Total Depreciation and Amortization Expense</t>
  </si>
  <si>
    <t>Taxes Other Than Income Taxes</t>
  </si>
  <si>
    <t>408111-408131</t>
  </si>
  <si>
    <t>Payroll Taxes</t>
  </si>
  <si>
    <t>408141-408143</t>
  </si>
  <si>
    <t>Total Property Taxes</t>
  </si>
  <si>
    <t>408162-408163</t>
  </si>
  <si>
    <t>Illinois Public Utility Taxes</t>
  </si>
  <si>
    <t>Occupation Tax &amp; Other</t>
  </si>
  <si>
    <t>Total Taxes Other Than Income Taxes</t>
  </si>
  <si>
    <t>Operating Revenues and Income Taxes</t>
  </si>
  <si>
    <t>480-481</t>
  </si>
  <si>
    <t>Retail Rate Revenues</t>
  </si>
  <si>
    <t>Other Operating Revenues</t>
  </si>
  <si>
    <t>Negative Balancing Cashout</t>
  </si>
  <si>
    <t>Wholesale Sales</t>
  </si>
  <si>
    <t>Interdepartmental Sales</t>
  </si>
  <si>
    <t>Forfeited Discounts</t>
  </si>
  <si>
    <t>Miscellaneous Service Revenue</t>
  </si>
  <si>
    <t>Transportation Revenue</t>
  </si>
  <si>
    <t>Rental Income-Gas Prop</t>
  </si>
  <si>
    <t>Illinois Public Utility Tax</t>
  </si>
  <si>
    <t>Other Gas Revenues</t>
  </si>
  <si>
    <t>Total Other Operating Revenues</t>
  </si>
  <si>
    <t>Total Operating Revenues</t>
  </si>
  <si>
    <t>Total Expenses</t>
  </si>
  <si>
    <t>O&amp;M Expense</t>
  </si>
  <si>
    <t>Other Expense</t>
  </si>
  <si>
    <t>Operating Income Before Taxes</t>
  </si>
  <si>
    <t>Adjustments to Taxable Income</t>
  </si>
  <si>
    <t>Interest on LTD - Acct 427</t>
  </si>
  <si>
    <t>Other Adjustments</t>
  </si>
  <si>
    <t>Total Adjustments to Taxable Income</t>
  </si>
  <si>
    <t>Net Taxable Income</t>
  </si>
  <si>
    <t>Income Taxes</t>
  </si>
  <si>
    <t>Current Federal Income Tax</t>
  </si>
  <si>
    <t>Current Tax Expense</t>
  </si>
  <si>
    <t>Interest Synchronization</t>
  </si>
  <si>
    <t>Current State Income Tax</t>
  </si>
  <si>
    <t>410s less 411s</t>
  </si>
  <si>
    <t>Deferred Income Tax - Net</t>
  </si>
  <si>
    <t>Amortization of Invest Tax Credit</t>
  </si>
  <si>
    <t>Subtotal</t>
  </si>
  <si>
    <t>Total Income Taxes</t>
  </si>
  <si>
    <t>Federal Tax Rate</t>
  </si>
  <si>
    <t>Operating Income</t>
  </si>
  <si>
    <t>Return on Rate Base</t>
  </si>
  <si>
    <t>Please refer to Statement N (1). Peak facilities and mains (peaking) functions are considered demand-related. Mains (average) and gas supply costs are considered energy‐related and all other categories are considered customer‐related.</t>
  </si>
  <si>
    <t>Not applicable to MidAmerican Energy Company.</t>
  </si>
  <si>
    <t>Total</t>
  </si>
  <si>
    <t>Small</t>
  </si>
  <si>
    <t>Medium</t>
  </si>
  <si>
    <t>Large</t>
  </si>
  <si>
    <t>Jurisdictional Source:</t>
  </si>
  <si>
    <t>Statement O Workpaper - Tab SRC-1 (S.D. Sales)</t>
  </si>
  <si>
    <t>Rate</t>
  </si>
  <si>
    <t>Unbilled</t>
  </si>
  <si>
    <t>Transport</t>
  </si>
  <si>
    <t>Class</t>
  </si>
  <si>
    <t>per Books</t>
  </si>
  <si>
    <t>Reallocation</t>
  </si>
  <si>
    <t>NFS</t>
  </si>
  <si>
    <t>SVS</t>
  </si>
  <si>
    <t>LVI</t>
  </si>
  <si>
    <t>MVS</t>
  </si>
  <si>
    <t>SSS</t>
  </si>
  <si>
    <t>SVI</t>
  </si>
  <si>
    <t>LVT</t>
  </si>
  <si>
    <t>MTM</t>
  </si>
  <si>
    <t>MVT</t>
  </si>
  <si>
    <t>STM</t>
  </si>
  <si>
    <t>Line No.</t>
  </si>
  <si>
    <t>Company</t>
  </si>
  <si>
    <t>% of Total</t>
  </si>
  <si>
    <t>Source</t>
  </si>
  <si>
    <t>On Design Peak Day</t>
  </si>
  <si>
    <t>Throughput on Design Peak Day</t>
  </si>
  <si>
    <t>Statement O - Tab ALO-1, Line 18 &amp; Company books and records.</t>
  </si>
  <si>
    <t>Loss Factors</t>
  </si>
  <si>
    <t>Assumed 1.0</t>
  </si>
  <si>
    <t>Demand at TBS</t>
  </si>
  <si>
    <t>Line 1 * Line 2</t>
  </si>
  <si>
    <t>Total Annual</t>
  </si>
  <si>
    <t>Annual Sales</t>
  </si>
  <si>
    <t>Statement N (4)</t>
  </si>
  <si>
    <t>Annual Sales at TBS</t>
  </si>
  <si>
    <t>Line 4 * Line 5</t>
  </si>
  <si>
    <t>Please refer to Statement N (1).</t>
  </si>
  <si>
    <t>Please refer to Statements N (1) and N (2).</t>
  </si>
  <si>
    <t>Accum Provision for Uncollectibles</t>
  </si>
  <si>
    <t>Amortization of Regulatory Assets</t>
  </si>
  <si>
    <t>Sources:</t>
  </si>
  <si>
    <t>Column (f) is taken from Tab FUN-2, Column (g).</t>
  </si>
  <si>
    <t>Columns (g) through (q) are calculated by multiplying the amounts in Column (f)</t>
  </si>
  <si>
    <t>by the allocation percentages specified by the allocator codes in Column (a).</t>
  </si>
  <si>
    <t>Allocation percentages referenced in Column (a) are found in</t>
  </si>
  <si>
    <t>Tab FUN-4, Lines 1-24, Columns (c)-(m).</t>
  </si>
  <si>
    <t>Destinations:</t>
  </si>
  <si>
    <t>Line 159 goes to Tab FUN-1, Line 1</t>
  </si>
  <si>
    <t>Line 132 goes to Tab FUN-1, Line 2</t>
  </si>
  <si>
    <t>Line 176 goes to Tab FUN-1, Line 3</t>
  </si>
  <si>
    <t>Line 147 goes to Tab FUN-1, Line 4</t>
  </si>
  <si>
    <t>Line 57 goes to Tab FUN-1, Line 7</t>
  </si>
  <si>
    <t xml:space="preserve">Line 158 goes to Tab FUN-1, Line 11 </t>
  </si>
  <si>
    <t>Misc. Operating Prov</t>
  </si>
  <si>
    <t>Reallocated</t>
  </si>
  <si>
    <t>Jurisdiction</t>
  </si>
  <si>
    <t>Act. No.</t>
  </si>
  <si>
    <t>Act. Description</t>
  </si>
  <si>
    <t>3450</t>
  </si>
  <si>
    <t>0400300</t>
  </si>
  <si>
    <t>Usage-commercial</t>
  </si>
  <si>
    <t>CSS</t>
  </si>
  <si>
    <t>0400302</t>
  </si>
  <si>
    <t>Usage-commercial-unbilled</t>
  </si>
  <si>
    <t>Spreadsheet</t>
  </si>
  <si>
    <t>(blank)</t>
  </si>
  <si>
    <t>0400315</t>
  </si>
  <si>
    <t>Usage-gas transportation</t>
  </si>
  <si>
    <t>0400320</t>
  </si>
  <si>
    <t>Usage-industrial</t>
  </si>
  <si>
    <t>0400322</t>
  </si>
  <si>
    <t>Usage-industrial-unbilled</t>
  </si>
  <si>
    <t>0400329</t>
  </si>
  <si>
    <t>Usage-negative balance</t>
  </si>
  <si>
    <t>0400335</t>
  </si>
  <si>
    <t>Usage-residential</t>
  </si>
  <si>
    <t>0400337</t>
  </si>
  <si>
    <t>Usage-residential-unbilled</t>
  </si>
  <si>
    <t>Total Sales</t>
  </si>
  <si>
    <r>
      <t>Company</t>
    </r>
    <r>
      <rPr>
        <b/>
        <vertAlign val="superscript"/>
        <sz val="10"/>
        <rFont val="Arial"/>
        <family val="2"/>
      </rPr>
      <t>(1)</t>
    </r>
  </si>
  <si>
    <t>(1) From Company books and records - includes wholesale volumes</t>
  </si>
  <si>
    <t>No.</t>
  </si>
  <si>
    <t>See Statement O - Workpapers for Comparison of Cost of Service, tab "FUN-3 (Functional COS)" for a fully-functional version of this sheet with allocation percentages.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</si>
</sst>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0.000%"/>
    <numFmt numFmtId="168" formatCode="mm/dd/yy;@"/>
    <numFmt numFmtId="169" formatCode="0.0000"/>
    <numFmt numFmtId="170" formatCode="0.0%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8" fillId="0" borderId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4" applyFont="1"/>
    <xf numFmtId="0" fontId="1" fillId="0" borderId="0" xfId="4"/>
    <xf numFmtId="0" fontId="3" fillId="0" borderId="0" xfId="4" applyFont="1" applyAlignment="1">
      <alignment horizontal="right"/>
    </xf>
    <xf numFmtId="0" fontId="2" fillId="0" borderId="0" xfId="4" applyFont="1" applyAlignment="1">
      <alignment horizontal="left"/>
    </xf>
    <xf numFmtId="0" fontId="5" fillId="0" borderId="0" xfId="4" applyFont="1" applyAlignment="1">
      <alignment horizontal="center"/>
    </xf>
    <xf numFmtId="0" fontId="5" fillId="0" borderId="0" xfId="4" applyFont="1" applyAlignment="1">
      <alignment horizontal="left"/>
    </xf>
    <xf numFmtId="0" fontId="5" fillId="0" borderId="0" xfId="4" applyFont="1"/>
    <xf numFmtId="165" fontId="5" fillId="0" borderId="0" xfId="2" applyNumberFormat="1" applyFont="1" applyFill="1"/>
    <xf numFmtId="165" fontId="5" fillId="0" borderId="0" xfId="4" applyNumberFormat="1" applyFont="1"/>
    <xf numFmtId="165" fontId="1" fillId="0" borderId="1" xfId="2" applyNumberFormat="1" applyFont="1" applyFill="1" applyBorder="1"/>
    <xf numFmtId="165" fontId="1" fillId="0" borderId="0" xfId="2" applyNumberFormat="1" applyFont="1" applyFill="1"/>
    <xf numFmtId="165" fontId="4" fillId="0" borderId="0" xfId="4" applyNumberFormat="1" applyFont="1"/>
    <xf numFmtId="165" fontId="1" fillId="0" borderId="0" xfId="2" applyNumberFormat="1" applyFont="1" applyFill="1" applyBorder="1"/>
    <xf numFmtId="10" fontId="1" fillId="0" borderId="0" xfId="3" applyNumberFormat="1" applyFont="1" applyFill="1"/>
    <xf numFmtId="0" fontId="1" fillId="0" borderId="0" xfId="5"/>
    <xf numFmtId="0" fontId="1" fillId="0" borderId="0" xfId="5" applyAlignment="1">
      <alignment horizontal="center"/>
    </xf>
    <xf numFmtId="0" fontId="1" fillId="0" borderId="0" xfId="5" quotePrefix="1" applyAlignment="1">
      <alignment horizontal="center"/>
    </xf>
    <xf numFmtId="166" fontId="1" fillId="0" borderId="0" xfId="5" applyNumberFormat="1"/>
    <xf numFmtId="0" fontId="5" fillId="0" borderId="0" xfId="5" applyFont="1" applyAlignment="1">
      <alignment horizontal="center"/>
    </xf>
    <xf numFmtId="49" fontId="5" fillId="0" borderId="0" xfId="5" applyNumberFormat="1" applyFont="1" applyAlignment="1">
      <alignment horizontal="center"/>
    </xf>
    <xf numFmtId="49" fontId="5" fillId="0" borderId="1" xfId="5" applyNumberFormat="1" applyFont="1" applyBorder="1" applyAlignment="1">
      <alignment horizontal="center"/>
    </xf>
    <xf numFmtId="0" fontId="5" fillId="0" borderId="1" xfId="5" applyFont="1" applyBorder="1" applyAlignment="1">
      <alignment horizontal="center"/>
    </xf>
    <xf numFmtId="0" fontId="1" fillId="0" borderId="0" xfId="5" applyAlignment="1">
      <alignment horizontal="left"/>
    </xf>
    <xf numFmtId="166" fontId="1" fillId="0" borderId="0" xfId="1" applyNumberFormat="1"/>
    <xf numFmtId="0" fontId="8" fillId="0" borderId="0" xfId="7"/>
    <xf numFmtId="0" fontId="9" fillId="0" borderId="0" xfId="7" applyFont="1"/>
    <xf numFmtId="0" fontId="10" fillId="0" borderId="0" xfId="8" applyFont="1" applyAlignment="1">
      <alignment horizontal="center"/>
    </xf>
    <xf numFmtId="0" fontId="10" fillId="0" borderId="0" xfId="7" applyFont="1" applyAlignment="1">
      <alignment horizontal="center"/>
    </xf>
    <xf numFmtId="0" fontId="10" fillId="0" borderId="1" xfId="8" applyFont="1" applyBorder="1" applyAlignment="1">
      <alignment horizontal="center"/>
    </xf>
    <xf numFmtId="0" fontId="11" fillId="0" borderId="0" xfId="7" applyFont="1"/>
    <xf numFmtId="0" fontId="9" fillId="0" borderId="0" xfId="8" applyFont="1" applyAlignment="1">
      <alignment horizontal="right"/>
    </xf>
    <xf numFmtId="0" fontId="9" fillId="0" borderId="0" xfId="8" applyFont="1" applyAlignment="1">
      <alignment horizontal="center"/>
    </xf>
    <xf numFmtId="168" fontId="9" fillId="0" borderId="0" xfId="8" applyNumberFormat="1" applyFont="1"/>
    <xf numFmtId="166" fontId="1" fillId="0" borderId="0" xfId="9" applyNumberFormat="1" applyFont="1" applyFill="1"/>
    <xf numFmtId="166" fontId="9" fillId="0" borderId="0" xfId="7" applyNumberFormat="1" applyFont="1"/>
    <xf numFmtId="3" fontId="1" fillId="0" borderId="0" xfId="7" applyNumberFormat="1" applyFont="1" applyAlignment="1">
      <alignment horizontal="right"/>
    </xf>
    <xf numFmtId="169" fontId="9" fillId="0" borderId="0" xfId="7" applyNumberFormat="1" applyFont="1"/>
    <xf numFmtId="166" fontId="9" fillId="0" borderId="2" xfId="7" applyNumberFormat="1" applyFont="1" applyBorder="1"/>
    <xf numFmtId="164" fontId="9" fillId="0" borderId="0" xfId="10" applyNumberFormat="1" applyFont="1"/>
    <xf numFmtId="164" fontId="9" fillId="0" borderId="0" xfId="10" applyNumberFormat="1" applyFont="1" applyFill="1"/>
    <xf numFmtId="170" fontId="9" fillId="0" borderId="2" xfId="11" applyNumberFormat="1" applyFont="1" applyBorder="1"/>
    <xf numFmtId="166" fontId="9" fillId="0" borderId="0" xfId="10" applyNumberFormat="1" applyFont="1"/>
    <xf numFmtId="0" fontId="9" fillId="0" borderId="0" xfId="7" applyFont="1" applyAlignment="1">
      <alignment horizontal="center"/>
    </xf>
    <xf numFmtId="0" fontId="10" fillId="0" borderId="1" xfId="7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4" applyAlignment="1">
      <alignment horizontal="center"/>
    </xf>
    <xf numFmtId="0" fontId="1" fillId="0" borderId="0" xfId="4" applyAlignment="1">
      <alignment horizontal="left"/>
    </xf>
    <xf numFmtId="0" fontId="1" fillId="0" borderId="0" xfId="4" applyAlignment="1">
      <alignment horizontal="right"/>
    </xf>
    <xf numFmtId="0" fontId="1" fillId="0" borderId="1" xfId="4" applyBorder="1" applyAlignment="1">
      <alignment horizontal="center"/>
    </xf>
    <xf numFmtId="0" fontId="1" fillId="0" borderId="1" xfId="4" applyBorder="1" applyAlignment="1">
      <alignment horizontal="left"/>
    </xf>
    <xf numFmtId="0" fontId="1" fillId="0" borderId="1" xfId="4" applyBorder="1"/>
    <xf numFmtId="0" fontId="1" fillId="0" borderId="1" xfId="4" applyBorder="1" applyAlignment="1">
      <alignment horizontal="right"/>
    </xf>
    <xf numFmtId="0" fontId="1" fillId="0" borderId="0" xfId="4" quotePrefix="1" applyAlignment="1">
      <alignment horizontal="left"/>
    </xf>
    <xf numFmtId="165" fontId="1" fillId="0" borderId="0" xfId="4" applyNumberFormat="1"/>
    <xf numFmtId="0" fontId="1" fillId="0" borderId="1" xfId="4" quotePrefix="1" applyBorder="1" applyAlignment="1">
      <alignment horizontal="left"/>
    </xf>
    <xf numFmtId="165" fontId="1" fillId="0" borderId="1" xfId="4" applyNumberFormat="1" applyBorder="1"/>
    <xf numFmtId="0" fontId="1" fillId="0" borderId="0" xfId="4" quotePrefix="1"/>
    <xf numFmtId="3" fontId="1" fillId="0" borderId="0" xfId="4" applyNumberFormat="1"/>
    <xf numFmtId="165" fontId="5" fillId="0" borderId="0" xfId="2" applyNumberFormat="1" applyFont="1" applyFill="1" applyBorder="1"/>
    <xf numFmtId="166" fontId="1" fillId="0" borderId="0" xfId="4" applyNumberFormat="1"/>
    <xf numFmtId="164" fontId="1" fillId="0" borderId="0" xfId="1" applyNumberFormat="1" applyFont="1" applyFill="1" applyAlignment="1">
      <alignment horizontal="right"/>
    </xf>
    <xf numFmtId="0" fontId="1" fillId="0" borderId="0" xfId="4" quotePrefix="1" applyAlignment="1">
      <alignment horizontal="center"/>
    </xf>
    <xf numFmtId="165" fontId="4" fillId="0" borderId="0" xfId="2" applyNumberFormat="1" applyFont="1" applyFill="1"/>
    <xf numFmtId="43" fontId="1" fillId="0" borderId="0" xfId="1" applyFont="1" applyFill="1" applyAlignment="1" applyProtection="1">
      <alignment horizontal="center"/>
    </xf>
    <xf numFmtId="0" fontId="1" fillId="0" borderId="0" xfId="4" applyAlignment="1">
      <alignment horizontal="left" indent="2"/>
    </xf>
    <xf numFmtId="165" fontId="1" fillId="0" borderId="0" xfId="2" quotePrefix="1" applyNumberFormat="1" applyFont="1" applyFill="1"/>
    <xf numFmtId="164" fontId="1" fillId="0" borderId="0" xfId="1" quotePrefix="1" applyNumberFormat="1" applyFont="1" applyFill="1"/>
    <xf numFmtId="167" fontId="1" fillId="0" borderId="0" xfId="3" quotePrefix="1" applyNumberFormat="1" applyFont="1" applyFill="1"/>
    <xf numFmtId="0" fontId="5" fillId="0" borderId="0" xfId="5" applyFont="1"/>
    <xf numFmtId="49" fontId="5" fillId="0" borderId="1" xfId="5" applyNumberFormat="1" applyFont="1" applyBorder="1" applyAlignment="1">
      <alignment horizontal="left"/>
    </xf>
    <xf numFmtId="0" fontId="5" fillId="0" borderId="1" xfId="4" applyFont="1" applyBorder="1"/>
    <xf numFmtId="0" fontId="1" fillId="0" borderId="0" xfId="6" applyFont="1" applyAlignment="1">
      <alignment wrapText="1"/>
    </xf>
    <xf numFmtId="0" fontId="1" fillId="0" borderId="0" xfId="6" applyFont="1"/>
    <xf numFmtId="0" fontId="5" fillId="0" borderId="0" xfId="6" applyFont="1" applyAlignment="1">
      <alignment horizontal="center" wrapText="1"/>
    </xf>
    <xf numFmtId="3" fontId="1" fillId="0" borderId="0" xfId="5" applyNumberFormat="1"/>
    <xf numFmtId="41" fontId="1" fillId="0" borderId="0" xfId="5" applyNumberFormat="1"/>
    <xf numFmtId="166" fontId="5" fillId="0" borderId="0" xfId="1" applyNumberFormat="1" applyFont="1" applyFill="1" applyBorder="1" applyAlignment="1">
      <alignment horizontal="center" wrapText="1"/>
    </xf>
    <xf numFmtId="166" fontId="1" fillId="0" borderId="0" xfId="1" applyNumberFormat="1" applyFont="1" applyFill="1" applyBorder="1"/>
    <xf numFmtId="0" fontId="1" fillId="0" borderId="0" xfId="6" applyFont="1" applyAlignment="1">
      <alignment horizontal="center" wrapText="1"/>
    </xf>
    <xf numFmtId="166" fontId="1" fillId="0" borderId="2" xfId="1" applyNumberFormat="1" applyFont="1" applyFill="1" applyBorder="1" applyAlignment="1">
      <alignment horizontal="right" wrapText="1"/>
    </xf>
    <xf numFmtId="166" fontId="1" fillId="0" borderId="0" xfId="1" applyNumberFormat="1" applyFont="1" applyFill="1" applyBorder="1" applyAlignment="1">
      <alignment horizontal="right" wrapText="1"/>
    </xf>
    <xf numFmtId="166" fontId="1" fillId="0" borderId="0" xfId="1" applyNumberFormat="1" applyFont="1" applyFill="1"/>
    <xf numFmtId="166" fontId="5" fillId="0" borderId="0" xfId="5" applyNumberFormat="1" applyFont="1"/>
    <xf numFmtId="41" fontId="5" fillId="0" borderId="0" xfId="5" applyNumberFormat="1" applyFont="1"/>
    <xf numFmtId="166" fontId="1" fillId="0" borderId="0" xfId="1" applyNumberFormat="1" applyAlignment="1">
      <alignment horizontal="center"/>
    </xf>
    <xf numFmtId="0" fontId="0" fillId="0" borderId="0" xfId="0" applyAlignment="1">
      <alignment horizontal="left" wrapText="1"/>
    </xf>
  </cellXfs>
  <cellStyles count="12">
    <cellStyle name="Comma" xfId="1" builtinId="3"/>
    <cellStyle name="Comma 2" xfId="10" xr:uid="{25F2B504-BCF4-4DE3-84A9-CB5B2FFE3C9B}"/>
    <cellStyle name="Comma 2 2" xfId="9" xr:uid="{F7D56FA4-DB29-44B8-80EB-D8101A38A9DE}"/>
    <cellStyle name="Currency" xfId="2" builtinId="4"/>
    <cellStyle name="Normal" xfId="0" builtinId="0"/>
    <cellStyle name="Normal 13" xfId="4" xr:uid="{AF2E2C79-5BD3-4472-B30F-A3F2F214D026}"/>
    <cellStyle name="Normal 2" xfId="7" xr:uid="{007B5BC9-D60A-4659-B08A-94505F12E04D}"/>
    <cellStyle name="Normal 3" xfId="5" xr:uid="{FAFD1A23-15B3-49EA-A690-2110D3ED2BF9}"/>
    <cellStyle name="Normal 4 4" xfId="8" xr:uid="{9584F6EE-D83C-4C68-9913-1A7D3E54B100}"/>
    <cellStyle name="Normal_2011" xfId="6" xr:uid="{4C49A88E-566A-4786-8F9B-0CAFEA1145D5}"/>
    <cellStyle name="Percent" xfId="3" builtinId="5"/>
    <cellStyle name="Percent 2" xfId="11" xr:uid="{B963B963-B179-4F9A-B511-9A58EE6B53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C5A9-C07B-4CE8-BF94-17059E8CFEC2}">
  <dimension ref="A1:AF279"/>
  <sheetViews>
    <sheetView tabSelected="1" view="pageLayout" zoomScaleNormal="90" workbookViewId="0">
      <selection activeCell="A268" sqref="A268"/>
    </sheetView>
  </sheetViews>
  <sheetFormatPr defaultColWidth="9.140625" defaultRowHeight="12.75" x14ac:dyDescent="0.2"/>
  <cols>
    <col min="1" max="1" width="5.85546875" style="2" customWidth="1"/>
    <col min="2" max="2" width="6" style="46" customWidth="1"/>
    <col min="3" max="3" width="14" style="2" customWidth="1"/>
    <col min="4" max="6" width="3.28515625" style="2" customWidth="1"/>
    <col min="7" max="7" width="37.140625" style="2" customWidth="1"/>
    <col min="8" max="8" width="18.140625" style="2" customWidth="1"/>
    <col min="9" max="9" width="17" style="2" bestFit="1" customWidth="1"/>
    <col min="10" max="10" width="16.28515625" style="2" bestFit="1" customWidth="1"/>
    <col min="11" max="11" width="15.28515625" style="2" bestFit="1" customWidth="1"/>
    <col min="12" max="12" width="16.28515625" style="2" bestFit="1" customWidth="1"/>
    <col min="13" max="13" width="15.28515625" style="2" bestFit="1" customWidth="1"/>
    <col min="14" max="14" width="14.5703125" style="2" bestFit="1" customWidth="1"/>
    <col min="15" max="16" width="14.28515625" style="2" bestFit="1" customWidth="1"/>
    <col min="17" max="18" width="15.7109375" style="2" customWidth="1"/>
    <col min="19" max="19" width="16.7109375" style="2" bestFit="1" customWidth="1"/>
    <col min="20" max="20" width="18.140625" style="2" customWidth="1"/>
    <col min="21" max="21" width="14.5703125" style="2" customWidth="1"/>
    <col min="22" max="16384" width="9.140625" style="2"/>
  </cols>
  <sheetData>
    <row r="1" spans="1:21" ht="18" x14ac:dyDescent="0.25">
      <c r="A1" s="1" t="s">
        <v>0</v>
      </c>
      <c r="B1" s="2"/>
      <c r="D1" s="46"/>
    </row>
    <row r="2" spans="1:21" x14ac:dyDescent="0.2">
      <c r="B2" s="2"/>
      <c r="D2" s="46"/>
      <c r="H2" s="48" t="s">
        <v>1</v>
      </c>
      <c r="Q2" s="61" t="s">
        <v>2</v>
      </c>
      <c r="R2" s="61" t="s">
        <v>3</v>
      </c>
    </row>
    <row r="3" spans="1:21" x14ac:dyDescent="0.2">
      <c r="A3" s="2" t="s">
        <v>11</v>
      </c>
      <c r="B3" s="46" t="s">
        <v>4</v>
      </c>
      <c r="C3" s="47"/>
      <c r="H3" s="48" t="s">
        <v>5</v>
      </c>
      <c r="I3" s="48"/>
      <c r="J3" s="48" t="s">
        <v>6</v>
      </c>
      <c r="K3" s="48" t="s">
        <v>6</v>
      </c>
      <c r="L3" s="48"/>
      <c r="M3" s="48"/>
      <c r="N3" s="48"/>
      <c r="O3" s="48" t="s">
        <v>7</v>
      </c>
      <c r="P3" s="48" t="s">
        <v>8</v>
      </c>
      <c r="Q3" s="48" t="s">
        <v>9</v>
      </c>
      <c r="R3" s="48" t="s">
        <v>9</v>
      </c>
      <c r="S3" s="48" t="s">
        <v>10</v>
      </c>
      <c r="T3" s="48"/>
      <c r="U3" s="48"/>
    </row>
    <row r="4" spans="1:21" x14ac:dyDescent="0.2">
      <c r="A4" s="51" t="s">
        <v>302</v>
      </c>
      <c r="B4" s="49" t="s">
        <v>12</v>
      </c>
      <c r="C4" s="50" t="s">
        <v>13</v>
      </c>
      <c r="D4" s="51" t="s">
        <v>14</v>
      </c>
      <c r="E4" s="51"/>
      <c r="F4" s="51"/>
      <c r="G4" s="51"/>
      <c r="H4" s="52" t="s">
        <v>15</v>
      </c>
      <c r="I4" s="52" t="s">
        <v>16</v>
      </c>
      <c r="J4" s="52" t="s">
        <v>17</v>
      </c>
      <c r="K4" s="52" t="s">
        <v>18</v>
      </c>
      <c r="L4" s="52" t="s">
        <v>19</v>
      </c>
      <c r="M4" s="52" t="s">
        <v>20</v>
      </c>
      <c r="N4" s="52" t="s">
        <v>21</v>
      </c>
      <c r="O4" s="52" t="s">
        <v>20</v>
      </c>
      <c r="P4" s="52" t="s">
        <v>22</v>
      </c>
      <c r="Q4" s="52" t="s">
        <v>23</v>
      </c>
      <c r="R4" s="52" t="s">
        <v>23</v>
      </c>
      <c r="S4" s="52" t="s">
        <v>24</v>
      </c>
      <c r="T4" s="52" t="s">
        <v>25</v>
      </c>
      <c r="U4" s="3"/>
    </row>
    <row r="5" spans="1:21" x14ac:dyDescent="0.2">
      <c r="B5" s="46" t="s">
        <v>26</v>
      </c>
      <c r="C5" s="46" t="s">
        <v>27</v>
      </c>
      <c r="D5" s="46" t="s">
        <v>28</v>
      </c>
      <c r="E5" s="46" t="s">
        <v>29</v>
      </c>
      <c r="F5" s="46" t="s">
        <v>30</v>
      </c>
      <c r="G5" s="46"/>
      <c r="H5" s="46" t="s">
        <v>31</v>
      </c>
      <c r="I5" s="46" t="s">
        <v>32</v>
      </c>
      <c r="J5" s="46" t="s">
        <v>33</v>
      </c>
      <c r="K5" s="46" t="s">
        <v>34</v>
      </c>
      <c r="L5" s="46" t="s">
        <v>35</v>
      </c>
      <c r="M5" s="46" t="s">
        <v>36</v>
      </c>
      <c r="N5" s="46" t="s">
        <v>37</v>
      </c>
      <c r="O5" s="46" t="s">
        <v>38</v>
      </c>
      <c r="P5" s="46" t="s">
        <v>39</v>
      </c>
      <c r="Q5" s="46" t="s">
        <v>40</v>
      </c>
      <c r="R5" s="46" t="s">
        <v>41</v>
      </c>
      <c r="S5" s="46" t="s">
        <v>42</v>
      </c>
      <c r="T5" s="62" t="s">
        <v>43</v>
      </c>
    </row>
    <row r="6" spans="1:21" x14ac:dyDescent="0.2">
      <c r="B6" s="2"/>
      <c r="D6" s="46"/>
    </row>
    <row r="7" spans="1:21" ht="18" x14ac:dyDescent="0.25">
      <c r="A7" s="4" t="s">
        <v>44</v>
      </c>
      <c r="B7" s="2"/>
      <c r="C7" s="4"/>
    </row>
    <row r="8" spans="1:21" x14ac:dyDescent="0.2">
      <c r="C8" s="47"/>
    </row>
    <row r="9" spans="1:21" x14ac:dyDescent="0.2">
      <c r="C9" s="46"/>
      <c r="D9" s="47" t="s">
        <v>45</v>
      </c>
    </row>
    <row r="10" spans="1:21" x14ac:dyDescent="0.2">
      <c r="A10" s="47">
        <v>1</v>
      </c>
      <c r="B10" s="46">
        <v>1.1000000000000001</v>
      </c>
      <c r="C10" s="53">
        <v>304</v>
      </c>
      <c r="D10" s="47"/>
      <c r="E10" s="2" t="s">
        <v>46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54">
        <v>0</v>
      </c>
    </row>
    <row r="11" spans="1:21" x14ac:dyDescent="0.2">
      <c r="A11" s="47">
        <f>+A10+1</f>
        <v>2</v>
      </c>
      <c r="B11" s="46">
        <v>1.1000000000000001</v>
      </c>
      <c r="C11" s="53">
        <v>305</v>
      </c>
      <c r="D11" s="47"/>
      <c r="E11" s="2" t="s">
        <v>47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54">
        <v>0</v>
      </c>
    </row>
    <row r="12" spans="1:21" x14ac:dyDescent="0.2">
      <c r="A12" s="47">
        <f>+A11+1</f>
        <v>3</v>
      </c>
      <c r="B12" s="46">
        <v>1.1000000000000001</v>
      </c>
      <c r="C12" s="53">
        <v>306</v>
      </c>
      <c r="D12" s="47"/>
      <c r="E12" s="2" t="s">
        <v>48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54">
        <v>0</v>
      </c>
    </row>
    <row r="13" spans="1:21" x14ac:dyDescent="0.2">
      <c r="A13" s="47">
        <f>+A12+1</f>
        <v>4</v>
      </c>
      <c r="B13" s="46">
        <v>1.1000000000000001</v>
      </c>
      <c r="C13" s="53">
        <v>307</v>
      </c>
      <c r="D13" s="47"/>
      <c r="E13" s="2" t="s">
        <v>49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54">
        <v>0</v>
      </c>
    </row>
    <row r="14" spans="1:21" x14ac:dyDescent="0.2">
      <c r="A14" s="47">
        <f t="shared" ref="A14:A16" si="0">+A13+1</f>
        <v>5</v>
      </c>
      <c r="B14" s="46">
        <v>1.1000000000000001</v>
      </c>
      <c r="C14" s="53">
        <v>311</v>
      </c>
      <c r="D14" s="47"/>
      <c r="E14" s="2" t="s">
        <v>50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54">
        <v>0</v>
      </c>
    </row>
    <row r="15" spans="1:21" x14ac:dyDescent="0.2">
      <c r="A15" s="50">
        <f t="shared" si="0"/>
        <v>6</v>
      </c>
      <c r="B15" s="49">
        <v>1.1000000000000001</v>
      </c>
      <c r="C15" s="55">
        <v>320</v>
      </c>
      <c r="D15" s="50"/>
      <c r="E15" s="51" t="s">
        <v>51</v>
      </c>
      <c r="F15" s="51"/>
      <c r="G15" s="51"/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56">
        <v>0</v>
      </c>
    </row>
    <row r="16" spans="1:21" x14ac:dyDescent="0.2">
      <c r="A16" s="47">
        <f t="shared" si="0"/>
        <v>7</v>
      </c>
      <c r="C16" s="47" t="s">
        <v>52</v>
      </c>
      <c r="D16" s="47" t="s">
        <v>53</v>
      </c>
      <c r="H16" s="11">
        <f t="shared" ref="H16:S16" si="1">SUM(H10:H15)</f>
        <v>0</v>
      </c>
      <c r="I16" s="11">
        <f t="shared" si="1"/>
        <v>0</v>
      </c>
      <c r="J16" s="11">
        <f t="shared" si="1"/>
        <v>0</v>
      </c>
      <c r="K16" s="11">
        <f t="shared" si="1"/>
        <v>0</v>
      </c>
      <c r="L16" s="11">
        <f t="shared" si="1"/>
        <v>0</v>
      </c>
      <c r="M16" s="11">
        <f t="shared" si="1"/>
        <v>0</v>
      </c>
      <c r="N16" s="11">
        <f t="shared" si="1"/>
        <v>0</v>
      </c>
      <c r="O16" s="11">
        <f t="shared" si="1"/>
        <v>0</v>
      </c>
      <c r="P16" s="11">
        <f t="shared" si="1"/>
        <v>0</v>
      </c>
      <c r="Q16" s="11">
        <f t="shared" si="1"/>
        <v>0</v>
      </c>
      <c r="R16" s="11">
        <f t="shared" si="1"/>
        <v>0</v>
      </c>
      <c r="S16" s="11">
        <f t="shared" si="1"/>
        <v>0</v>
      </c>
      <c r="T16" s="54">
        <f t="shared" ref="T16" si="2">SUM(I16:S16)-H16</f>
        <v>0</v>
      </c>
    </row>
    <row r="17" spans="1:20" x14ac:dyDescent="0.2">
      <c r="A17" s="47"/>
      <c r="C17" s="47"/>
      <c r="H17" s="11"/>
      <c r="T17" s="54"/>
    </row>
    <row r="18" spans="1:20" x14ac:dyDescent="0.2">
      <c r="A18" s="47"/>
      <c r="C18" s="47"/>
      <c r="D18" s="2" t="s">
        <v>54</v>
      </c>
      <c r="H18" s="11"/>
      <c r="T18" s="54"/>
    </row>
    <row r="19" spans="1:20" x14ac:dyDescent="0.2">
      <c r="A19" s="47">
        <f>+A16+1</f>
        <v>8</v>
      </c>
      <c r="B19" s="46">
        <v>1.1000000000000001</v>
      </c>
      <c r="C19" s="47">
        <v>360</v>
      </c>
      <c r="E19" s="2" t="s">
        <v>46</v>
      </c>
      <c r="H19" s="11">
        <v>31573.760000000002</v>
      </c>
      <c r="I19" s="11">
        <v>31573.760000000002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54">
        <v>0</v>
      </c>
    </row>
    <row r="20" spans="1:20" x14ac:dyDescent="0.2">
      <c r="A20" s="47">
        <f>+A19+1</f>
        <v>9</v>
      </c>
      <c r="B20" s="46">
        <v>1.1000000000000001</v>
      </c>
      <c r="C20" s="47">
        <v>361</v>
      </c>
      <c r="E20" s="2" t="s">
        <v>47</v>
      </c>
      <c r="H20" s="11">
        <v>1168793.48</v>
      </c>
      <c r="I20" s="11">
        <v>1168793.48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54">
        <v>0</v>
      </c>
    </row>
    <row r="21" spans="1:20" x14ac:dyDescent="0.2">
      <c r="A21" s="47">
        <f t="shared" ref="A21:A28" si="3">+A20+1</f>
        <v>10</v>
      </c>
      <c r="B21" s="46">
        <v>1.1000000000000001</v>
      </c>
      <c r="C21" s="47">
        <v>362</v>
      </c>
      <c r="E21" s="2" t="s">
        <v>55</v>
      </c>
      <c r="H21" s="11">
        <v>1403733.84</v>
      </c>
      <c r="I21" s="11">
        <v>1403733.84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54">
        <v>0</v>
      </c>
    </row>
    <row r="22" spans="1:20" x14ac:dyDescent="0.2">
      <c r="A22" s="47">
        <f t="shared" si="3"/>
        <v>11</v>
      </c>
      <c r="B22" s="46">
        <v>1.1000000000000001</v>
      </c>
      <c r="C22" s="47">
        <v>363</v>
      </c>
      <c r="E22" s="2" t="s">
        <v>56</v>
      </c>
      <c r="H22" s="11">
        <v>458568.54</v>
      </c>
      <c r="I22" s="11">
        <v>458568.54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54">
        <v>0</v>
      </c>
    </row>
    <row r="23" spans="1:20" x14ac:dyDescent="0.2">
      <c r="A23" s="47">
        <f t="shared" si="3"/>
        <v>12</v>
      </c>
      <c r="B23" s="46">
        <v>1.1000000000000001</v>
      </c>
      <c r="C23" s="47">
        <v>363.1</v>
      </c>
      <c r="E23" s="2" t="s">
        <v>57</v>
      </c>
      <c r="H23" s="11">
        <v>909431.96</v>
      </c>
      <c r="I23" s="11">
        <v>909431.96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54">
        <v>0</v>
      </c>
    </row>
    <row r="24" spans="1:20" x14ac:dyDescent="0.2">
      <c r="A24" s="47">
        <f t="shared" si="3"/>
        <v>13</v>
      </c>
      <c r="B24" s="46">
        <v>1.1000000000000001</v>
      </c>
      <c r="C24" s="47">
        <v>363.2</v>
      </c>
      <c r="E24" s="2" t="s">
        <v>58</v>
      </c>
      <c r="H24" s="11">
        <v>276163.69</v>
      </c>
      <c r="I24" s="11">
        <v>276163.69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54">
        <v>0</v>
      </c>
    </row>
    <row r="25" spans="1:20" x14ac:dyDescent="0.2">
      <c r="A25" s="47">
        <f t="shared" si="3"/>
        <v>14</v>
      </c>
      <c r="B25" s="46">
        <v>1.1000000000000001</v>
      </c>
      <c r="C25" s="47">
        <v>363.3</v>
      </c>
      <c r="E25" s="2" t="s">
        <v>59</v>
      </c>
      <c r="H25" s="11">
        <v>352814.62</v>
      </c>
      <c r="I25" s="11">
        <v>352814.62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54">
        <v>0</v>
      </c>
    </row>
    <row r="26" spans="1:20" x14ac:dyDescent="0.2">
      <c r="A26" s="47">
        <f t="shared" si="3"/>
        <v>15</v>
      </c>
      <c r="B26" s="46">
        <v>1.1000000000000001</v>
      </c>
      <c r="C26" s="47">
        <v>363.4</v>
      </c>
      <c r="E26" s="2" t="s">
        <v>60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54">
        <v>0</v>
      </c>
    </row>
    <row r="27" spans="1:20" x14ac:dyDescent="0.2">
      <c r="A27" s="50">
        <f t="shared" si="3"/>
        <v>16</v>
      </c>
      <c r="B27" s="49">
        <v>1.1000000000000001</v>
      </c>
      <c r="C27" s="50">
        <v>363.5</v>
      </c>
      <c r="D27" s="51"/>
      <c r="E27" s="51" t="s">
        <v>61</v>
      </c>
      <c r="F27" s="51"/>
      <c r="G27" s="51"/>
      <c r="H27" s="10">
        <v>2090856.46</v>
      </c>
      <c r="I27" s="10">
        <v>2090856.46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56">
        <v>0</v>
      </c>
    </row>
    <row r="28" spans="1:20" x14ac:dyDescent="0.2">
      <c r="A28" s="47">
        <f t="shared" si="3"/>
        <v>17</v>
      </c>
      <c r="C28" s="47"/>
      <c r="D28" s="47" t="s">
        <v>62</v>
      </c>
      <c r="H28" s="11">
        <f>SUM(H19:H27)</f>
        <v>6691936.3500000006</v>
      </c>
      <c r="I28" s="11">
        <f t="shared" ref="I28:T28" si="4">SUM(I19:I27)</f>
        <v>6691936.3500000006</v>
      </c>
      <c r="J28" s="11">
        <f t="shared" si="4"/>
        <v>0</v>
      </c>
      <c r="K28" s="11">
        <f t="shared" si="4"/>
        <v>0</v>
      </c>
      <c r="L28" s="11">
        <f t="shared" si="4"/>
        <v>0</v>
      </c>
      <c r="M28" s="11">
        <f t="shared" si="4"/>
        <v>0</v>
      </c>
      <c r="N28" s="11">
        <f t="shared" si="4"/>
        <v>0</v>
      </c>
      <c r="O28" s="11">
        <f t="shared" si="4"/>
        <v>0</v>
      </c>
      <c r="P28" s="11">
        <f t="shared" si="4"/>
        <v>0</v>
      </c>
      <c r="Q28" s="11">
        <f t="shared" si="4"/>
        <v>0</v>
      </c>
      <c r="R28" s="11">
        <f t="shared" si="4"/>
        <v>0</v>
      </c>
      <c r="S28" s="11">
        <f t="shared" si="4"/>
        <v>0</v>
      </c>
      <c r="T28" s="11">
        <f t="shared" si="4"/>
        <v>0</v>
      </c>
    </row>
    <row r="29" spans="1:20" x14ac:dyDescent="0.2">
      <c r="A29" s="47"/>
      <c r="C29" s="47"/>
      <c r="H29" s="11"/>
      <c r="T29" s="54"/>
    </row>
    <row r="30" spans="1:20" x14ac:dyDescent="0.2">
      <c r="A30" s="47"/>
      <c r="C30" s="47"/>
      <c r="D30" s="2" t="s">
        <v>63</v>
      </c>
      <c r="H30" s="11"/>
      <c r="T30" s="54"/>
    </row>
    <row r="31" spans="1:20" x14ac:dyDescent="0.2">
      <c r="A31" s="47">
        <f>+A28+1</f>
        <v>18</v>
      </c>
      <c r="B31" s="46">
        <v>1.2</v>
      </c>
      <c r="C31" s="47">
        <v>374</v>
      </c>
      <c r="E31" s="2" t="s">
        <v>46</v>
      </c>
      <c r="H31" s="11">
        <v>373581.45</v>
      </c>
      <c r="I31" s="11">
        <v>0</v>
      </c>
      <c r="J31" s="11">
        <v>89570.285864541569</v>
      </c>
      <c r="K31" s="11">
        <v>284011.16413545841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54">
        <v>0</v>
      </c>
    </row>
    <row r="32" spans="1:20" x14ac:dyDescent="0.2">
      <c r="A32" s="47">
        <f>+A31+1</f>
        <v>19</v>
      </c>
      <c r="B32" s="46">
        <v>1.2</v>
      </c>
      <c r="C32" s="47">
        <v>375</v>
      </c>
      <c r="E32" s="2" t="s">
        <v>64</v>
      </c>
      <c r="H32" s="11">
        <v>60038.57</v>
      </c>
      <c r="I32" s="11">
        <v>0</v>
      </c>
      <c r="J32" s="11">
        <v>14394.911411683554</v>
      </c>
      <c r="K32" s="11">
        <v>45643.658588316444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54">
        <v>0</v>
      </c>
    </row>
    <row r="33" spans="1:20" x14ac:dyDescent="0.2">
      <c r="A33" s="47">
        <f t="shared" ref="A33:A43" si="5">+A32+1</f>
        <v>20</v>
      </c>
      <c r="B33" s="46">
        <v>1.2</v>
      </c>
      <c r="C33" s="47">
        <v>376</v>
      </c>
      <c r="E33" s="2" t="s">
        <v>6</v>
      </c>
      <c r="H33" s="11">
        <v>139736127.44</v>
      </c>
      <c r="I33" s="11">
        <v>0</v>
      </c>
      <c r="J33" s="11">
        <v>33503282.565033168</v>
      </c>
      <c r="K33" s="11">
        <v>106232844.87496683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54">
        <v>0</v>
      </c>
    </row>
    <row r="34" spans="1:20" x14ac:dyDescent="0.2">
      <c r="A34" s="47">
        <f t="shared" si="5"/>
        <v>21</v>
      </c>
      <c r="B34" s="46">
        <v>1.2</v>
      </c>
      <c r="C34" s="47">
        <v>377</v>
      </c>
      <c r="E34" s="2" t="s">
        <v>65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54">
        <v>0</v>
      </c>
    </row>
    <row r="35" spans="1:20" x14ac:dyDescent="0.2">
      <c r="A35" s="47">
        <f t="shared" si="5"/>
        <v>22</v>
      </c>
      <c r="B35" s="46">
        <v>1.2</v>
      </c>
      <c r="C35" s="47">
        <v>378</v>
      </c>
      <c r="E35" s="2" t="s">
        <v>66</v>
      </c>
      <c r="H35" s="11">
        <v>6010898.7799999993</v>
      </c>
      <c r="I35" s="11">
        <v>0</v>
      </c>
      <c r="J35" s="11">
        <v>1441179.4858321366</v>
      </c>
      <c r="K35" s="11">
        <v>4569719.2941678623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54">
        <v>0</v>
      </c>
    </row>
    <row r="36" spans="1:20" x14ac:dyDescent="0.2">
      <c r="A36" s="47">
        <f t="shared" si="5"/>
        <v>23</v>
      </c>
      <c r="B36" s="46">
        <v>1.2</v>
      </c>
      <c r="C36" s="47">
        <v>379</v>
      </c>
      <c r="E36" s="2" t="s">
        <v>67</v>
      </c>
      <c r="H36" s="11">
        <v>2991677.27</v>
      </c>
      <c r="I36" s="11">
        <v>0</v>
      </c>
      <c r="J36" s="11">
        <v>717287.72477421269</v>
      </c>
      <c r="K36" s="11">
        <v>2274389.5452257874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54">
        <v>0</v>
      </c>
    </row>
    <row r="37" spans="1:20" x14ac:dyDescent="0.2">
      <c r="A37" s="47">
        <f t="shared" si="5"/>
        <v>24</v>
      </c>
      <c r="B37" s="46">
        <v>1.3</v>
      </c>
      <c r="C37" s="47">
        <v>380</v>
      </c>
      <c r="E37" s="2" t="s">
        <v>19</v>
      </c>
      <c r="H37" s="11">
        <v>98062374.800000012</v>
      </c>
      <c r="I37" s="11">
        <v>0</v>
      </c>
      <c r="J37" s="11">
        <v>0</v>
      </c>
      <c r="K37" s="11">
        <v>0</v>
      </c>
      <c r="L37" s="11">
        <v>98062374.800000012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54">
        <v>0</v>
      </c>
    </row>
    <row r="38" spans="1:20" x14ac:dyDescent="0.2">
      <c r="A38" s="47">
        <f t="shared" si="5"/>
        <v>25</v>
      </c>
      <c r="B38" s="46">
        <v>1.4</v>
      </c>
      <c r="C38" s="47">
        <v>381</v>
      </c>
      <c r="E38" s="2" t="s">
        <v>20</v>
      </c>
      <c r="H38" s="11">
        <v>52019356.390000001</v>
      </c>
      <c r="I38" s="11">
        <v>0</v>
      </c>
      <c r="J38" s="11">
        <v>0</v>
      </c>
      <c r="K38" s="11">
        <v>0</v>
      </c>
      <c r="L38" s="11">
        <v>0</v>
      </c>
      <c r="M38" s="11">
        <v>52019356.390000001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54">
        <v>0</v>
      </c>
    </row>
    <row r="39" spans="1:20" x14ac:dyDescent="0.2">
      <c r="A39" s="47">
        <f t="shared" si="5"/>
        <v>26</v>
      </c>
      <c r="B39" s="46">
        <v>1.4</v>
      </c>
      <c r="C39" s="47">
        <v>382</v>
      </c>
      <c r="E39" s="2" t="s">
        <v>68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54">
        <v>0</v>
      </c>
    </row>
    <row r="40" spans="1:20" x14ac:dyDescent="0.2">
      <c r="A40" s="47">
        <f t="shared" si="5"/>
        <v>27</v>
      </c>
      <c r="B40" s="46">
        <v>1.5</v>
      </c>
      <c r="C40" s="47">
        <v>383</v>
      </c>
      <c r="E40" s="2" t="s">
        <v>69</v>
      </c>
      <c r="H40" s="11">
        <v>6774855.9900000002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6774855.9900000002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54">
        <v>0</v>
      </c>
    </row>
    <row r="41" spans="1:20" x14ac:dyDescent="0.2">
      <c r="A41" s="47">
        <f t="shared" si="5"/>
        <v>28</v>
      </c>
      <c r="B41" s="46">
        <v>1.5</v>
      </c>
      <c r="C41" s="47">
        <v>384</v>
      </c>
      <c r="E41" s="2" t="s">
        <v>70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54">
        <v>0</v>
      </c>
    </row>
    <row r="42" spans="1:20" x14ac:dyDescent="0.2">
      <c r="A42" s="50">
        <f t="shared" si="5"/>
        <v>29</v>
      </c>
      <c r="B42" s="49">
        <v>1.6</v>
      </c>
      <c r="C42" s="50">
        <v>385</v>
      </c>
      <c r="D42" s="51"/>
      <c r="E42" s="51" t="s">
        <v>71</v>
      </c>
      <c r="F42" s="51"/>
      <c r="G42" s="51"/>
      <c r="H42" s="10">
        <v>271663.01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271663.01</v>
      </c>
      <c r="P42" s="10">
        <v>0</v>
      </c>
      <c r="Q42" s="10">
        <v>0</v>
      </c>
      <c r="R42" s="10">
        <v>0</v>
      </c>
      <c r="S42" s="10">
        <v>0</v>
      </c>
      <c r="T42" s="56">
        <v>0</v>
      </c>
    </row>
    <row r="43" spans="1:20" x14ac:dyDescent="0.2">
      <c r="A43" s="47">
        <f t="shared" si="5"/>
        <v>30</v>
      </c>
      <c r="C43" s="47"/>
      <c r="D43" s="47" t="s">
        <v>72</v>
      </c>
      <c r="H43" s="11">
        <f t="shared" ref="H43:S43" si="6">SUM(H31:H42)</f>
        <v>306300573.70000005</v>
      </c>
      <c r="I43" s="11">
        <f t="shared" si="6"/>
        <v>0</v>
      </c>
      <c r="J43" s="11">
        <f t="shared" si="6"/>
        <v>35765714.972915746</v>
      </c>
      <c r="K43" s="11">
        <f t="shared" si="6"/>
        <v>113406608.53708425</v>
      </c>
      <c r="L43" s="11">
        <f t="shared" si="6"/>
        <v>98062374.800000012</v>
      </c>
      <c r="M43" s="11">
        <f t="shared" si="6"/>
        <v>52019356.390000001</v>
      </c>
      <c r="N43" s="11">
        <f t="shared" si="6"/>
        <v>6774855.9900000002</v>
      </c>
      <c r="O43" s="11">
        <f t="shared" si="6"/>
        <v>271663.01</v>
      </c>
      <c r="P43" s="11">
        <f t="shared" si="6"/>
        <v>0</v>
      </c>
      <c r="Q43" s="11">
        <f t="shared" si="6"/>
        <v>0</v>
      </c>
      <c r="R43" s="11">
        <f t="shared" si="6"/>
        <v>0</v>
      </c>
      <c r="S43" s="11">
        <f t="shared" si="6"/>
        <v>0</v>
      </c>
      <c r="T43" s="54">
        <f t="shared" ref="T43" si="7">SUM(I43:S43)-H43</f>
        <v>0</v>
      </c>
    </row>
    <row r="44" spans="1:20" x14ac:dyDescent="0.2">
      <c r="A44" s="47"/>
      <c r="C44" s="47"/>
      <c r="H44" s="54"/>
      <c r="I44" s="11"/>
      <c r="J44" s="11"/>
      <c r="K44" s="11"/>
      <c r="L44" s="11"/>
      <c r="M44" s="14"/>
      <c r="N44" s="11"/>
      <c r="O44" s="11"/>
      <c r="P44" s="11"/>
      <c r="Q44" s="11"/>
      <c r="R44" s="11"/>
      <c r="S44" s="11"/>
      <c r="T44" s="54"/>
    </row>
    <row r="45" spans="1:20" x14ac:dyDescent="0.2">
      <c r="A45" s="47"/>
      <c r="C45" s="47"/>
      <c r="D45" s="2" t="s">
        <v>73</v>
      </c>
      <c r="H45" s="11"/>
      <c r="T45" s="54"/>
    </row>
    <row r="46" spans="1:20" x14ac:dyDescent="0.2">
      <c r="A46" s="50">
        <f>+A43+1</f>
        <v>31</v>
      </c>
      <c r="B46" s="49">
        <v>40</v>
      </c>
      <c r="C46" s="50" t="s">
        <v>74</v>
      </c>
      <c r="D46" s="51"/>
      <c r="E46" s="51" t="s">
        <v>73</v>
      </c>
      <c r="F46" s="51"/>
      <c r="G46" s="51"/>
      <c r="H46" s="10">
        <v>20694136.850000001</v>
      </c>
      <c r="I46" s="10">
        <v>591104.12543464196</v>
      </c>
      <c r="J46" s="10">
        <v>1687940.2074109102</v>
      </c>
      <c r="K46" s="10">
        <v>5352152.8782749902</v>
      </c>
      <c r="L46" s="10">
        <v>4682451.6848464822</v>
      </c>
      <c r="M46" s="10">
        <v>2876524.8019462214</v>
      </c>
      <c r="N46" s="10">
        <v>219410.60856688779</v>
      </c>
      <c r="O46" s="10">
        <v>2818.973847815771</v>
      </c>
      <c r="P46" s="10">
        <v>4694335.5163247027</v>
      </c>
      <c r="Q46" s="10">
        <v>95557.289640972856</v>
      </c>
      <c r="R46" s="10">
        <v>147752.01507946709</v>
      </c>
      <c r="S46" s="10">
        <v>344088.74862690817</v>
      </c>
      <c r="T46" s="56">
        <f t="shared" ref="T46:T47" si="8">SUM(I46:S46)-H46</f>
        <v>0</v>
      </c>
    </row>
    <row r="47" spans="1:20" x14ac:dyDescent="0.2">
      <c r="A47" s="47">
        <f>+A46+1</f>
        <v>32</v>
      </c>
      <c r="C47" s="47"/>
      <c r="D47" s="47" t="s">
        <v>75</v>
      </c>
      <c r="H47" s="11">
        <f t="shared" ref="H47:S47" si="9">SUM(H46:H46)</f>
        <v>20694136.850000001</v>
      </c>
      <c r="I47" s="11">
        <f t="shared" si="9"/>
        <v>591104.12543464196</v>
      </c>
      <c r="J47" s="11">
        <f t="shared" si="9"/>
        <v>1687940.2074109102</v>
      </c>
      <c r="K47" s="11">
        <f t="shared" si="9"/>
        <v>5352152.8782749902</v>
      </c>
      <c r="L47" s="11">
        <f t="shared" si="9"/>
        <v>4682451.6848464822</v>
      </c>
      <c r="M47" s="11">
        <f t="shared" si="9"/>
        <v>2876524.8019462214</v>
      </c>
      <c r="N47" s="11">
        <f t="shared" si="9"/>
        <v>219410.60856688779</v>
      </c>
      <c r="O47" s="11">
        <f t="shared" si="9"/>
        <v>2818.973847815771</v>
      </c>
      <c r="P47" s="11">
        <f t="shared" si="9"/>
        <v>4694335.5163247027</v>
      </c>
      <c r="Q47" s="11">
        <f t="shared" si="9"/>
        <v>95557.289640972856</v>
      </c>
      <c r="R47" s="11">
        <f t="shared" si="9"/>
        <v>147752.01507946709</v>
      </c>
      <c r="S47" s="11">
        <f t="shared" si="9"/>
        <v>344088.74862690817</v>
      </c>
      <c r="T47" s="54">
        <f t="shared" si="8"/>
        <v>0</v>
      </c>
    </row>
    <row r="48" spans="1:20" x14ac:dyDescent="0.2">
      <c r="A48" s="47"/>
      <c r="C48" s="47"/>
      <c r="H48" s="63"/>
      <c r="T48" s="54"/>
    </row>
    <row r="49" spans="1:20" x14ac:dyDescent="0.2">
      <c r="A49" s="47"/>
      <c r="C49" s="47"/>
      <c r="D49" s="2" t="s">
        <v>76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54"/>
    </row>
    <row r="50" spans="1:20" x14ac:dyDescent="0.2">
      <c r="A50" s="50">
        <f>+A47+1</f>
        <v>33</v>
      </c>
      <c r="B50" s="49">
        <v>40</v>
      </c>
      <c r="C50" s="50" t="s">
        <v>77</v>
      </c>
      <c r="D50" s="51"/>
      <c r="E50" s="51" t="s">
        <v>76</v>
      </c>
      <c r="F50" s="51"/>
      <c r="G50" s="51"/>
      <c r="H50" s="10">
        <v>15279958.16</v>
      </c>
      <c r="I50" s="10">
        <v>436454.36242704274</v>
      </c>
      <c r="J50" s="10">
        <v>1246326.7220454486</v>
      </c>
      <c r="K50" s="10">
        <v>3951876.4488099637</v>
      </c>
      <c r="L50" s="10">
        <v>3457388.2616745019</v>
      </c>
      <c r="M50" s="10">
        <v>2123943.5565026016</v>
      </c>
      <c r="N50" s="10">
        <v>162006.51146086256</v>
      </c>
      <c r="O50" s="10">
        <v>2081.4495797034988</v>
      </c>
      <c r="P50" s="10">
        <v>3466162.9425942181</v>
      </c>
      <c r="Q50" s="10">
        <v>70556.766787645305</v>
      </c>
      <c r="R50" s="10">
        <v>109095.85767380995</v>
      </c>
      <c r="S50" s="10">
        <v>254065.28044420047</v>
      </c>
      <c r="T50" s="56">
        <f t="shared" ref="T50:T51" si="10">SUM(I50:S50)-H50</f>
        <v>0</v>
      </c>
    </row>
    <row r="51" spans="1:20" x14ac:dyDescent="0.2">
      <c r="A51" s="47">
        <f>+A50+1</f>
        <v>34</v>
      </c>
      <c r="C51" s="47"/>
      <c r="D51" s="47" t="s">
        <v>78</v>
      </c>
      <c r="H51" s="11">
        <f t="shared" ref="H51:S51" si="11">SUM(H50:H50)</f>
        <v>15279958.16</v>
      </c>
      <c r="I51" s="11">
        <f t="shared" si="11"/>
        <v>436454.36242704274</v>
      </c>
      <c r="J51" s="11">
        <f t="shared" si="11"/>
        <v>1246326.7220454486</v>
      </c>
      <c r="K51" s="11">
        <f t="shared" si="11"/>
        <v>3951876.4488099637</v>
      </c>
      <c r="L51" s="11">
        <f t="shared" si="11"/>
        <v>3457388.2616745019</v>
      </c>
      <c r="M51" s="11">
        <f t="shared" si="11"/>
        <v>2123943.5565026016</v>
      </c>
      <c r="N51" s="11">
        <f t="shared" si="11"/>
        <v>162006.51146086256</v>
      </c>
      <c r="O51" s="11">
        <f t="shared" si="11"/>
        <v>2081.4495797034988</v>
      </c>
      <c r="P51" s="11">
        <f t="shared" si="11"/>
        <v>3466162.9425942181</v>
      </c>
      <c r="Q51" s="11">
        <f t="shared" si="11"/>
        <v>70556.766787645305</v>
      </c>
      <c r="R51" s="11">
        <f t="shared" si="11"/>
        <v>109095.85767380995</v>
      </c>
      <c r="S51" s="11">
        <f t="shared" si="11"/>
        <v>254065.28044420047</v>
      </c>
      <c r="T51" s="54">
        <f t="shared" si="10"/>
        <v>0</v>
      </c>
    </row>
    <row r="52" spans="1:20" x14ac:dyDescent="0.2">
      <c r="A52" s="47"/>
      <c r="C52" s="47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54"/>
    </row>
    <row r="53" spans="1:20" x14ac:dyDescent="0.2">
      <c r="A53" s="47">
        <f>+A51+1</f>
        <v>35</v>
      </c>
      <c r="B53" s="5"/>
      <c r="C53" s="6"/>
      <c r="D53" s="7" t="s">
        <v>79</v>
      </c>
      <c r="E53" s="7"/>
      <c r="F53" s="7"/>
      <c r="G53" s="7"/>
      <c r="H53" s="8">
        <f>H16+H28+H43+H47+H51</f>
        <v>348966605.06000012</v>
      </c>
      <c r="I53" s="8">
        <f t="shared" ref="I53:S53" si="12">I16+I28+I43+I47+I51</f>
        <v>7719494.8378616851</v>
      </c>
      <c r="J53" s="8">
        <f t="shared" si="12"/>
        <v>38699981.902372107</v>
      </c>
      <c r="K53" s="8">
        <f t="shared" si="12"/>
        <v>122710637.86416921</v>
      </c>
      <c r="L53" s="8">
        <f t="shared" si="12"/>
        <v>106202214.746521</v>
      </c>
      <c r="M53" s="8">
        <f t="shared" si="12"/>
        <v>57019824.748448826</v>
      </c>
      <c r="N53" s="8">
        <f t="shared" si="12"/>
        <v>7156273.11002775</v>
      </c>
      <c r="O53" s="8">
        <f t="shared" si="12"/>
        <v>276563.43342751928</v>
      </c>
      <c r="P53" s="8">
        <f t="shared" si="12"/>
        <v>8160498.4589189207</v>
      </c>
      <c r="Q53" s="8">
        <f t="shared" si="12"/>
        <v>166114.05642861815</v>
      </c>
      <c r="R53" s="8">
        <f t="shared" si="12"/>
        <v>256847.87275327704</v>
      </c>
      <c r="S53" s="8">
        <f t="shared" si="12"/>
        <v>598154.02907110867</v>
      </c>
      <c r="T53" s="9">
        <f>SUM(I53:S53)-H53</f>
        <v>0</v>
      </c>
    </row>
    <row r="54" spans="1:20" x14ac:dyDescent="0.2">
      <c r="A54" s="47"/>
      <c r="H54" s="54"/>
      <c r="T54" s="54"/>
    </row>
    <row r="55" spans="1:20" x14ac:dyDescent="0.2">
      <c r="A55" s="47"/>
      <c r="C55" s="47"/>
      <c r="D55" s="2" t="s">
        <v>80</v>
      </c>
      <c r="T55" s="54"/>
    </row>
    <row r="56" spans="1:20" x14ac:dyDescent="0.2">
      <c r="A56" s="47"/>
      <c r="C56" s="47"/>
      <c r="T56" s="54"/>
    </row>
    <row r="57" spans="1:20" x14ac:dyDescent="0.2">
      <c r="A57" s="47">
        <f>+A53+1</f>
        <v>36</v>
      </c>
      <c r="B57" s="46">
        <v>1.1000000000000001</v>
      </c>
      <c r="F57" s="2" t="s">
        <v>81</v>
      </c>
      <c r="H57" s="11">
        <v>1001000</v>
      </c>
      <c r="I57" s="11">
        <v>1001000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54">
        <f t="shared" ref="T57:T62" si="13">SUM(I57:S57)-H57</f>
        <v>0</v>
      </c>
    </row>
    <row r="58" spans="1:20" x14ac:dyDescent="0.2">
      <c r="A58" s="47">
        <f>+A57+1</f>
        <v>37</v>
      </c>
      <c r="B58" s="46">
        <v>46</v>
      </c>
      <c r="C58" s="47"/>
      <c r="F58" s="2" t="s">
        <v>82</v>
      </c>
      <c r="H58" s="11">
        <v>2642000</v>
      </c>
      <c r="I58" s="11">
        <v>57664.258114184428</v>
      </c>
      <c r="J58" s="11">
        <v>296543.3525905438</v>
      </c>
      <c r="K58" s="11">
        <v>940285.29632295284</v>
      </c>
      <c r="L58" s="11">
        <v>813493.24012451014</v>
      </c>
      <c r="M58" s="11">
        <v>434644.05740091327</v>
      </c>
      <c r="N58" s="11">
        <v>55377.859812746712</v>
      </c>
      <c r="O58" s="11">
        <v>2173.2406977113865</v>
      </c>
      <c r="P58" s="11">
        <v>37167.90752447056</v>
      </c>
      <c r="Q58" s="11">
        <v>756.58514230900198</v>
      </c>
      <c r="R58" s="11">
        <v>1169.8425078332132</v>
      </c>
      <c r="S58" s="11">
        <v>2724.3597618238737</v>
      </c>
      <c r="T58" s="54">
        <f t="shared" si="13"/>
        <v>0</v>
      </c>
    </row>
    <row r="59" spans="1:20" x14ac:dyDescent="0.2">
      <c r="A59" s="47">
        <f t="shared" ref="A59:A62" si="14">+A58+1</f>
        <v>38</v>
      </c>
      <c r="B59" s="46">
        <v>39</v>
      </c>
      <c r="C59" s="57"/>
      <c r="F59" s="2" t="s">
        <v>83</v>
      </c>
      <c r="H59" s="11">
        <v>26000</v>
      </c>
      <c r="I59" s="11">
        <v>575.14634029206024</v>
      </c>
      <c r="J59" s="11">
        <v>2883.3691100289448</v>
      </c>
      <c r="K59" s="11">
        <v>9142.6415542537088</v>
      </c>
      <c r="L59" s="11">
        <v>7912.6699901120473</v>
      </c>
      <c r="M59" s="11">
        <v>4248.301762871467</v>
      </c>
      <c r="N59" s="11">
        <v>533.18311311975094</v>
      </c>
      <c r="O59" s="11">
        <v>20.605551261500125</v>
      </c>
      <c r="P59" s="11">
        <v>608.00362228188465</v>
      </c>
      <c r="Q59" s="11">
        <v>12.376443489202881</v>
      </c>
      <c r="R59" s="11">
        <v>19.13662967961362</v>
      </c>
      <c r="S59" s="11">
        <v>44.565882609812668</v>
      </c>
      <c r="T59" s="54">
        <f t="shared" si="13"/>
        <v>0</v>
      </c>
    </row>
    <row r="60" spans="1:20" x14ac:dyDescent="0.2">
      <c r="A60" s="47">
        <f t="shared" si="14"/>
        <v>39</v>
      </c>
      <c r="B60" s="46">
        <v>42</v>
      </c>
      <c r="F60" s="2" t="s">
        <v>84</v>
      </c>
      <c r="H60" s="11">
        <v>-2358000</v>
      </c>
      <c r="I60" s="11">
        <v>-58686.441790396704</v>
      </c>
      <c r="J60" s="11">
        <v>-216450.57284907269</v>
      </c>
      <c r="K60" s="11">
        <v>-686325.58866252343</v>
      </c>
      <c r="L60" s="11">
        <v>-598450.09453257488</v>
      </c>
      <c r="M60" s="11">
        <v>-380391.96711060125</v>
      </c>
      <c r="N60" s="11">
        <v>-38495.950401594302</v>
      </c>
      <c r="O60" s="11">
        <v>-935.47050152263819</v>
      </c>
      <c r="P60" s="11">
        <v>-335116.164645963</v>
      </c>
      <c r="Q60" s="11">
        <v>-6053.0339551473771</v>
      </c>
      <c r="R60" s="11">
        <v>-9359.2855927339406</v>
      </c>
      <c r="S60" s="11">
        <v>-27735.429957869484</v>
      </c>
      <c r="T60" s="54">
        <f t="shared" si="13"/>
        <v>0</v>
      </c>
    </row>
    <row r="61" spans="1:20" x14ac:dyDescent="0.2">
      <c r="A61" s="50">
        <f t="shared" si="14"/>
        <v>40</v>
      </c>
      <c r="B61" s="49">
        <v>41</v>
      </c>
      <c r="C61" s="50"/>
      <c r="D61" s="51"/>
      <c r="E61" s="51"/>
      <c r="F61" s="51" t="s">
        <v>85</v>
      </c>
      <c r="G61" s="51"/>
      <c r="H61" s="10">
        <v>-240000</v>
      </c>
      <c r="I61" s="10">
        <v>-6780.1655541707096</v>
      </c>
      <c r="J61" s="10">
        <v>-20275.136898479206</v>
      </c>
      <c r="K61" s="10">
        <v>-64288.789278302924</v>
      </c>
      <c r="L61" s="10">
        <v>-56237.68261870851</v>
      </c>
      <c r="M61" s="10">
        <v>-36509.203181575176</v>
      </c>
      <c r="N61" s="10">
        <v>-3145.6624543289154</v>
      </c>
      <c r="O61" s="10">
        <v>-50.5423024262589</v>
      </c>
      <c r="P61" s="10">
        <v>-46522.651777592255</v>
      </c>
      <c r="Q61" s="10">
        <v>-935.0446997770016</v>
      </c>
      <c r="R61" s="10">
        <v>-1445.7791666182795</v>
      </c>
      <c r="S61" s="10">
        <v>-3809.34206802075</v>
      </c>
      <c r="T61" s="56">
        <f t="shared" si="13"/>
        <v>0</v>
      </c>
    </row>
    <row r="62" spans="1:20" x14ac:dyDescent="0.2">
      <c r="A62" s="47">
        <f t="shared" si="14"/>
        <v>41</v>
      </c>
      <c r="C62" s="47"/>
      <c r="H62" s="11">
        <f t="shared" ref="H62:S62" si="15">SUM(H57:H61)</f>
        <v>1071000</v>
      </c>
      <c r="I62" s="11">
        <f t="shared" si="15"/>
        <v>993772.79710990901</v>
      </c>
      <c r="J62" s="11">
        <f t="shared" si="15"/>
        <v>62701.011953020861</v>
      </c>
      <c r="K62" s="11">
        <f t="shared" si="15"/>
        <v>198813.55993638025</v>
      </c>
      <c r="L62" s="11">
        <f t="shared" si="15"/>
        <v>166718.13296333881</v>
      </c>
      <c r="M62" s="11">
        <f t="shared" si="15"/>
        <v>21991.188871608283</v>
      </c>
      <c r="N62" s="11">
        <f t="shared" si="15"/>
        <v>14269.43006994325</v>
      </c>
      <c r="O62" s="11">
        <f t="shared" si="15"/>
        <v>1207.8334450239897</v>
      </c>
      <c r="P62" s="11">
        <f t="shared" si="15"/>
        <v>-343862.90527680283</v>
      </c>
      <c r="Q62" s="11">
        <f t="shared" si="15"/>
        <v>-6219.1170691261741</v>
      </c>
      <c r="R62" s="11">
        <f t="shared" si="15"/>
        <v>-9616.0856218393928</v>
      </c>
      <c r="S62" s="11">
        <f t="shared" si="15"/>
        <v>-28775.846381456548</v>
      </c>
      <c r="T62" s="54">
        <f t="shared" si="13"/>
        <v>0</v>
      </c>
    </row>
    <row r="63" spans="1:20" x14ac:dyDescent="0.2">
      <c r="A63" s="47"/>
      <c r="C63" s="47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54"/>
    </row>
    <row r="64" spans="1:20" x14ac:dyDescent="0.2">
      <c r="A64" s="47">
        <f>+A62+1</f>
        <v>42</v>
      </c>
      <c r="C64" s="47"/>
      <c r="D64" s="7" t="s">
        <v>86</v>
      </c>
      <c r="E64" s="7"/>
      <c r="F64" s="7"/>
      <c r="G64" s="7"/>
      <c r="H64" s="8">
        <f t="shared" ref="H64:S64" si="16">SUM(H57:H61)</f>
        <v>1071000</v>
      </c>
      <c r="I64" s="8">
        <f t="shared" si="16"/>
        <v>993772.79710990901</v>
      </c>
      <c r="J64" s="8">
        <f t="shared" si="16"/>
        <v>62701.011953020861</v>
      </c>
      <c r="K64" s="8">
        <f t="shared" si="16"/>
        <v>198813.55993638025</v>
      </c>
      <c r="L64" s="8">
        <f t="shared" si="16"/>
        <v>166718.13296333881</v>
      </c>
      <c r="M64" s="8">
        <f t="shared" si="16"/>
        <v>21991.188871608283</v>
      </c>
      <c r="N64" s="8">
        <f t="shared" si="16"/>
        <v>14269.43006994325</v>
      </c>
      <c r="O64" s="8">
        <f t="shared" si="16"/>
        <v>1207.8334450239897</v>
      </c>
      <c r="P64" s="8">
        <f t="shared" si="16"/>
        <v>-343862.90527680283</v>
      </c>
      <c r="Q64" s="8">
        <f t="shared" si="16"/>
        <v>-6219.1170691261741</v>
      </c>
      <c r="R64" s="8">
        <f t="shared" si="16"/>
        <v>-9616.0856218393928</v>
      </c>
      <c r="S64" s="8">
        <f t="shared" si="16"/>
        <v>-28775.846381456548</v>
      </c>
      <c r="T64" s="54">
        <f>SUM(I64:S64)-H64</f>
        <v>0</v>
      </c>
    </row>
    <row r="65" spans="1:20" x14ac:dyDescent="0.2">
      <c r="A65" s="47"/>
      <c r="C65" s="47"/>
      <c r="H65" s="54"/>
      <c r="T65" s="54"/>
    </row>
    <row r="66" spans="1:20" x14ac:dyDescent="0.2">
      <c r="A66" s="47"/>
      <c r="C66" s="47"/>
      <c r="D66" s="2" t="s">
        <v>87</v>
      </c>
      <c r="H66" s="11"/>
      <c r="T66" s="54"/>
    </row>
    <row r="67" spans="1:20" x14ac:dyDescent="0.2">
      <c r="A67" s="47"/>
      <c r="C67" s="47"/>
      <c r="H67" s="11"/>
      <c r="T67" s="54"/>
    </row>
    <row r="68" spans="1:20" x14ac:dyDescent="0.2">
      <c r="A68" s="47"/>
      <c r="C68" s="47"/>
      <c r="E68" s="2" t="s">
        <v>88</v>
      </c>
      <c r="H68" s="11"/>
      <c r="T68" s="54"/>
    </row>
    <row r="69" spans="1:20" x14ac:dyDescent="0.2">
      <c r="A69" s="47">
        <f>+A64+1</f>
        <v>43</v>
      </c>
      <c r="B69" s="46">
        <v>1.1000000000000001</v>
      </c>
      <c r="C69" s="2" t="s">
        <v>89</v>
      </c>
      <c r="F69" s="2" t="s">
        <v>90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54">
        <v>0</v>
      </c>
    </row>
    <row r="70" spans="1:20" x14ac:dyDescent="0.2">
      <c r="A70" s="47">
        <f>+A69+1</f>
        <v>44</v>
      </c>
      <c r="B70" s="46">
        <v>1.1000000000000001</v>
      </c>
      <c r="C70" s="2" t="s">
        <v>89</v>
      </c>
      <c r="F70" s="2" t="s">
        <v>54</v>
      </c>
      <c r="H70" s="11">
        <v>-3430777.0684615392</v>
      </c>
      <c r="I70" s="11">
        <v>-3430777.0684615392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54">
        <v>0</v>
      </c>
    </row>
    <row r="71" spans="1:20" x14ac:dyDescent="0.2">
      <c r="A71" s="47">
        <f t="shared" ref="A71:A74" si="17">+A70+1</f>
        <v>45</v>
      </c>
      <c r="B71" s="46">
        <v>44</v>
      </c>
      <c r="C71" s="2" t="s">
        <v>89</v>
      </c>
      <c r="F71" s="2" t="s">
        <v>91</v>
      </c>
      <c r="H71" s="11">
        <v>-98730291.727692306</v>
      </c>
      <c r="I71" s="11">
        <v>0</v>
      </c>
      <c r="J71" s="11">
        <v>-11528412.860839065</v>
      </c>
      <c r="K71" s="11">
        <v>-36554510.523642965</v>
      </c>
      <c r="L71" s="11">
        <v>-31608582.232029632</v>
      </c>
      <c r="M71" s="11">
        <v>-16767471.800107483</v>
      </c>
      <c r="N71" s="11">
        <v>-2183748.7936308216</v>
      </c>
      <c r="O71" s="11">
        <v>-87565.517442329845</v>
      </c>
      <c r="P71" s="11">
        <v>0</v>
      </c>
      <c r="Q71" s="11">
        <v>0</v>
      </c>
      <c r="R71" s="11">
        <v>0</v>
      </c>
      <c r="S71" s="11">
        <v>0</v>
      </c>
      <c r="T71" s="54">
        <v>0</v>
      </c>
    </row>
    <row r="72" spans="1:20" x14ac:dyDescent="0.2">
      <c r="A72" s="47">
        <f t="shared" si="17"/>
        <v>46</v>
      </c>
      <c r="B72" s="46">
        <v>40</v>
      </c>
      <c r="C72" s="2" t="s">
        <v>89</v>
      </c>
      <c r="F72" s="2" t="s">
        <v>92</v>
      </c>
      <c r="H72" s="11">
        <v>-5476577.9753846154</v>
      </c>
      <c r="I72" s="11">
        <v>-156432.12654768661</v>
      </c>
      <c r="J72" s="11">
        <v>-446703.15223477077</v>
      </c>
      <c r="K72" s="11">
        <v>-1416414.8418711256</v>
      </c>
      <c r="L72" s="11">
        <v>-1239182.4773321159</v>
      </c>
      <c r="M72" s="11">
        <v>-761254.86606058991</v>
      </c>
      <c r="N72" s="11">
        <v>-58065.6886128185</v>
      </c>
      <c r="O72" s="11">
        <v>-746.02435462936808</v>
      </c>
      <c r="P72" s="11">
        <v>-1242327.4613538487</v>
      </c>
      <c r="Q72" s="11">
        <v>-25288.657924150164</v>
      </c>
      <c r="R72" s="11">
        <v>-39101.675874096916</v>
      </c>
      <c r="S72" s="11">
        <v>-91061.003218782629</v>
      </c>
      <c r="T72" s="54">
        <v>0</v>
      </c>
    </row>
    <row r="73" spans="1:20" x14ac:dyDescent="0.2">
      <c r="A73" s="50">
        <f t="shared" si="17"/>
        <v>47</v>
      </c>
      <c r="B73" s="49">
        <v>40</v>
      </c>
      <c r="C73" s="51" t="s">
        <v>89</v>
      </c>
      <c r="D73" s="51"/>
      <c r="E73" s="51"/>
      <c r="F73" s="51" t="s">
        <v>93</v>
      </c>
      <c r="G73" s="51"/>
      <c r="H73" s="10">
        <v>-7271825.3030769238</v>
      </c>
      <c r="I73" s="10">
        <v>-207711.29365024882</v>
      </c>
      <c r="J73" s="10">
        <v>-593134.49018442957</v>
      </c>
      <c r="K73" s="10">
        <v>-1880722.1102423538</v>
      </c>
      <c r="L73" s="10">
        <v>-1645392.1653804963</v>
      </c>
      <c r="M73" s="10">
        <v>-1010797.6955666489</v>
      </c>
      <c r="N73" s="10">
        <v>-77099.887118036582</v>
      </c>
      <c r="O73" s="10">
        <v>-990.5745527752631</v>
      </c>
      <c r="P73" s="10">
        <v>-1649568.089559756</v>
      </c>
      <c r="Q73" s="10">
        <v>-33578.395742786284</v>
      </c>
      <c r="R73" s="10">
        <v>-51919.384201591951</v>
      </c>
      <c r="S73" s="10">
        <v>-120911.21687780014</v>
      </c>
      <c r="T73" s="56">
        <v>0</v>
      </c>
    </row>
    <row r="74" spans="1:20" x14ac:dyDescent="0.2">
      <c r="A74" s="47">
        <f t="shared" si="17"/>
        <v>48</v>
      </c>
      <c r="E74" s="2" t="s">
        <v>94</v>
      </c>
      <c r="H74" s="11">
        <f t="shared" ref="H74:S74" si="18">SUM(H69:H73)</f>
        <v>-114909472.07461539</v>
      </c>
      <c r="I74" s="11">
        <f t="shared" si="18"/>
        <v>-3794920.488659475</v>
      </c>
      <c r="J74" s="11">
        <f t="shared" si="18"/>
        <v>-12568250.503258266</v>
      </c>
      <c r="K74" s="11">
        <f t="shared" si="18"/>
        <v>-39851647.475756444</v>
      </c>
      <c r="L74" s="11">
        <f t="shared" si="18"/>
        <v>-34493156.87474224</v>
      </c>
      <c r="M74" s="11">
        <f t="shared" si="18"/>
        <v>-18539524.361734722</v>
      </c>
      <c r="N74" s="11">
        <f t="shared" si="18"/>
        <v>-2318914.3693616767</v>
      </c>
      <c r="O74" s="11">
        <f t="shared" si="18"/>
        <v>-89302.116349734468</v>
      </c>
      <c r="P74" s="11">
        <f t="shared" si="18"/>
        <v>-2891895.5509136049</v>
      </c>
      <c r="Q74" s="11">
        <f t="shared" si="18"/>
        <v>-58867.053666936452</v>
      </c>
      <c r="R74" s="11">
        <f t="shared" si="18"/>
        <v>-91021.060075688874</v>
      </c>
      <c r="S74" s="11">
        <f t="shared" si="18"/>
        <v>-211972.22009658278</v>
      </c>
      <c r="T74" s="54">
        <f t="shared" ref="T74" si="19">SUM(I74:S74)-H74</f>
        <v>0</v>
      </c>
    </row>
    <row r="75" spans="1:20" x14ac:dyDescent="0.2">
      <c r="A75" s="47"/>
      <c r="H75" s="63"/>
      <c r="T75" s="54"/>
    </row>
    <row r="76" spans="1:20" x14ac:dyDescent="0.2">
      <c r="A76" s="47">
        <f>+A74+1</f>
        <v>49</v>
      </c>
      <c r="B76" s="46">
        <v>44.1</v>
      </c>
      <c r="C76" s="47">
        <v>252</v>
      </c>
      <c r="E76" s="2" t="s">
        <v>95</v>
      </c>
      <c r="H76" s="11">
        <v>-1920000</v>
      </c>
      <c r="I76" s="11">
        <v>0</v>
      </c>
      <c r="J76" s="11">
        <v>-270507.60168347001</v>
      </c>
      <c r="K76" s="11">
        <v>-857730.64270220231</v>
      </c>
      <c r="L76" s="11">
        <v>-791761.75561432762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54">
        <v>0</v>
      </c>
    </row>
    <row r="77" spans="1:20" x14ac:dyDescent="0.2">
      <c r="A77" s="47">
        <f>+A76+1</f>
        <v>50</v>
      </c>
      <c r="B77" s="46">
        <v>47</v>
      </c>
      <c r="C77" s="47">
        <v>282</v>
      </c>
      <c r="E77" s="2" t="s">
        <v>96</v>
      </c>
      <c r="H77" s="11">
        <v>-32659015.75</v>
      </c>
      <c r="I77" s="11">
        <v>-547613.02869861468</v>
      </c>
      <c r="J77" s="11">
        <v>-3646274.8067230224</v>
      </c>
      <c r="K77" s="11">
        <v>-11561677.431523733</v>
      </c>
      <c r="L77" s="11">
        <v>-10005878.567257006</v>
      </c>
      <c r="M77" s="11">
        <v>-5369324.6617393242</v>
      </c>
      <c r="N77" s="11">
        <v>-674977.82821119332</v>
      </c>
      <c r="O77" s="11">
        <v>-26129.390827798466</v>
      </c>
      <c r="P77" s="11">
        <v>-735151.21354488202</v>
      </c>
      <c r="Q77" s="11">
        <v>-14964.643493914658</v>
      </c>
      <c r="R77" s="11">
        <v>-23138.540654293272</v>
      </c>
      <c r="S77" s="11">
        <v>-53885.637326208234</v>
      </c>
      <c r="T77" s="54">
        <v>0</v>
      </c>
    </row>
    <row r="78" spans="1:20" x14ac:dyDescent="0.2">
      <c r="A78" s="47">
        <f t="shared" ref="A78:A82" si="20">+A77+1</f>
        <v>51</v>
      </c>
      <c r="B78" s="46">
        <v>1.7</v>
      </c>
      <c r="C78" s="47">
        <v>235</v>
      </c>
      <c r="E78" s="2" t="s">
        <v>97</v>
      </c>
      <c r="H78" s="11">
        <v>-132000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-132000</v>
      </c>
      <c r="Q78" s="11">
        <v>0</v>
      </c>
      <c r="R78" s="11">
        <v>0</v>
      </c>
      <c r="S78" s="11">
        <v>0</v>
      </c>
      <c r="T78" s="54">
        <v>0</v>
      </c>
    </row>
    <row r="79" spans="1:20" x14ac:dyDescent="0.2">
      <c r="A79" s="47">
        <f t="shared" si="20"/>
        <v>52</v>
      </c>
      <c r="B79" s="46">
        <v>1.7</v>
      </c>
      <c r="C79" s="47">
        <v>144</v>
      </c>
      <c r="E79" s="2" t="s">
        <v>259</v>
      </c>
      <c r="H79" s="11">
        <v>-166000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-166000</v>
      </c>
      <c r="Q79" s="11">
        <v>0</v>
      </c>
      <c r="R79" s="11">
        <v>0</v>
      </c>
      <c r="S79" s="11">
        <v>0</v>
      </c>
      <c r="T79" s="54">
        <v>0</v>
      </c>
    </row>
    <row r="80" spans="1:20" x14ac:dyDescent="0.2">
      <c r="A80" s="47">
        <f t="shared" si="20"/>
        <v>53</v>
      </c>
      <c r="B80" s="46">
        <v>47</v>
      </c>
      <c r="C80" s="47">
        <v>228</v>
      </c>
      <c r="E80" s="2" t="s">
        <v>274</v>
      </c>
      <c r="H80" s="11">
        <v>-1606000</v>
      </c>
      <c r="I80" s="11">
        <v>-26928.751644635071</v>
      </c>
      <c r="J80" s="11">
        <v>-179304.77098340521</v>
      </c>
      <c r="K80" s="11">
        <v>-568542.97438608855</v>
      </c>
      <c r="L80" s="11">
        <v>-492036.90343958855</v>
      </c>
      <c r="M80" s="11">
        <v>-264035.37304253742</v>
      </c>
      <c r="N80" s="11">
        <v>-33191.887973757337</v>
      </c>
      <c r="O80" s="11">
        <v>-1284.9071138784805</v>
      </c>
      <c r="P80" s="11">
        <v>-36150.901116886242</v>
      </c>
      <c r="Q80" s="11">
        <v>-735.88309075808388</v>
      </c>
      <c r="R80" s="11">
        <v>-1137.8327067555608</v>
      </c>
      <c r="S80" s="11">
        <v>-2649.8145017089323</v>
      </c>
      <c r="T80" s="54">
        <v>0</v>
      </c>
    </row>
    <row r="81" spans="1:20" x14ac:dyDescent="0.2">
      <c r="A81" s="50">
        <f t="shared" si="20"/>
        <v>54</v>
      </c>
      <c r="B81" s="49">
        <v>58.1</v>
      </c>
      <c r="C81" s="50">
        <v>228</v>
      </c>
      <c r="D81" s="51"/>
      <c r="E81" s="51" t="s">
        <v>98</v>
      </c>
      <c r="F81" s="51"/>
      <c r="G81" s="51"/>
      <c r="H81" s="10">
        <v>-188000</v>
      </c>
      <c r="I81" s="10">
        <v>-6814.0880338173492</v>
      </c>
      <c r="J81" s="10">
        <v>-13580.856544273765</v>
      </c>
      <c r="K81" s="10">
        <v>-43062.43794877491</v>
      </c>
      <c r="L81" s="10">
        <v>-38844.090899081973</v>
      </c>
      <c r="M81" s="10">
        <v>-59332.619742113733</v>
      </c>
      <c r="N81" s="10">
        <v>-6327.984119645881</v>
      </c>
      <c r="O81" s="10">
        <v>-16.123664006084113</v>
      </c>
      <c r="P81" s="10">
        <v>-13369.507816511958</v>
      </c>
      <c r="Q81" s="10">
        <v>-110.62181329034063</v>
      </c>
      <c r="R81" s="10">
        <v>-171.04499182429925</v>
      </c>
      <c r="S81" s="10">
        <v>-6370.6244266596959</v>
      </c>
      <c r="T81" s="56">
        <v>0</v>
      </c>
    </row>
    <row r="82" spans="1:20" x14ac:dyDescent="0.2">
      <c r="A82" s="47">
        <f t="shared" si="20"/>
        <v>55</v>
      </c>
      <c r="H82" s="11">
        <f t="shared" ref="H82:S82" si="21">SUM(H76:H81)</f>
        <v>-36671015.75</v>
      </c>
      <c r="I82" s="11">
        <f t="shared" si="21"/>
        <v>-581355.86837706715</v>
      </c>
      <c r="J82" s="11">
        <f t="shared" si="21"/>
        <v>-4109668.0359341716</v>
      </c>
      <c r="K82" s="11">
        <f t="shared" si="21"/>
        <v>-13031013.486560799</v>
      </c>
      <c r="L82" s="11">
        <f t="shared" si="21"/>
        <v>-11328521.317210004</v>
      </c>
      <c r="M82" s="11">
        <f t="shared" si="21"/>
        <v>-5692692.6545239761</v>
      </c>
      <c r="N82" s="11">
        <f t="shared" si="21"/>
        <v>-714497.70030459657</v>
      </c>
      <c r="O82" s="11">
        <f t="shared" si="21"/>
        <v>-27430.421605683034</v>
      </c>
      <c r="P82" s="11">
        <f t="shared" si="21"/>
        <v>-1082671.6224782802</v>
      </c>
      <c r="Q82" s="11">
        <f t="shared" si="21"/>
        <v>-15811.148397963083</v>
      </c>
      <c r="R82" s="11">
        <f t="shared" si="21"/>
        <v>-24447.418352873134</v>
      </c>
      <c r="S82" s="11">
        <f t="shared" si="21"/>
        <v>-62906.076254576867</v>
      </c>
      <c r="T82" s="54">
        <f t="shared" ref="T82" si="22">SUM(I82:S82)-H82</f>
        <v>0</v>
      </c>
    </row>
    <row r="83" spans="1:20" x14ac:dyDescent="0.2">
      <c r="A83" s="47"/>
      <c r="C83" s="47"/>
      <c r="H83" s="54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54"/>
    </row>
    <row r="84" spans="1:20" x14ac:dyDescent="0.2">
      <c r="A84" s="47">
        <f>+A82+1</f>
        <v>56</v>
      </c>
      <c r="C84" s="47"/>
      <c r="D84" s="7" t="s">
        <v>99</v>
      </c>
      <c r="E84" s="7"/>
      <c r="F84" s="7"/>
      <c r="G84" s="7"/>
      <c r="H84" s="8">
        <f t="shared" ref="H84:S84" si="23">H74+H82</f>
        <v>-151580487.82461539</v>
      </c>
      <c r="I84" s="8">
        <f t="shared" si="23"/>
        <v>-4376276.3570365421</v>
      </c>
      <c r="J84" s="8">
        <f t="shared" si="23"/>
        <v>-16677918.539192438</v>
      </c>
      <c r="K84" s="8">
        <f t="shared" si="23"/>
        <v>-52882660.962317243</v>
      </c>
      <c r="L84" s="8">
        <f t="shared" si="23"/>
        <v>-45821678.191952243</v>
      </c>
      <c r="M84" s="8">
        <f t="shared" si="23"/>
        <v>-24232217.016258698</v>
      </c>
      <c r="N84" s="8">
        <f t="shared" si="23"/>
        <v>-3033412.0696662734</v>
      </c>
      <c r="O84" s="8">
        <f t="shared" si="23"/>
        <v>-116732.5379554175</v>
      </c>
      <c r="P84" s="8">
        <f t="shared" si="23"/>
        <v>-3974567.1733918851</v>
      </c>
      <c r="Q84" s="8">
        <f t="shared" si="23"/>
        <v>-74678.202064899539</v>
      </c>
      <c r="R84" s="8">
        <f t="shared" si="23"/>
        <v>-115468.47842856201</v>
      </c>
      <c r="S84" s="8">
        <f t="shared" si="23"/>
        <v>-274878.29635115963</v>
      </c>
      <c r="T84" s="54">
        <f>SUM(I84:S84)-H84</f>
        <v>0</v>
      </c>
    </row>
    <row r="85" spans="1:20" x14ac:dyDescent="0.2">
      <c r="A85" s="47"/>
      <c r="C85" s="47"/>
      <c r="H85" s="54"/>
      <c r="T85" s="54"/>
    </row>
    <row r="86" spans="1:20" x14ac:dyDescent="0.2">
      <c r="A86" s="47">
        <f>+A84+1</f>
        <v>57</v>
      </c>
      <c r="B86" s="5"/>
      <c r="C86" s="6"/>
      <c r="D86" s="7" t="s">
        <v>100</v>
      </c>
      <c r="E86" s="7"/>
      <c r="F86" s="7"/>
      <c r="G86" s="7"/>
      <c r="H86" s="8">
        <f t="shared" ref="H86:S86" si="24">H53+H64+H84</f>
        <v>198457117.23538473</v>
      </c>
      <c r="I86" s="8">
        <f t="shared" si="24"/>
        <v>4336991.2779350523</v>
      </c>
      <c r="J86" s="8">
        <f t="shared" si="24"/>
        <v>22084764.375132687</v>
      </c>
      <c r="K86" s="8">
        <f t="shared" si="24"/>
        <v>70026790.461788341</v>
      </c>
      <c r="L86" s="8">
        <f t="shared" si="24"/>
        <v>60547254.687532097</v>
      </c>
      <c r="M86" s="8">
        <f t="shared" si="24"/>
        <v>32809598.921061736</v>
      </c>
      <c r="N86" s="8">
        <f t="shared" si="24"/>
        <v>4137130.4704314196</v>
      </c>
      <c r="O86" s="8">
        <f t="shared" si="24"/>
        <v>161038.72891712576</v>
      </c>
      <c r="P86" s="8">
        <f t="shared" si="24"/>
        <v>3842068.3802502332</v>
      </c>
      <c r="Q86" s="8">
        <f t="shared" si="24"/>
        <v>85216.737294592444</v>
      </c>
      <c r="R86" s="8">
        <f t="shared" si="24"/>
        <v>131763.30870287563</v>
      </c>
      <c r="S86" s="8">
        <f t="shared" si="24"/>
        <v>294499.88633849245</v>
      </c>
      <c r="T86" s="54">
        <f>SUM(I86:S86)-H86</f>
        <v>0</v>
      </c>
    </row>
    <row r="87" spans="1:20" x14ac:dyDescent="0.2">
      <c r="A87" s="47"/>
      <c r="H87" s="54"/>
      <c r="T87" s="54"/>
    </row>
    <row r="88" spans="1:20" ht="18" x14ac:dyDescent="0.25">
      <c r="A88" s="4" t="s">
        <v>101</v>
      </c>
      <c r="B88" s="2"/>
      <c r="C88" s="4"/>
      <c r="T88" s="54"/>
    </row>
    <row r="89" spans="1:20" x14ac:dyDescent="0.2">
      <c r="A89" s="47"/>
      <c r="C89" s="47"/>
      <c r="T89" s="54"/>
    </row>
    <row r="90" spans="1:20" x14ac:dyDescent="0.2">
      <c r="A90" s="47"/>
      <c r="C90" s="47"/>
      <c r="D90" s="2" t="s">
        <v>102</v>
      </c>
      <c r="T90" s="54"/>
    </row>
    <row r="91" spans="1:20" x14ac:dyDescent="0.2">
      <c r="A91" s="47"/>
      <c r="C91" s="47"/>
      <c r="E91" s="2" t="s">
        <v>103</v>
      </c>
      <c r="T91" s="54"/>
    </row>
    <row r="92" spans="1:20" x14ac:dyDescent="0.2">
      <c r="A92" s="47"/>
      <c r="C92" s="47"/>
      <c r="F92" s="2" t="s">
        <v>104</v>
      </c>
      <c r="T92" s="54"/>
    </row>
    <row r="93" spans="1:20" x14ac:dyDescent="0.2">
      <c r="A93" s="47">
        <f>+A86+1</f>
        <v>58</v>
      </c>
      <c r="B93" s="46">
        <v>1.1000000000000001</v>
      </c>
      <c r="C93" s="47">
        <v>710</v>
      </c>
      <c r="G93" s="2" t="s">
        <v>105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54">
        <v>0</v>
      </c>
    </row>
    <row r="94" spans="1:20" x14ac:dyDescent="0.2">
      <c r="A94" s="47">
        <f>+A93+1</f>
        <v>59</v>
      </c>
      <c r="B94" s="46">
        <v>1.1000000000000001</v>
      </c>
      <c r="C94" s="47">
        <v>712</v>
      </c>
      <c r="G94" s="2" t="s">
        <v>106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54">
        <v>0</v>
      </c>
    </row>
    <row r="95" spans="1:20" x14ac:dyDescent="0.2">
      <c r="A95" s="47">
        <f t="shared" ref="A95:A98" si="25">+A94+1</f>
        <v>60</v>
      </c>
      <c r="B95" s="46">
        <v>1.1000000000000001</v>
      </c>
      <c r="C95" s="47">
        <v>714</v>
      </c>
      <c r="G95" s="2" t="s">
        <v>107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54">
        <v>0</v>
      </c>
    </row>
    <row r="96" spans="1:20" x14ac:dyDescent="0.2">
      <c r="A96" s="47">
        <f t="shared" si="25"/>
        <v>61</v>
      </c>
      <c r="B96" s="46">
        <v>1.1000000000000001</v>
      </c>
      <c r="C96" s="47">
        <v>717</v>
      </c>
      <c r="G96" s="2" t="s">
        <v>108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54">
        <v>0</v>
      </c>
    </row>
    <row r="97" spans="1:20" x14ac:dyDescent="0.2">
      <c r="A97" s="47">
        <f t="shared" si="25"/>
        <v>62</v>
      </c>
      <c r="B97" s="46">
        <v>1.9</v>
      </c>
      <c r="C97" s="47">
        <v>728</v>
      </c>
      <c r="G97" s="2" t="s">
        <v>109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54">
        <v>0</v>
      </c>
    </row>
    <row r="98" spans="1:20" x14ac:dyDescent="0.2">
      <c r="A98" s="47">
        <f t="shared" si="25"/>
        <v>63</v>
      </c>
      <c r="B98" s="46">
        <v>1.1000000000000001</v>
      </c>
      <c r="C98" s="47">
        <v>735</v>
      </c>
      <c r="G98" s="2" t="s">
        <v>110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54">
        <v>0</v>
      </c>
    </row>
    <row r="99" spans="1:20" x14ac:dyDescent="0.2">
      <c r="A99" s="47"/>
      <c r="C99" s="47"/>
      <c r="F99" s="2" t="s">
        <v>111</v>
      </c>
      <c r="T99" s="54"/>
    </row>
    <row r="100" spans="1:20" x14ac:dyDescent="0.2">
      <c r="A100" s="47">
        <f>+A98+1</f>
        <v>64</v>
      </c>
      <c r="B100" s="46">
        <v>1.1000000000000001</v>
      </c>
      <c r="C100" s="47">
        <v>740</v>
      </c>
      <c r="G100" s="2" t="s">
        <v>105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54">
        <v>0</v>
      </c>
    </row>
    <row r="101" spans="1:20" x14ac:dyDescent="0.2">
      <c r="A101" s="47">
        <f>+A100+1</f>
        <v>65</v>
      </c>
      <c r="B101" s="46">
        <v>1.1000000000000001</v>
      </c>
      <c r="C101" s="47">
        <v>741</v>
      </c>
      <c r="G101" s="2" t="s">
        <v>112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54">
        <v>0</v>
      </c>
    </row>
    <row r="102" spans="1:20" x14ac:dyDescent="0.2">
      <c r="A102" s="47">
        <f>+A101+1</f>
        <v>66</v>
      </c>
      <c r="B102" s="46">
        <v>1.1000000000000001</v>
      </c>
      <c r="C102" s="47">
        <v>742</v>
      </c>
      <c r="G102" s="2" t="s">
        <v>113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54">
        <v>0</v>
      </c>
    </row>
    <row r="103" spans="1:20" x14ac:dyDescent="0.2">
      <c r="A103" s="47"/>
      <c r="B103" s="64"/>
      <c r="C103" s="47"/>
      <c r="E103" s="2" t="s">
        <v>114</v>
      </c>
      <c r="T103" s="54"/>
    </row>
    <row r="104" spans="1:20" x14ac:dyDescent="0.2">
      <c r="A104" s="47">
        <f>+A102+1</f>
        <v>67</v>
      </c>
      <c r="B104" s="46">
        <v>1.9</v>
      </c>
      <c r="C104" s="47" t="s">
        <v>115</v>
      </c>
      <c r="G104" s="2" t="s">
        <v>116</v>
      </c>
      <c r="H104" s="11">
        <v>22349.750000044703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22349.750000044703</v>
      </c>
      <c r="T104" s="54">
        <v>0</v>
      </c>
    </row>
    <row r="105" spans="1:20" x14ac:dyDescent="0.2">
      <c r="A105" s="47">
        <f>+A104+1</f>
        <v>68</v>
      </c>
      <c r="B105" s="46">
        <v>1.9</v>
      </c>
      <c r="C105" s="47">
        <v>808</v>
      </c>
      <c r="G105" s="2" t="s">
        <v>117</v>
      </c>
      <c r="H105" s="11">
        <v>-22349.75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-22349.75</v>
      </c>
      <c r="T105" s="54">
        <v>0</v>
      </c>
    </row>
    <row r="106" spans="1:20" x14ac:dyDescent="0.2">
      <c r="A106" s="47">
        <f>+A105+1</f>
        <v>69</v>
      </c>
      <c r="B106" s="46">
        <v>1.9</v>
      </c>
      <c r="C106" s="47">
        <v>812</v>
      </c>
      <c r="G106" s="2" t="s">
        <v>118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54">
        <v>0</v>
      </c>
    </row>
    <row r="107" spans="1:20" x14ac:dyDescent="0.2">
      <c r="A107" s="50">
        <f>+A106+1</f>
        <v>70</v>
      </c>
      <c r="B107" s="49">
        <v>1.9</v>
      </c>
      <c r="C107" s="50">
        <v>813</v>
      </c>
      <c r="D107" s="51"/>
      <c r="E107" s="51"/>
      <c r="F107" s="51"/>
      <c r="G107" s="51" t="s">
        <v>119</v>
      </c>
      <c r="H107" s="10">
        <v>193920.60547600684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193920.60547600684</v>
      </c>
      <c r="T107" s="56">
        <v>0</v>
      </c>
    </row>
    <row r="108" spans="1:20" x14ac:dyDescent="0.2">
      <c r="A108" s="47">
        <f>+A107+1</f>
        <v>71</v>
      </c>
      <c r="B108" s="64"/>
      <c r="C108" s="47"/>
      <c r="D108" s="2" t="s">
        <v>120</v>
      </c>
      <c r="H108" s="11">
        <f t="shared" ref="H108:S108" si="26">SUM(H93:H107)</f>
        <v>193920.60547605154</v>
      </c>
      <c r="I108" s="11">
        <f t="shared" si="26"/>
        <v>0</v>
      </c>
      <c r="J108" s="11">
        <f t="shared" si="26"/>
        <v>0</v>
      </c>
      <c r="K108" s="11">
        <f t="shared" si="26"/>
        <v>0</v>
      </c>
      <c r="L108" s="11">
        <f t="shared" si="26"/>
        <v>0</v>
      </c>
      <c r="M108" s="11">
        <f t="shared" si="26"/>
        <v>0</v>
      </c>
      <c r="N108" s="11">
        <f t="shared" si="26"/>
        <v>0</v>
      </c>
      <c r="O108" s="11">
        <f t="shared" si="26"/>
        <v>0</v>
      </c>
      <c r="P108" s="11">
        <f t="shared" si="26"/>
        <v>0</v>
      </c>
      <c r="Q108" s="11">
        <f t="shared" si="26"/>
        <v>0</v>
      </c>
      <c r="R108" s="11">
        <f t="shared" si="26"/>
        <v>0</v>
      </c>
      <c r="S108" s="11">
        <f t="shared" si="26"/>
        <v>193920.60547605154</v>
      </c>
      <c r="T108" s="54">
        <f t="shared" ref="T108" si="27">SUM(I108:S108)-H108</f>
        <v>0</v>
      </c>
    </row>
    <row r="109" spans="1:20" x14ac:dyDescent="0.2">
      <c r="A109" s="47"/>
      <c r="B109" s="64"/>
      <c r="C109" s="47"/>
      <c r="I109" s="54"/>
      <c r="T109" s="54"/>
    </row>
    <row r="110" spans="1:20" x14ac:dyDescent="0.2">
      <c r="A110" s="47"/>
      <c r="B110" s="64"/>
      <c r="C110" s="47"/>
      <c r="D110" s="2" t="s">
        <v>121</v>
      </c>
      <c r="I110" s="54"/>
      <c r="T110" s="54"/>
    </row>
    <row r="111" spans="1:20" x14ac:dyDescent="0.2">
      <c r="A111" s="47"/>
      <c r="B111" s="64"/>
      <c r="C111" s="47"/>
      <c r="F111" s="2" t="s">
        <v>104</v>
      </c>
      <c r="T111" s="54"/>
    </row>
    <row r="112" spans="1:20" x14ac:dyDescent="0.2">
      <c r="A112" s="47">
        <f>+A108+1</f>
        <v>72</v>
      </c>
      <c r="B112" s="46">
        <v>1.1000000000000001</v>
      </c>
      <c r="C112" s="47">
        <v>840</v>
      </c>
      <c r="G112" s="2" t="s">
        <v>105</v>
      </c>
      <c r="H112" s="11">
        <v>122182.27565339177</v>
      </c>
      <c r="I112" s="11">
        <v>122182.27565339177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54">
        <v>0</v>
      </c>
    </row>
    <row r="113" spans="1:20" x14ac:dyDescent="0.2">
      <c r="A113" s="47">
        <f>+A112+1</f>
        <v>73</v>
      </c>
      <c r="B113" s="46">
        <v>1.1000000000000001</v>
      </c>
      <c r="C113" s="47">
        <v>841</v>
      </c>
      <c r="G113" s="2" t="s">
        <v>122</v>
      </c>
      <c r="H113" s="11">
        <v>163074.3883714829</v>
      </c>
      <c r="I113" s="11">
        <v>163074.3883714829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54">
        <v>0</v>
      </c>
    </row>
    <row r="114" spans="1:20" x14ac:dyDescent="0.2">
      <c r="A114" s="47">
        <f>+A113+1</f>
        <v>74</v>
      </c>
      <c r="B114" s="46">
        <v>1.1000000000000001</v>
      </c>
      <c r="C114" s="47">
        <v>842</v>
      </c>
      <c r="G114" s="2" t="s">
        <v>123</v>
      </c>
      <c r="H114" s="11">
        <v>51561</v>
      </c>
      <c r="I114" s="11">
        <v>51561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54">
        <v>0</v>
      </c>
    </row>
    <row r="115" spans="1:20" x14ac:dyDescent="0.2">
      <c r="A115" s="47"/>
      <c r="B115" s="64"/>
      <c r="C115" s="47"/>
      <c r="F115" s="2" t="s">
        <v>111</v>
      </c>
      <c r="T115" s="54"/>
    </row>
    <row r="116" spans="1:20" x14ac:dyDescent="0.2">
      <c r="A116" s="47">
        <f>+A114+1</f>
        <v>75</v>
      </c>
      <c r="B116" s="46">
        <v>1.1000000000000001</v>
      </c>
      <c r="C116" s="47">
        <v>843.1</v>
      </c>
      <c r="G116" s="2" t="s">
        <v>105</v>
      </c>
      <c r="H116" s="11">
        <v>47876.198822496168</v>
      </c>
      <c r="I116" s="11">
        <v>47876.198822496168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54">
        <v>0</v>
      </c>
    </row>
    <row r="117" spans="1:20" x14ac:dyDescent="0.2">
      <c r="A117" s="47">
        <f>+A116+1</f>
        <v>76</v>
      </c>
      <c r="B117" s="46">
        <v>1.1000000000000001</v>
      </c>
      <c r="C117" s="47">
        <v>843.2</v>
      </c>
      <c r="G117" s="2" t="s">
        <v>47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54">
        <v>0</v>
      </c>
    </row>
    <row r="118" spans="1:20" x14ac:dyDescent="0.2">
      <c r="A118" s="47">
        <f>+A117+1</f>
        <v>77</v>
      </c>
      <c r="B118" s="46">
        <v>1.1000000000000001</v>
      </c>
      <c r="C118" s="47">
        <v>843.3</v>
      </c>
      <c r="G118" s="2" t="s">
        <v>55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54">
        <v>0</v>
      </c>
    </row>
    <row r="119" spans="1:20" x14ac:dyDescent="0.2">
      <c r="A119" s="47">
        <f t="shared" ref="A119:A125" si="28">+A118+1</f>
        <v>78</v>
      </c>
      <c r="B119" s="46">
        <v>1.1000000000000001</v>
      </c>
      <c r="C119" s="47">
        <v>843.4</v>
      </c>
      <c r="G119" s="2" t="s">
        <v>56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54">
        <v>0</v>
      </c>
    </row>
    <row r="120" spans="1:20" x14ac:dyDescent="0.2">
      <c r="A120" s="47">
        <f t="shared" si="28"/>
        <v>79</v>
      </c>
      <c r="B120" s="46">
        <v>1.1000000000000001</v>
      </c>
      <c r="C120" s="47">
        <v>843.5</v>
      </c>
      <c r="G120" s="2" t="s">
        <v>57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54">
        <v>0</v>
      </c>
    </row>
    <row r="121" spans="1:20" x14ac:dyDescent="0.2">
      <c r="A121" s="47">
        <f t="shared" si="28"/>
        <v>80</v>
      </c>
      <c r="B121" s="46">
        <v>1.1000000000000001</v>
      </c>
      <c r="C121" s="47">
        <v>843.6</v>
      </c>
      <c r="G121" s="2" t="s">
        <v>58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54">
        <v>0</v>
      </c>
    </row>
    <row r="122" spans="1:20" x14ac:dyDescent="0.2">
      <c r="A122" s="47">
        <f t="shared" si="28"/>
        <v>81</v>
      </c>
      <c r="B122" s="46">
        <v>1.1000000000000001</v>
      </c>
      <c r="C122" s="47">
        <v>843.7</v>
      </c>
      <c r="G122" s="2" t="s">
        <v>59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54">
        <v>0</v>
      </c>
    </row>
    <row r="123" spans="1:20" x14ac:dyDescent="0.2">
      <c r="A123" s="47">
        <f t="shared" si="28"/>
        <v>82</v>
      </c>
      <c r="B123" s="46">
        <v>1.1000000000000001</v>
      </c>
      <c r="C123" s="47">
        <v>843.8</v>
      </c>
      <c r="G123" s="2" t="s">
        <v>124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54"/>
    </row>
    <row r="124" spans="1:20" x14ac:dyDescent="0.2">
      <c r="A124" s="50">
        <f t="shared" si="28"/>
        <v>83</v>
      </c>
      <c r="B124" s="49">
        <v>1.1000000000000001</v>
      </c>
      <c r="C124" s="50">
        <v>843.9</v>
      </c>
      <c r="D124" s="51"/>
      <c r="E124" s="51"/>
      <c r="F124" s="51"/>
      <c r="G124" s="51" t="s">
        <v>61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56">
        <v>0</v>
      </c>
    </row>
    <row r="125" spans="1:20" x14ac:dyDescent="0.2">
      <c r="A125" s="47">
        <f t="shared" si="28"/>
        <v>84</v>
      </c>
      <c r="C125" s="47"/>
      <c r="D125" s="2" t="s">
        <v>125</v>
      </c>
      <c r="H125" s="11">
        <f t="shared" ref="H125:S125" si="29">SUM(H112:H124)</f>
        <v>384693.86284737085</v>
      </c>
      <c r="I125" s="11">
        <f t="shared" si="29"/>
        <v>384693.86284737085</v>
      </c>
      <c r="J125" s="11">
        <f t="shared" si="29"/>
        <v>0</v>
      </c>
      <c r="K125" s="11">
        <f t="shared" si="29"/>
        <v>0</v>
      </c>
      <c r="L125" s="11">
        <f t="shared" si="29"/>
        <v>0</v>
      </c>
      <c r="M125" s="11">
        <f t="shared" si="29"/>
        <v>0</v>
      </c>
      <c r="N125" s="11">
        <f t="shared" si="29"/>
        <v>0</v>
      </c>
      <c r="O125" s="11">
        <f t="shared" si="29"/>
        <v>0</v>
      </c>
      <c r="P125" s="11">
        <f t="shared" si="29"/>
        <v>0</v>
      </c>
      <c r="Q125" s="11">
        <f t="shared" si="29"/>
        <v>0</v>
      </c>
      <c r="R125" s="11">
        <f t="shared" si="29"/>
        <v>0</v>
      </c>
      <c r="S125" s="11">
        <f t="shared" si="29"/>
        <v>0</v>
      </c>
      <c r="T125" s="54">
        <f t="shared" ref="T125" si="30">SUM(I125:S125)-H125</f>
        <v>0</v>
      </c>
    </row>
    <row r="126" spans="1:20" x14ac:dyDescent="0.2">
      <c r="A126" s="47"/>
      <c r="C126" s="47"/>
      <c r="T126" s="54"/>
    </row>
    <row r="127" spans="1:20" x14ac:dyDescent="0.2">
      <c r="A127" s="47"/>
      <c r="C127" s="47"/>
      <c r="D127" s="2" t="s">
        <v>126</v>
      </c>
      <c r="T127" s="54"/>
    </row>
    <row r="128" spans="1:20" x14ac:dyDescent="0.2">
      <c r="A128" s="47"/>
      <c r="C128" s="47"/>
      <c r="F128" s="2" t="s">
        <v>104</v>
      </c>
      <c r="T128" s="54"/>
    </row>
    <row r="129" spans="1:20" x14ac:dyDescent="0.2">
      <c r="A129" s="47">
        <f>+A125+1</f>
        <v>85</v>
      </c>
      <c r="B129" s="46">
        <v>59</v>
      </c>
      <c r="C129" s="47">
        <v>870</v>
      </c>
      <c r="G129" s="2" t="s">
        <v>105</v>
      </c>
      <c r="H129" s="11">
        <v>1003874.5406015161</v>
      </c>
      <c r="I129" s="11">
        <v>0</v>
      </c>
      <c r="J129" s="11">
        <v>122790.63122249003</v>
      </c>
      <c r="K129" s="11">
        <v>389346.86633877084</v>
      </c>
      <c r="L129" s="11">
        <v>340623.10603270907</v>
      </c>
      <c r="M129" s="11">
        <v>134935.94312893637</v>
      </c>
      <c r="N129" s="11">
        <v>15971.863116386476</v>
      </c>
      <c r="O129" s="11">
        <v>206.13076222336957</v>
      </c>
      <c r="P129" s="11">
        <v>0</v>
      </c>
      <c r="Q129" s="11">
        <v>0</v>
      </c>
      <c r="R129" s="11">
        <v>0</v>
      </c>
      <c r="S129" s="11">
        <v>0</v>
      </c>
      <c r="T129" s="54">
        <v>0</v>
      </c>
    </row>
    <row r="130" spans="1:20" x14ac:dyDescent="0.2">
      <c r="A130" s="47">
        <f>+A129+1</f>
        <v>86</v>
      </c>
      <c r="B130" s="46">
        <v>44</v>
      </c>
      <c r="C130" s="47">
        <v>871</v>
      </c>
      <c r="G130" s="2" t="s">
        <v>127</v>
      </c>
      <c r="H130" s="11">
        <v>106205.56008604649</v>
      </c>
      <c r="I130" s="11">
        <v>0</v>
      </c>
      <c r="J130" s="11">
        <v>12401.275468379625</v>
      </c>
      <c r="K130" s="11">
        <v>39322.19986285991</v>
      </c>
      <c r="L130" s="11">
        <v>34001.795403760327</v>
      </c>
      <c r="M130" s="11">
        <v>18037.004678047753</v>
      </c>
      <c r="N130" s="11">
        <v>2349.0892172633789</v>
      </c>
      <c r="O130" s="11">
        <v>94.195455735482497</v>
      </c>
      <c r="P130" s="11">
        <v>0</v>
      </c>
      <c r="Q130" s="11">
        <v>0</v>
      </c>
      <c r="R130" s="11">
        <v>0</v>
      </c>
      <c r="S130" s="11">
        <v>0</v>
      </c>
      <c r="T130" s="54">
        <v>0</v>
      </c>
    </row>
    <row r="131" spans="1:20" x14ac:dyDescent="0.2">
      <c r="A131" s="47">
        <f t="shared" ref="A131:A138" si="31">+A130+1</f>
        <v>87</v>
      </c>
      <c r="B131" s="46">
        <v>44.1</v>
      </c>
      <c r="C131" s="47">
        <v>874</v>
      </c>
      <c r="G131" s="2" t="s">
        <v>128</v>
      </c>
      <c r="H131" s="11">
        <v>3149695.1471677744</v>
      </c>
      <c r="I131" s="11">
        <v>0</v>
      </c>
      <c r="J131" s="11">
        <v>443758.58348667645</v>
      </c>
      <c r="K131" s="11">
        <v>1407078.1473417827</v>
      </c>
      <c r="L131" s="11">
        <v>1298858.416339315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54">
        <v>0</v>
      </c>
    </row>
    <row r="132" spans="1:20" x14ac:dyDescent="0.2">
      <c r="A132" s="47">
        <f t="shared" si="31"/>
        <v>88</v>
      </c>
      <c r="B132" s="46">
        <v>1.2</v>
      </c>
      <c r="C132" s="47">
        <v>875</v>
      </c>
      <c r="G132" s="2" t="s">
        <v>129</v>
      </c>
      <c r="H132" s="11">
        <v>283941.80519926967</v>
      </c>
      <c r="I132" s="11">
        <v>0</v>
      </c>
      <c r="J132" s="11">
        <v>68078.189269281327</v>
      </c>
      <c r="K132" s="11">
        <v>215863.61592998833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54">
        <v>0</v>
      </c>
    </row>
    <row r="133" spans="1:20" x14ac:dyDescent="0.2">
      <c r="A133" s="47">
        <f t="shared" si="31"/>
        <v>89</v>
      </c>
      <c r="B133" s="46">
        <v>1.6</v>
      </c>
      <c r="C133" s="47">
        <v>876</v>
      </c>
      <c r="G133" s="2" t="s">
        <v>130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54">
        <v>0</v>
      </c>
    </row>
    <row r="134" spans="1:20" x14ac:dyDescent="0.2">
      <c r="A134" s="47">
        <f t="shared" si="31"/>
        <v>90</v>
      </c>
      <c r="B134" s="46">
        <v>1.2</v>
      </c>
      <c r="C134" s="47">
        <v>877</v>
      </c>
      <c r="G134" s="2" t="s">
        <v>131</v>
      </c>
      <c r="H134" s="11">
        <v>5190.2299999999996</v>
      </c>
      <c r="I134" s="11">
        <v>0</v>
      </c>
      <c r="J134" s="11">
        <v>1244.4150661193685</v>
      </c>
      <c r="K134" s="11">
        <v>3945.8149338806311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54"/>
    </row>
    <row r="135" spans="1:20" x14ac:dyDescent="0.2">
      <c r="A135" s="47">
        <f t="shared" si="31"/>
        <v>91</v>
      </c>
      <c r="B135" s="46">
        <v>44.3</v>
      </c>
      <c r="C135" s="47">
        <v>878</v>
      </c>
      <c r="G135" s="2" t="s">
        <v>132</v>
      </c>
      <c r="H135" s="11">
        <v>519636.00162213267</v>
      </c>
      <c r="I135" s="11">
        <v>0</v>
      </c>
      <c r="J135" s="11">
        <v>0</v>
      </c>
      <c r="K135" s="11">
        <v>0</v>
      </c>
      <c r="L135" s="11">
        <v>0</v>
      </c>
      <c r="M135" s="11">
        <v>459758.35489976738</v>
      </c>
      <c r="N135" s="11">
        <v>59877.64672236528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54">
        <v>0</v>
      </c>
    </row>
    <row r="136" spans="1:20" x14ac:dyDescent="0.2">
      <c r="A136" s="47">
        <f t="shared" si="31"/>
        <v>92</v>
      </c>
      <c r="B136" s="46">
        <v>44.2</v>
      </c>
      <c r="C136" s="47">
        <v>879</v>
      </c>
      <c r="G136" s="2" t="s">
        <v>133</v>
      </c>
      <c r="H136" s="11">
        <v>239824.4933561153</v>
      </c>
      <c r="I136" s="11">
        <v>0</v>
      </c>
      <c r="J136" s="11">
        <v>0</v>
      </c>
      <c r="K136" s="11">
        <v>0</v>
      </c>
      <c r="L136" s="11">
        <v>156699.68068221811</v>
      </c>
      <c r="M136" s="11">
        <v>83124.812673897235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54">
        <v>0</v>
      </c>
    </row>
    <row r="137" spans="1:20" x14ac:dyDescent="0.2">
      <c r="A137" s="47">
        <f t="shared" si="31"/>
        <v>93</v>
      </c>
      <c r="B137" s="46">
        <v>44</v>
      </c>
      <c r="C137" s="47">
        <v>880</v>
      </c>
      <c r="G137" s="2" t="s">
        <v>119</v>
      </c>
      <c r="H137" s="11">
        <v>1452654.8328033506</v>
      </c>
      <c r="I137" s="11">
        <v>0</v>
      </c>
      <c r="J137" s="11">
        <v>169621.74793364812</v>
      </c>
      <c r="K137" s="11">
        <v>537839.86093537346</v>
      </c>
      <c r="L137" s="11">
        <v>465068.61201283312</v>
      </c>
      <c r="M137" s="11">
        <v>246705.93510956047</v>
      </c>
      <c r="N137" s="11">
        <v>32130.293379924635</v>
      </c>
      <c r="O137" s="11">
        <v>1288.383432010545</v>
      </c>
      <c r="P137" s="11">
        <v>0</v>
      </c>
      <c r="Q137" s="11">
        <v>0</v>
      </c>
      <c r="R137" s="11">
        <v>0</v>
      </c>
      <c r="S137" s="11">
        <v>0</v>
      </c>
      <c r="T137" s="54">
        <v>0</v>
      </c>
    </row>
    <row r="138" spans="1:20" x14ac:dyDescent="0.2">
      <c r="A138" s="47">
        <f t="shared" si="31"/>
        <v>94</v>
      </c>
      <c r="B138" s="46">
        <v>44</v>
      </c>
      <c r="C138" s="47">
        <v>881</v>
      </c>
      <c r="G138" s="2" t="s">
        <v>123</v>
      </c>
      <c r="H138" s="11">
        <v>11910</v>
      </c>
      <c r="I138" s="11">
        <v>0</v>
      </c>
      <c r="J138" s="11">
        <v>1390.6916992739098</v>
      </c>
      <c r="K138" s="11">
        <v>4409.6316613483159</v>
      </c>
      <c r="L138" s="11">
        <v>3812.996070362894</v>
      </c>
      <c r="M138" s="11">
        <v>2022.6881299011418</v>
      </c>
      <c r="N138" s="11">
        <v>263.42926448426692</v>
      </c>
      <c r="O138" s="11">
        <v>10.563174629470174</v>
      </c>
      <c r="P138" s="11">
        <v>0</v>
      </c>
      <c r="Q138" s="11">
        <v>0</v>
      </c>
      <c r="R138" s="11">
        <v>0</v>
      </c>
      <c r="S138" s="11">
        <v>0</v>
      </c>
      <c r="T138" s="54">
        <v>0</v>
      </c>
    </row>
    <row r="139" spans="1:20" x14ac:dyDescent="0.2">
      <c r="A139" s="47"/>
      <c r="C139" s="47"/>
      <c r="F139" s="2" t="s">
        <v>111</v>
      </c>
      <c r="T139" s="54"/>
    </row>
    <row r="140" spans="1:20" x14ac:dyDescent="0.2">
      <c r="A140" s="47">
        <f>+A138+1</f>
        <v>95</v>
      </c>
      <c r="B140" s="46">
        <v>59</v>
      </c>
      <c r="C140" s="47">
        <v>885</v>
      </c>
      <c r="G140" s="2" t="s">
        <v>105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54">
        <v>0</v>
      </c>
    </row>
    <row r="141" spans="1:20" x14ac:dyDescent="0.2">
      <c r="A141" s="47">
        <f>+A140+1</f>
        <v>96</v>
      </c>
      <c r="B141" s="46">
        <v>44.4</v>
      </c>
      <c r="C141" s="47">
        <v>886</v>
      </c>
      <c r="G141" s="2" t="s">
        <v>112</v>
      </c>
      <c r="H141" s="11">
        <v>3035.0567373912099</v>
      </c>
      <c r="I141" s="11">
        <v>0</v>
      </c>
      <c r="J141" s="11">
        <v>727.68843202261121</v>
      </c>
      <c r="K141" s="11">
        <v>2307.3683053685982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54">
        <v>0</v>
      </c>
    </row>
    <row r="142" spans="1:20" x14ac:dyDescent="0.2">
      <c r="A142" s="47">
        <f t="shared" ref="A142:A149" si="32">+A141+1</f>
        <v>97</v>
      </c>
      <c r="B142" s="46">
        <v>1.2</v>
      </c>
      <c r="C142" s="47">
        <v>887</v>
      </c>
      <c r="G142" s="2" t="s">
        <v>6</v>
      </c>
      <c r="H142" s="11">
        <v>427448.97225647367</v>
      </c>
      <c r="I142" s="11">
        <v>0</v>
      </c>
      <c r="J142" s="11">
        <v>102485.6203045329</v>
      </c>
      <c r="K142" s="11">
        <v>324963.35195194074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54">
        <v>0</v>
      </c>
    </row>
    <row r="143" spans="1:20" x14ac:dyDescent="0.2">
      <c r="A143" s="47">
        <f t="shared" si="32"/>
        <v>98</v>
      </c>
      <c r="B143" s="46">
        <v>1.2</v>
      </c>
      <c r="C143" s="47">
        <v>889</v>
      </c>
      <c r="G143" s="2" t="s">
        <v>129</v>
      </c>
      <c r="H143" s="11">
        <v>125861.22636531119</v>
      </c>
      <c r="I143" s="11">
        <v>0</v>
      </c>
      <c r="J143" s="11">
        <v>30176.621523372476</v>
      </c>
      <c r="K143" s="11">
        <v>95684.604841938708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54">
        <v>0</v>
      </c>
    </row>
    <row r="144" spans="1:20" x14ac:dyDescent="0.2">
      <c r="A144" s="47">
        <f t="shared" si="32"/>
        <v>99</v>
      </c>
      <c r="B144" s="46">
        <v>1.6</v>
      </c>
      <c r="C144" s="47">
        <v>890</v>
      </c>
      <c r="G144" s="2" t="s">
        <v>130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54">
        <v>0</v>
      </c>
    </row>
    <row r="145" spans="1:20" x14ac:dyDescent="0.2">
      <c r="A145" s="47">
        <f t="shared" si="32"/>
        <v>100</v>
      </c>
      <c r="B145" s="46">
        <v>1.2</v>
      </c>
      <c r="C145" s="47">
        <v>891</v>
      </c>
      <c r="G145" s="2" t="s">
        <v>131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54">
        <v>0</v>
      </c>
    </row>
    <row r="146" spans="1:20" x14ac:dyDescent="0.2">
      <c r="A146" s="47">
        <f t="shared" si="32"/>
        <v>101</v>
      </c>
      <c r="B146" s="46">
        <v>1.3</v>
      </c>
      <c r="C146" s="47">
        <v>892</v>
      </c>
      <c r="G146" s="2" t="s">
        <v>19</v>
      </c>
      <c r="H146" s="11">
        <v>343671.83431212325</v>
      </c>
      <c r="I146" s="11">
        <v>0</v>
      </c>
      <c r="J146" s="11">
        <v>0</v>
      </c>
      <c r="K146" s="11">
        <v>0</v>
      </c>
      <c r="L146" s="11">
        <v>343671.83431212325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54">
        <v>0</v>
      </c>
    </row>
    <row r="147" spans="1:20" x14ac:dyDescent="0.2">
      <c r="A147" s="47">
        <f t="shared" si="32"/>
        <v>102</v>
      </c>
      <c r="B147" s="46">
        <v>44.3</v>
      </c>
      <c r="C147" s="47">
        <v>893</v>
      </c>
      <c r="G147" s="2" t="s">
        <v>132</v>
      </c>
      <c r="H147" s="11">
        <v>115646.50305643356</v>
      </c>
      <c r="I147" s="11">
        <v>0</v>
      </c>
      <c r="J147" s="11">
        <v>0</v>
      </c>
      <c r="K147" s="11">
        <v>0</v>
      </c>
      <c r="L147" s="11">
        <v>0</v>
      </c>
      <c r="M147" s="11">
        <v>102320.55867791934</v>
      </c>
      <c r="N147" s="11">
        <v>13325.944378514219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54">
        <v>0</v>
      </c>
    </row>
    <row r="148" spans="1:20" x14ac:dyDescent="0.2">
      <c r="A148" s="50">
        <f t="shared" si="32"/>
        <v>103</v>
      </c>
      <c r="B148" s="49">
        <v>44</v>
      </c>
      <c r="C148" s="50">
        <v>894</v>
      </c>
      <c r="D148" s="51"/>
      <c r="E148" s="51"/>
      <c r="F148" s="51"/>
      <c r="G148" s="51" t="s">
        <v>61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56">
        <v>0</v>
      </c>
    </row>
    <row r="149" spans="1:20" x14ac:dyDescent="0.2">
      <c r="A149" s="47">
        <f t="shared" si="32"/>
        <v>104</v>
      </c>
      <c r="C149" s="47"/>
      <c r="D149" s="2" t="s">
        <v>134</v>
      </c>
      <c r="H149" s="11">
        <f t="shared" ref="H149:S149" si="33">SUM(H129:H148)</f>
        <v>7788596.2035639388</v>
      </c>
      <c r="I149" s="11">
        <f t="shared" si="33"/>
        <v>0</v>
      </c>
      <c r="J149" s="11">
        <f t="shared" si="33"/>
        <v>952675.46440579684</v>
      </c>
      <c r="K149" s="11">
        <f t="shared" si="33"/>
        <v>3020761.4621032528</v>
      </c>
      <c r="L149" s="11">
        <f t="shared" si="33"/>
        <v>2642736.4408533224</v>
      </c>
      <c r="M149" s="11">
        <f t="shared" si="33"/>
        <v>1046905.2972980298</v>
      </c>
      <c r="N149" s="11">
        <f t="shared" si="33"/>
        <v>123918.26607893826</v>
      </c>
      <c r="O149" s="11">
        <f t="shared" si="33"/>
        <v>1599.2728245988674</v>
      </c>
      <c r="P149" s="11">
        <f t="shared" si="33"/>
        <v>0</v>
      </c>
      <c r="Q149" s="11">
        <f t="shared" si="33"/>
        <v>0</v>
      </c>
      <c r="R149" s="11">
        <f t="shared" si="33"/>
        <v>0</v>
      </c>
      <c r="S149" s="11">
        <f t="shared" si="33"/>
        <v>0</v>
      </c>
      <c r="T149" s="54">
        <f t="shared" ref="T149" si="34">SUM(I149:S149)-H149</f>
        <v>0</v>
      </c>
    </row>
    <row r="150" spans="1:20" x14ac:dyDescent="0.2">
      <c r="A150" s="47"/>
      <c r="C150" s="47"/>
      <c r="H150" s="12"/>
      <c r="T150" s="54"/>
    </row>
    <row r="151" spans="1:20" x14ac:dyDescent="0.2">
      <c r="A151" s="47"/>
      <c r="C151" s="47"/>
      <c r="D151" s="2" t="s">
        <v>135</v>
      </c>
      <c r="H151" s="54"/>
      <c r="T151" s="54"/>
    </row>
    <row r="152" spans="1:20" x14ac:dyDescent="0.2">
      <c r="A152" s="47">
        <f>+A149+1</f>
        <v>105</v>
      </c>
      <c r="B152" s="46">
        <v>59.1</v>
      </c>
      <c r="C152" s="47">
        <v>901</v>
      </c>
      <c r="G152" s="2" t="s">
        <v>136</v>
      </c>
      <c r="H152" s="11">
        <v>290419.82267139427</v>
      </c>
      <c r="I152" s="11">
        <v>0</v>
      </c>
      <c r="J152" s="11">
        <v>0</v>
      </c>
      <c r="K152" s="11">
        <v>0</v>
      </c>
      <c r="L152" s="11">
        <v>0</v>
      </c>
      <c r="M152" s="11">
        <v>46427.095204167679</v>
      </c>
      <c r="N152" s="11">
        <v>0</v>
      </c>
      <c r="O152" s="11">
        <v>0</v>
      </c>
      <c r="P152" s="11">
        <v>232945.22397704489</v>
      </c>
      <c r="Q152" s="11">
        <v>4338.7962167493242</v>
      </c>
      <c r="R152" s="11">
        <v>6708.7072734323974</v>
      </c>
      <c r="S152" s="11">
        <v>0</v>
      </c>
      <c r="T152" s="54">
        <v>0</v>
      </c>
    </row>
    <row r="153" spans="1:20" x14ac:dyDescent="0.2">
      <c r="A153" s="47">
        <f>+A152+1</f>
        <v>106</v>
      </c>
      <c r="B153" s="46">
        <v>1.4</v>
      </c>
      <c r="C153" s="47">
        <v>902</v>
      </c>
      <c r="G153" s="2" t="s">
        <v>137</v>
      </c>
      <c r="H153" s="11">
        <v>529834.35653100722</v>
      </c>
      <c r="I153" s="11">
        <v>0</v>
      </c>
      <c r="J153" s="11">
        <v>0</v>
      </c>
      <c r="K153" s="11">
        <v>0</v>
      </c>
      <c r="L153" s="11">
        <v>0</v>
      </c>
      <c r="M153" s="11">
        <v>529834.35653100722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54">
        <v>0</v>
      </c>
    </row>
    <row r="154" spans="1:20" x14ac:dyDescent="0.2">
      <c r="A154" s="47">
        <f t="shared" ref="A154:A157" si="35">+A153+1</f>
        <v>107</v>
      </c>
      <c r="B154" s="46">
        <v>1.7</v>
      </c>
      <c r="C154" s="47">
        <v>903</v>
      </c>
      <c r="G154" s="2" t="s">
        <v>138</v>
      </c>
      <c r="H154" s="11">
        <v>2239187.9222962135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2239187.9222962135</v>
      </c>
      <c r="Q154" s="11">
        <v>0</v>
      </c>
      <c r="R154" s="11">
        <v>0</v>
      </c>
      <c r="S154" s="11">
        <v>0</v>
      </c>
      <c r="T154" s="54">
        <v>0</v>
      </c>
    </row>
    <row r="155" spans="1:20" x14ac:dyDescent="0.2">
      <c r="A155" s="47">
        <f t="shared" si="35"/>
        <v>108</v>
      </c>
      <c r="B155" s="46">
        <v>1.7</v>
      </c>
      <c r="C155" s="47">
        <v>904</v>
      </c>
      <c r="G155" s="2" t="s">
        <v>139</v>
      </c>
      <c r="H155" s="11">
        <v>381974.5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381974.5</v>
      </c>
      <c r="Q155" s="11">
        <v>0</v>
      </c>
      <c r="R155" s="11">
        <v>0</v>
      </c>
      <c r="S155" s="11">
        <v>0</v>
      </c>
      <c r="T155" s="54">
        <v>0</v>
      </c>
    </row>
    <row r="156" spans="1:20" x14ac:dyDescent="0.2">
      <c r="A156" s="47">
        <f t="shared" si="35"/>
        <v>109</v>
      </c>
      <c r="B156" s="46">
        <v>1.7</v>
      </c>
      <c r="C156" s="47">
        <v>905</v>
      </c>
      <c r="G156" s="2" t="s">
        <v>140</v>
      </c>
      <c r="H156" s="11">
        <v>37250.349601036825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37250.349601036825</v>
      </c>
      <c r="Q156" s="11">
        <v>0</v>
      </c>
      <c r="R156" s="11">
        <v>0</v>
      </c>
      <c r="S156" s="11">
        <v>0</v>
      </c>
      <c r="T156" s="54">
        <v>0</v>
      </c>
    </row>
    <row r="157" spans="1:20" x14ac:dyDescent="0.2">
      <c r="A157" s="50">
        <f t="shared" si="35"/>
        <v>110</v>
      </c>
      <c r="B157" s="49">
        <v>1.8</v>
      </c>
      <c r="C157" s="50" t="s">
        <v>141</v>
      </c>
      <c r="D157" s="51"/>
      <c r="E157" s="51"/>
      <c r="F157" s="51"/>
      <c r="G157" s="51" t="s">
        <v>142</v>
      </c>
      <c r="H157" s="10">
        <v>126076.09580685213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49515.12239805569</v>
      </c>
      <c r="R157" s="10">
        <v>76560.973408796432</v>
      </c>
      <c r="S157" s="10">
        <v>0</v>
      </c>
      <c r="T157" s="56">
        <v>0</v>
      </c>
    </row>
    <row r="158" spans="1:20" x14ac:dyDescent="0.2">
      <c r="A158" s="47">
        <f>+A157+1</f>
        <v>111</v>
      </c>
      <c r="C158" s="47"/>
      <c r="D158" s="2" t="s">
        <v>143</v>
      </c>
      <c r="H158" s="11">
        <f t="shared" ref="H158:S158" si="36">SUM(H152:H157)</f>
        <v>3604743.0469065038</v>
      </c>
      <c r="I158" s="11">
        <f t="shared" si="36"/>
        <v>0</v>
      </c>
      <c r="J158" s="11">
        <f t="shared" si="36"/>
        <v>0</v>
      </c>
      <c r="K158" s="11">
        <f t="shared" si="36"/>
        <v>0</v>
      </c>
      <c r="L158" s="11">
        <f t="shared" si="36"/>
        <v>0</v>
      </c>
      <c r="M158" s="11">
        <f t="shared" si="36"/>
        <v>576261.45173517487</v>
      </c>
      <c r="N158" s="11">
        <f t="shared" si="36"/>
        <v>0</v>
      </c>
      <c r="O158" s="11">
        <f t="shared" si="36"/>
        <v>0</v>
      </c>
      <c r="P158" s="11">
        <f t="shared" si="36"/>
        <v>2891357.995874295</v>
      </c>
      <c r="Q158" s="11">
        <f t="shared" si="36"/>
        <v>53853.918614805014</v>
      </c>
      <c r="R158" s="11">
        <f t="shared" si="36"/>
        <v>83269.680682228834</v>
      </c>
      <c r="S158" s="11">
        <f t="shared" si="36"/>
        <v>0</v>
      </c>
      <c r="T158" s="54">
        <f t="shared" ref="T158" si="37">SUM(I158:S158)-H158</f>
        <v>0</v>
      </c>
    </row>
    <row r="159" spans="1:20" x14ac:dyDescent="0.2">
      <c r="A159" s="47"/>
      <c r="C159" s="47"/>
      <c r="H159" s="12"/>
      <c r="T159" s="54"/>
    </row>
    <row r="160" spans="1:20" x14ac:dyDescent="0.2">
      <c r="A160" s="47"/>
      <c r="C160" s="47"/>
      <c r="D160" s="2" t="s">
        <v>144</v>
      </c>
      <c r="T160" s="54"/>
    </row>
    <row r="161" spans="1:20" x14ac:dyDescent="0.2">
      <c r="A161" s="47">
        <f>+A158+1</f>
        <v>112</v>
      </c>
      <c r="B161" s="46">
        <v>1.7</v>
      </c>
      <c r="C161" s="47">
        <v>908</v>
      </c>
      <c r="G161" s="2" t="s">
        <v>145</v>
      </c>
      <c r="H161" s="11">
        <v>1533.87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1533.87</v>
      </c>
      <c r="Q161" s="11">
        <v>0</v>
      </c>
      <c r="R161" s="11">
        <v>0</v>
      </c>
      <c r="S161" s="11">
        <v>0</v>
      </c>
      <c r="T161" s="54">
        <v>0</v>
      </c>
    </row>
    <row r="162" spans="1:20" x14ac:dyDescent="0.2">
      <c r="A162" s="47">
        <f>+A161+1</f>
        <v>113</v>
      </c>
      <c r="B162" s="46">
        <v>1.7</v>
      </c>
      <c r="C162" s="47">
        <v>909</v>
      </c>
      <c r="G162" s="2" t="s">
        <v>146</v>
      </c>
      <c r="H162" s="11">
        <v>8110.08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8110.08</v>
      </c>
      <c r="Q162" s="11">
        <v>0</v>
      </c>
      <c r="R162" s="11">
        <v>0</v>
      </c>
      <c r="S162" s="11">
        <v>0</v>
      </c>
      <c r="T162" s="54">
        <v>0</v>
      </c>
    </row>
    <row r="163" spans="1:20" x14ac:dyDescent="0.2">
      <c r="A163" s="50">
        <f t="shared" ref="A163:A164" si="38">+A162+1</f>
        <v>114</v>
      </c>
      <c r="B163" s="49">
        <v>1.7</v>
      </c>
      <c r="C163" s="50">
        <v>910</v>
      </c>
      <c r="D163" s="51"/>
      <c r="E163" s="51"/>
      <c r="F163" s="51"/>
      <c r="G163" s="51" t="s">
        <v>140</v>
      </c>
      <c r="H163" s="10">
        <v>1741.42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1741.42</v>
      </c>
      <c r="Q163" s="10">
        <v>0</v>
      </c>
      <c r="R163" s="10">
        <v>0</v>
      </c>
      <c r="S163" s="10">
        <v>0</v>
      </c>
      <c r="T163" s="56">
        <v>0</v>
      </c>
    </row>
    <row r="164" spans="1:20" x14ac:dyDescent="0.2">
      <c r="A164" s="47">
        <f t="shared" si="38"/>
        <v>115</v>
      </c>
      <c r="C164" s="47"/>
      <c r="D164" s="2" t="s">
        <v>147</v>
      </c>
      <c r="H164" s="11">
        <f t="shared" ref="H164:S164" si="39">SUM(H161:H163)</f>
        <v>11385.37</v>
      </c>
      <c r="I164" s="11">
        <f t="shared" si="39"/>
        <v>0</v>
      </c>
      <c r="J164" s="11">
        <f t="shared" si="39"/>
        <v>0</v>
      </c>
      <c r="K164" s="11">
        <f t="shared" si="39"/>
        <v>0</v>
      </c>
      <c r="L164" s="11">
        <f t="shared" si="39"/>
        <v>0</v>
      </c>
      <c r="M164" s="11">
        <f t="shared" si="39"/>
        <v>0</v>
      </c>
      <c r="N164" s="11">
        <f t="shared" si="39"/>
        <v>0</v>
      </c>
      <c r="O164" s="11">
        <f t="shared" si="39"/>
        <v>0</v>
      </c>
      <c r="P164" s="11">
        <f t="shared" si="39"/>
        <v>11385.37</v>
      </c>
      <c r="Q164" s="11">
        <f t="shared" si="39"/>
        <v>0</v>
      </c>
      <c r="R164" s="11">
        <f t="shared" si="39"/>
        <v>0</v>
      </c>
      <c r="S164" s="11">
        <f t="shared" si="39"/>
        <v>0</v>
      </c>
      <c r="T164" s="54">
        <f t="shared" ref="T164" si="40">SUM(I164:S164)-H164</f>
        <v>0</v>
      </c>
    </row>
    <row r="165" spans="1:20" x14ac:dyDescent="0.2">
      <c r="A165" s="47"/>
      <c r="C165" s="47"/>
      <c r="T165" s="54"/>
    </row>
    <row r="166" spans="1:20" x14ac:dyDescent="0.2">
      <c r="A166" s="47"/>
      <c r="C166" s="47"/>
      <c r="D166" s="2" t="s">
        <v>148</v>
      </c>
      <c r="T166" s="54"/>
    </row>
    <row r="167" spans="1:20" x14ac:dyDescent="0.2">
      <c r="A167" s="47">
        <f>+A164+1</f>
        <v>116</v>
      </c>
      <c r="B167" s="46">
        <v>1.7</v>
      </c>
      <c r="C167" s="47">
        <v>912</v>
      </c>
      <c r="G167" s="2" t="s">
        <v>149</v>
      </c>
      <c r="H167" s="11">
        <v>92888.055115941461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92888.055115941461</v>
      </c>
      <c r="Q167" s="11">
        <v>0</v>
      </c>
      <c r="R167" s="11">
        <v>0</v>
      </c>
      <c r="S167" s="11">
        <v>0</v>
      </c>
      <c r="T167" s="54">
        <v>0</v>
      </c>
    </row>
    <row r="168" spans="1:20" x14ac:dyDescent="0.2">
      <c r="A168" s="50">
        <f>+A167+1</f>
        <v>117</v>
      </c>
      <c r="B168" s="49">
        <v>1.7</v>
      </c>
      <c r="C168" s="50">
        <v>916</v>
      </c>
      <c r="D168" s="51"/>
      <c r="E168" s="51"/>
      <c r="F168" s="51"/>
      <c r="G168" s="51" t="s">
        <v>140</v>
      </c>
      <c r="H168" s="10">
        <v>31963.981366757034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31963.981366757034</v>
      </c>
      <c r="Q168" s="10">
        <v>0</v>
      </c>
      <c r="R168" s="10">
        <v>0</v>
      </c>
      <c r="S168" s="10">
        <v>0</v>
      </c>
      <c r="T168" s="56">
        <v>0</v>
      </c>
    </row>
    <row r="169" spans="1:20" x14ac:dyDescent="0.2">
      <c r="A169" s="47">
        <f>+A168+1</f>
        <v>118</v>
      </c>
      <c r="C169" s="47"/>
      <c r="D169" s="2" t="s">
        <v>150</v>
      </c>
      <c r="H169" s="11">
        <f t="shared" ref="H169:S169" si="41">SUM(H167:H168)</f>
        <v>124852.03648269849</v>
      </c>
      <c r="I169" s="11">
        <f t="shared" si="41"/>
        <v>0</v>
      </c>
      <c r="J169" s="11">
        <f t="shared" si="41"/>
        <v>0</v>
      </c>
      <c r="K169" s="11">
        <f t="shared" si="41"/>
        <v>0</v>
      </c>
      <c r="L169" s="11">
        <f t="shared" si="41"/>
        <v>0</v>
      </c>
      <c r="M169" s="11">
        <f t="shared" si="41"/>
        <v>0</v>
      </c>
      <c r="N169" s="11">
        <f t="shared" si="41"/>
        <v>0</v>
      </c>
      <c r="O169" s="11">
        <f t="shared" si="41"/>
        <v>0</v>
      </c>
      <c r="P169" s="11">
        <f t="shared" si="41"/>
        <v>124852.03648269849</v>
      </c>
      <c r="Q169" s="11">
        <f t="shared" si="41"/>
        <v>0</v>
      </c>
      <c r="R169" s="11">
        <f t="shared" si="41"/>
        <v>0</v>
      </c>
      <c r="S169" s="11">
        <f t="shared" si="41"/>
        <v>0</v>
      </c>
      <c r="T169" s="54">
        <f t="shared" ref="T169" si="42">SUM(I169:S169)-H169</f>
        <v>0</v>
      </c>
    </row>
    <row r="170" spans="1:20" x14ac:dyDescent="0.2">
      <c r="A170" s="47"/>
      <c r="C170" s="47"/>
      <c r="T170" s="54"/>
    </row>
    <row r="171" spans="1:20" x14ac:dyDescent="0.2">
      <c r="A171" s="47"/>
      <c r="C171" s="47"/>
      <c r="D171" s="2" t="s">
        <v>151</v>
      </c>
      <c r="T171" s="54"/>
    </row>
    <row r="172" spans="1:20" x14ac:dyDescent="0.2">
      <c r="A172" s="47"/>
      <c r="C172" s="47"/>
      <c r="F172" s="2" t="s">
        <v>104</v>
      </c>
      <c r="T172" s="54"/>
    </row>
    <row r="173" spans="1:20" x14ac:dyDescent="0.2">
      <c r="A173" s="47">
        <f>+A169+1</f>
        <v>119</v>
      </c>
      <c r="B173" s="46">
        <v>40</v>
      </c>
      <c r="C173" s="47">
        <v>920</v>
      </c>
      <c r="G173" s="2" t="s">
        <v>152</v>
      </c>
      <c r="H173" s="11">
        <v>817092.74286462483</v>
      </c>
      <c r="I173" s="11">
        <v>23339.310775360354</v>
      </c>
      <c r="J173" s="11">
        <v>66647.075152828329</v>
      </c>
      <c r="K173" s="11">
        <v>211325.8121002765</v>
      </c>
      <c r="L173" s="11">
        <v>184883.1540177186</v>
      </c>
      <c r="M173" s="11">
        <v>113577.46193412071</v>
      </c>
      <c r="N173" s="11">
        <v>8663.2661834124719</v>
      </c>
      <c r="O173" s="11">
        <v>111.30510492277109</v>
      </c>
      <c r="P173" s="11">
        <v>185352.37834578136</v>
      </c>
      <c r="Q173" s="11">
        <v>3773.0091600052365</v>
      </c>
      <c r="R173" s="11">
        <v>5833.8794287550654</v>
      </c>
      <c r="S173" s="11">
        <v>13586.090661443401</v>
      </c>
      <c r="T173" s="54">
        <v>0</v>
      </c>
    </row>
    <row r="174" spans="1:20" x14ac:dyDescent="0.2">
      <c r="A174" s="47">
        <f>+A173+1</f>
        <v>120</v>
      </c>
      <c r="B174" s="46">
        <v>40</v>
      </c>
      <c r="C174" s="47">
        <v>921</v>
      </c>
      <c r="G174" s="2" t="s">
        <v>153</v>
      </c>
      <c r="H174" s="11">
        <v>131504.54</v>
      </c>
      <c r="I174" s="11">
        <v>3756.2753484634895</v>
      </c>
      <c r="J174" s="11">
        <v>10726.31355112916</v>
      </c>
      <c r="K174" s="11">
        <v>34011.198793595904</v>
      </c>
      <c r="L174" s="11">
        <v>29755.464523661041</v>
      </c>
      <c r="M174" s="11">
        <v>18279.383847726363</v>
      </c>
      <c r="N174" s="11">
        <v>1394.2833837357482</v>
      </c>
      <c r="O174" s="11">
        <v>17.913666166223454</v>
      </c>
      <c r="P174" s="11">
        <v>29830.98242534056</v>
      </c>
      <c r="Q174" s="11">
        <v>607.23563920390825</v>
      </c>
      <c r="R174" s="11">
        <v>938.91622143681639</v>
      </c>
      <c r="S174" s="11">
        <v>2186.572599540782</v>
      </c>
      <c r="T174" s="54">
        <v>0</v>
      </c>
    </row>
    <row r="175" spans="1:20" x14ac:dyDescent="0.2">
      <c r="A175" s="47">
        <f t="shared" ref="A175:A183" si="43">+A174+1</f>
        <v>121</v>
      </c>
      <c r="B175" s="46">
        <v>40</v>
      </c>
      <c r="C175" s="47">
        <v>922</v>
      </c>
      <c r="G175" s="2" t="s">
        <v>154</v>
      </c>
      <c r="H175" s="11">
        <v>-546201.02086529497</v>
      </c>
      <c r="I175" s="11">
        <v>-15601.601511110563</v>
      </c>
      <c r="J175" s="11">
        <v>-44551.491619589666</v>
      </c>
      <c r="K175" s="11">
        <v>-141264.71604641611</v>
      </c>
      <c r="L175" s="11">
        <v>-123588.62362580583</v>
      </c>
      <c r="M175" s="11">
        <v>-75922.991848165271</v>
      </c>
      <c r="N175" s="11">
        <v>-5791.123314616997</v>
      </c>
      <c r="O175" s="11">
        <v>-74.403992040361075</v>
      </c>
      <c r="P175" s="11">
        <v>-123902.28545824872</v>
      </c>
      <c r="Q175" s="11">
        <v>-2522.1389773992942</v>
      </c>
      <c r="R175" s="11">
        <v>-3899.7664921361225</v>
      </c>
      <c r="S175" s="11">
        <v>-9081.8779797659972</v>
      </c>
      <c r="T175" s="54">
        <v>0</v>
      </c>
    </row>
    <row r="176" spans="1:20" x14ac:dyDescent="0.2">
      <c r="A176" s="47">
        <f t="shared" si="43"/>
        <v>122</v>
      </c>
      <c r="B176" s="46">
        <v>40</v>
      </c>
      <c r="C176" s="47">
        <v>923</v>
      </c>
      <c r="G176" s="2" t="s">
        <v>155</v>
      </c>
      <c r="H176" s="11">
        <v>261183.96</v>
      </c>
      <c r="I176" s="11">
        <v>7460.4182514312743</v>
      </c>
      <c r="J176" s="11">
        <v>21303.759166684104</v>
      </c>
      <c r="K176" s="11">
        <v>67550.36430878051</v>
      </c>
      <c r="L176" s="11">
        <v>59097.960085098988</v>
      </c>
      <c r="M176" s="11">
        <v>36305.072507072444</v>
      </c>
      <c r="N176" s="11">
        <v>2769.2158424819577</v>
      </c>
      <c r="O176" s="11">
        <v>35.578712852136206</v>
      </c>
      <c r="P176" s="11">
        <v>59247.947793595959</v>
      </c>
      <c r="Q176" s="11">
        <v>1206.0436004749949</v>
      </c>
      <c r="R176" s="11">
        <v>1864.8014496161468</v>
      </c>
      <c r="S176" s="11">
        <v>4342.7982819114495</v>
      </c>
      <c r="T176" s="54">
        <v>0</v>
      </c>
    </row>
    <row r="177" spans="1:20" x14ac:dyDescent="0.2">
      <c r="A177" s="47">
        <f t="shared" si="43"/>
        <v>123</v>
      </c>
      <c r="B177" s="46">
        <v>47</v>
      </c>
      <c r="C177" s="47">
        <v>924</v>
      </c>
      <c r="G177" s="2" t="s">
        <v>156</v>
      </c>
      <c r="H177" s="11">
        <v>13246.204620369279</v>
      </c>
      <c r="I177" s="11">
        <v>222.10694548937852</v>
      </c>
      <c r="J177" s="11">
        <v>1478.8964420016423</v>
      </c>
      <c r="K177" s="11">
        <v>4689.3129353620789</v>
      </c>
      <c r="L177" s="11">
        <v>4058.2948342052746</v>
      </c>
      <c r="M177" s="11">
        <v>2177.7500487776992</v>
      </c>
      <c r="N177" s="11">
        <v>273.76496876510834</v>
      </c>
      <c r="O177" s="11">
        <v>10.597847166004037</v>
      </c>
      <c r="P177" s="11">
        <v>298.17075554483904</v>
      </c>
      <c r="Q177" s="11">
        <v>6.0695255273047053</v>
      </c>
      <c r="R177" s="11">
        <v>9.3847850918012412</v>
      </c>
      <c r="S177" s="11">
        <v>21.855532438143449</v>
      </c>
      <c r="T177" s="54">
        <v>0</v>
      </c>
    </row>
    <row r="178" spans="1:20" x14ac:dyDescent="0.2">
      <c r="A178" s="47">
        <f t="shared" si="43"/>
        <v>124</v>
      </c>
      <c r="B178" s="46">
        <v>40</v>
      </c>
      <c r="C178" s="47">
        <v>925</v>
      </c>
      <c r="G178" s="2" t="s">
        <v>157</v>
      </c>
      <c r="H178" s="11">
        <v>610390.75899461436</v>
      </c>
      <c r="I178" s="11">
        <v>17435.107266573374</v>
      </c>
      <c r="J178" s="11">
        <v>49787.198751373493</v>
      </c>
      <c r="K178" s="11">
        <v>157866.19569134049</v>
      </c>
      <c r="L178" s="11">
        <v>138112.80260616692</v>
      </c>
      <c r="M178" s="11">
        <v>84845.488838389836</v>
      </c>
      <c r="N178" s="11">
        <v>6471.698185112411</v>
      </c>
      <c r="O178" s="11">
        <v>83.147975633215978</v>
      </c>
      <c r="P178" s="11">
        <v>138463.32608865539</v>
      </c>
      <c r="Q178" s="11">
        <v>2818.5416465640906</v>
      </c>
      <c r="R178" s="11">
        <v>4358.0684365359075</v>
      </c>
      <c r="S178" s="11">
        <v>10149.18350826918</v>
      </c>
      <c r="T178" s="54">
        <v>0</v>
      </c>
    </row>
    <row r="179" spans="1:20" x14ac:dyDescent="0.2">
      <c r="A179" s="47">
        <f t="shared" si="43"/>
        <v>125</v>
      </c>
      <c r="B179" s="46">
        <v>58.1</v>
      </c>
      <c r="C179" s="47">
        <v>926</v>
      </c>
      <c r="G179" s="2" t="s">
        <v>158</v>
      </c>
      <c r="H179" s="11">
        <v>1575302.402119667</v>
      </c>
      <c r="I179" s="11">
        <v>57097.070467698664</v>
      </c>
      <c r="J179" s="11">
        <v>113797.6379629631</v>
      </c>
      <c r="K179" s="11">
        <v>360831.71245656506</v>
      </c>
      <c r="L179" s="11">
        <v>325485.05160360923</v>
      </c>
      <c r="M179" s="11">
        <v>497163.92767981143</v>
      </c>
      <c r="N179" s="11">
        <v>53023.875448155653</v>
      </c>
      <c r="O179" s="11">
        <v>135.10450340295063</v>
      </c>
      <c r="P179" s="11">
        <v>112026.69031121783</v>
      </c>
      <c r="Q179" s="11">
        <v>926.92983086758989</v>
      </c>
      <c r="R179" s="11">
        <v>1433.2318430391351</v>
      </c>
      <c r="S179" s="11">
        <v>53381.170012336413</v>
      </c>
      <c r="T179" s="54">
        <v>0</v>
      </c>
    </row>
    <row r="180" spans="1:20" x14ac:dyDescent="0.2">
      <c r="A180" s="47">
        <f t="shared" si="43"/>
        <v>126</v>
      </c>
      <c r="B180" s="46">
        <v>47</v>
      </c>
      <c r="C180" s="47">
        <v>928</v>
      </c>
      <c r="G180" s="2" t="s">
        <v>159</v>
      </c>
      <c r="H180" s="11">
        <v>414437.63572729123</v>
      </c>
      <c r="I180" s="11">
        <v>6949.1208995578854</v>
      </c>
      <c r="J180" s="11">
        <v>46270.638456404653</v>
      </c>
      <c r="K180" s="11">
        <v>146715.81949808996</v>
      </c>
      <c r="L180" s="11">
        <v>126972.98315820708</v>
      </c>
      <c r="M180" s="11">
        <v>68135.86285935402</v>
      </c>
      <c r="N180" s="11">
        <v>8565.3596370915948</v>
      </c>
      <c r="O180" s="11">
        <v>331.5777499408311</v>
      </c>
      <c r="P180" s="11">
        <v>9328.9501795102278</v>
      </c>
      <c r="Q180" s="11">
        <v>189.89890928111581</v>
      </c>
      <c r="R180" s="11">
        <v>293.62434423471916</v>
      </c>
      <c r="S180" s="11">
        <v>683.80003561901628</v>
      </c>
      <c r="T180" s="54">
        <v>0</v>
      </c>
    </row>
    <row r="181" spans="1:20" x14ac:dyDescent="0.2">
      <c r="A181" s="47">
        <f t="shared" si="43"/>
        <v>127</v>
      </c>
      <c r="B181" s="46">
        <v>40</v>
      </c>
      <c r="C181" s="47">
        <v>929</v>
      </c>
      <c r="G181" s="2" t="s">
        <v>160</v>
      </c>
      <c r="H181" s="11">
        <v>-5487.8900000000031</v>
      </c>
      <c r="I181" s="11">
        <v>-156.75524146983298</v>
      </c>
      <c r="J181" s="11">
        <v>-447.62583005960278</v>
      </c>
      <c r="K181" s="11">
        <v>-1419.3404862477532</v>
      </c>
      <c r="L181" s="11">
        <v>-1241.7420433146588</v>
      </c>
      <c r="M181" s="11">
        <v>-762.82725922693692</v>
      </c>
      <c r="N181" s="11">
        <v>-58.185624912794488</v>
      </c>
      <c r="O181" s="11">
        <v>-0.74756528874939276</v>
      </c>
      <c r="P181" s="11">
        <v>-1244.8935233886396</v>
      </c>
      <c r="Q181" s="11">
        <v>-25.340892352695484</v>
      </c>
      <c r="R181" s="11">
        <v>-39.18244147662805</v>
      </c>
      <c r="S181" s="11">
        <v>-91.249092261711027</v>
      </c>
      <c r="T181" s="54">
        <v>0</v>
      </c>
    </row>
    <row r="182" spans="1:20" x14ac:dyDescent="0.2">
      <c r="A182" s="47">
        <f t="shared" si="43"/>
        <v>128</v>
      </c>
      <c r="B182" s="46">
        <v>40</v>
      </c>
      <c r="C182" s="47">
        <v>930.2</v>
      </c>
      <c r="G182" s="2" t="s">
        <v>161</v>
      </c>
      <c r="H182" s="11">
        <v>64249.911067079505</v>
      </c>
      <c r="I182" s="11">
        <v>1835.2245259535698</v>
      </c>
      <c r="J182" s="11">
        <v>5240.6152041416844</v>
      </c>
      <c r="K182" s="11">
        <v>16617.042254003536</v>
      </c>
      <c r="L182" s="11">
        <v>14537.794279991102</v>
      </c>
      <c r="M182" s="11">
        <v>8930.8611442420806</v>
      </c>
      <c r="N182" s="11">
        <v>681.21285704150228</v>
      </c>
      <c r="O182" s="11">
        <v>8.7521804043054932</v>
      </c>
      <c r="P182" s="11">
        <v>14574.690484995746</v>
      </c>
      <c r="Q182" s="11">
        <v>296.68052384816735</v>
      </c>
      <c r="R182" s="11">
        <v>458.73156718964816</v>
      </c>
      <c r="S182" s="11">
        <v>1068.3060452681564</v>
      </c>
      <c r="T182" s="54">
        <v>0</v>
      </c>
    </row>
    <row r="183" spans="1:20" x14ac:dyDescent="0.2">
      <c r="A183" s="47">
        <f t="shared" si="43"/>
        <v>129</v>
      </c>
      <c r="B183" s="46">
        <v>40</v>
      </c>
      <c r="C183" s="47">
        <v>931</v>
      </c>
      <c r="G183" s="2" t="s">
        <v>123</v>
      </c>
      <c r="H183" s="11">
        <v>1349358.02</v>
      </c>
      <c r="I183" s="11">
        <v>38542.853857193862</v>
      </c>
      <c r="J183" s="11">
        <v>110061.88239015028</v>
      </c>
      <c r="K183" s="11">
        <v>348986.3077119083</v>
      </c>
      <c r="L183" s="11">
        <v>305318.54408849688</v>
      </c>
      <c r="M183" s="11">
        <v>187563.35861551264</v>
      </c>
      <c r="N183" s="11">
        <v>14306.635086488797</v>
      </c>
      <c r="O183" s="11">
        <v>183.81075747648157</v>
      </c>
      <c r="P183" s="11">
        <v>306093.42749773001</v>
      </c>
      <c r="Q183" s="11">
        <v>6230.7984179832874</v>
      </c>
      <c r="R183" s="11">
        <v>9634.1474864963911</v>
      </c>
      <c r="S183" s="11">
        <v>22436.254090562972</v>
      </c>
      <c r="T183" s="54">
        <v>0</v>
      </c>
    </row>
    <row r="184" spans="1:20" x14ac:dyDescent="0.2">
      <c r="A184" s="47"/>
      <c r="C184" s="47"/>
      <c r="F184" s="2" t="s">
        <v>111</v>
      </c>
      <c r="R184" s="11"/>
      <c r="S184" s="11"/>
      <c r="T184" s="54">
        <v>0</v>
      </c>
    </row>
    <row r="185" spans="1:20" x14ac:dyDescent="0.2">
      <c r="A185" s="50">
        <f>+A183+1</f>
        <v>130</v>
      </c>
      <c r="B185" s="49">
        <v>40</v>
      </c>
      <c r="C185" s="50">
        <v>935</v>
      </c>
      <c r="D185" s="51"/>
      <c r="E185" s="51"/>
      <c r="F185" s="51"/>
      <c r="G185" s="51" t="s">
        <v>162</v>
      </c>
      <c r="H185" s="10">
        <v>-11.320865295018493</v>
      </c>
      <c r="I185" s="10">
        <v>-0.3233674459524653</v>
      </c>
      <c r="J185" s="10">
        <v>-0.92339892466423346</v>
      </c>
      <c r="K185" s="10">
        <v>-2.9279308536754294</v>
      </c>
      <c r="L185" s="10">
        <v>-2.561566358568824</v>
      </c>
      <c r="M185" s="10">
        <v>-1.5736220378098504</v>
      </c>
      <c r="N185" s="10">
        <v>-0.12003003371864564</v>
      </c>
      <c r="O185" s="10">
        <v>-1.5421384053185239E-3</v>
      </c>
      <c r="P185" s="10">
        <v>-2.5680674876726273</v>
      </c>
      <c r="Q185" s="10">
        <v>-5.227525128609168E-2</v>
      </c>
      <c r="R185" s="10">
        <v>-8.0828723222741608E-2</v>
      </c>
      <c r="S185" s="10">
        <v>-0.18823604004226474</v>
      </c>
      <c r="T185" s="56">
        <v>0</v>
      </c>
    </row>
    <row r="186" spans="1:20" x14ac:dyDescent="0.2">
      <c r="A186" s="47">
        <f>+A185+1</f>
        <v>131</v>
      </c>
      <c r="C186" s="47"/>
      <c r="D186" s="2" t="s">
        <v>163</v>
      </c>
      <c r="H186" s="54">
        <f t="shared" ref="H186:S186" si="44">SUM(H173:H185)</f>
        <v>4685065.943663056</v>
      </c>
      <c r="I186" s="54">
        <f t="shared" si="44"/>
        <v>140878.80821769548</v>
      </c>
      <c r="J186" s="54">
        <f t="shared" si="44"/>
        <v>380313.97622910258</v>
      </c>
      <c r="K186" s="54">
        <f t="shared" si="44"/>
        <v>1205906.7812864049</v>
      </c>
      <c r="L186" s="54">
        <f t="shared" si="44"/>
        <v>1063389.1219616758</v>
      </c>
      <c r="M186" s="54">
        <f t="shared" si="44"/>
        <v>940291.77474557725</v>
      </c>
      <c r="N186" s="54">
        <f t="shared" si="44"/>
        <v>90299.882622721736</v>
      </c>
      <c r="O186" s="54">
        <f t="shared" si="44"/>
        <v>842.63539849740391</v>
      </c>
      <c r="P186" s="54">
        <f t="shared" si="44"/>
        <v>730066.81683324685</v>
      </c>
      <c r="Q186" s="54">
        <f t="shared" si="44"/>
        <v>13507.675108752419</v>
      </c>
      <c r="R186" s="54">
        <f t="shared" si="44"/>
        <v>20885.755800059655</v>
      </c>
      <c r="S186" s="54">
        <f t="shared" si="44"/>
        <v>98682.715459321742</v>
      </c>
      <c r="T186" s="54">
        <f t="shared" ref="T186" si="45">SUM(I186:S186)-H186</f>
        <v>0</v>
      </c>
    </row>
    <row r="187" spans="1:20" x14ac:dyDescent="0.2">
      <c r="A187" s="47"/>
      <c r="C187" s="47"/>
      <c r="H187" s="54"/>
      <c r="T187" s="54"/>
    </row>
    <row r="188" spans="1:20" x14ac:dyDescent="0.2">
      <c r="A188" s="47">
        <f>+A186+1</f>
        <v>132</v>
      </c>
      <c r="C188" s="47"/>
      <c r="D188" s="7" t="s">
        <v>164</v>
      </c>
      <c r="H188" s="9">
        <f>H108+H125+H149+H158+H164+H169+H186</f>
        <v>16793257.068939619</v>
      </c>
      <c r="I188" s="9">
        <f t="shared" ref="I188:S188" si="46">I108+I125+I149+I158+I164+I169+I186</f>
        <v>525572.67106506636</v>
      </c>
      <c r="J188" s="9">
        <f t="shared" si="46"/>
        <v>1332989.4406348993</v>
      </c>
      <c r="K188" s="9">
        <f t="shared" si="46"/>
        <v>4226668.2433896577</v>
      </c>
      <c r="L188" s="9">
        <f t="shared" si="46"/>
        <v>3706125.5628149984</v>
      </c>
      <c r="M188" s="9">
        <f t="shared" si="46"/>
        <v>2563458.5237787822</v>
      </c>
      <c r="N188" s="9">
        <f t="shared" si="46"/>
        <v>214218.14870165999</v>
      </c>
      <c r="O188" s="9">
        <f t="shared" si="46"/>
        <v>2441.9082230962713</v>
      </c>
      <c r="P188" s="9">
        <f t="shared" si="46"/>
        <v>3757662.2191902404</v>
      </c>
      <c r="Q188" s="9">
        <f>Q108+Q125+Q149+Q158+Q164+Q169+Q186</f>
        <v>67361.593723557438</v>
      </c>
      <c r="R188" s="9">
        <f>R108+R125+R149+R158+R164+R169+R186</f>
        <v>104155.4364822885</v>
      </c>
      <c r="S188" s="9">
        <f t="shared" si="46"/>
        <v>292603.32093537331</v>
      </c>
      <c r="T188" s="54">
        <f>SUM(I188:S188)-H188</f>
        <v>0</v>
      </c>
    </row>
    <row r="189" spans="1:20" x14ac:dyDescent="0.2">
      <c r="A189" s="47">
        <f>+A188+1</f>
        <v>133</v>
      </c>
      <c r="C189" s="47"/>
      <c r="D189" s="7" t="s">
        <v>165</v>
      </c>
      <c r="H189" s="9">
        <f>SUM(H93:H102)+H107+H125+H149+H158+H164+H169-SUM(H94:H97)-H114-H138-H155</f>
        <v>11662745.625276519</v>
      </c>
      <c r="I189" s="9">
        <f t="shared" ref="I189:T189" si="47">SUM(I93:I102)+I107+I125+I149+I158+I164+I169-SUM(I94:I97)-I114-I138-I155</f>
        <v>333132.86284737085</v>
      </c>
      <c r="J189" s="9">
        <f t="shared" si="47"/>
        <v>951284.77270652296</v>
      </c>
      <c r="K189" s="9">
        <f t="shared" si="47"/>
        <v>3016351.8304419043</v>
      </c>
      <c r="L189" s="9">
        <f t="shared" si="47"/>
        <v>2638923.4447829593</v>
      </c>
      <c r="M189" s="9">
        <f t="shared" si="47"/>
        <v>1621144.0609033036</v>
      </c>
      <c r="N189" s="9">
        <f t="shared" si="47"/>
        <v>123654.836814454</v>
      </c>
      <c r="O189" s="9">
        <f t="shared" si="47"/>
        <v>1588.7096499693971</v>
      </c>
      <c r="P189" s="9">
        <f t="shared" si="47"/>
        <v>2645620.9023569934</v>
      </c>
      <c r="Q189" s="9">
        <f t="shared" si="47"/>
        <v>53853.918614805014</v>
      </c>
      <c r="R189" s="9">
        <f t="shared" si="47"/>
        <v>83269.680682228834</v>
      </c>
      <c r="S189" s="9">
        <f t="shared" si="47"/>
        <v>193920.60547600684</v>
      </c>
      <c r="T189" s="9">
        <f t="shared" si="47"/>
        <v>0</v>
      </c>
    </row>
    <row r="190" spans="1:20" x14ac:dyDescent="0.2">
      <c r="A190" s="47"/>
      <c r="H190" s="54"/>
      <c r="T190" s="54"/>
    </row>
    <row r="191" spans="1:20" x14ac:dyDescent="0.2">
      <c r="A191" s="47"/>
      <c r="D191" s="2" t="s">
        <v>166</v>
      </c>
      <c r="G191" s="11"/>
      <c r="T191" s="54"/>
    </row>
    <row r="192" spans="1:20" x14ac:dyDescent="0.2">
      <c r="A192" s="47">
        <f>+A189+1</f>
        <v>134</v>
      </c>
      <c r="B192" s="46">
        <v>40</v>
      </c>
      <c r="C192" s="2" t="s">
        <v>167</v>
      </c>
      <c r="E192" s="2" t="s">
        <v>92</v>
      </c>
      <c r="H192" s="11">
        <v>1537712.0999999996</v>
      </c>
      <c r="I192" s="11">
        <v>43922.970676632322</v>
      </c>
      <c r="J192" s="11">
        <v>125425.19167752896</v>
      </c>
      <c r="K192" s="11">
        <v>397700.5806827491</v>
      </c>
      <c r="L192" s="11">
        <v>347937.32474296557</v>
      </c>
      <c r="M192" s="11">
        <v>213744.93780361788</v>
      </c>
      <c r="N192" s="11">
        <v>16303.668527332993</v>
      </c>
      <c r="O192" s="11">
        <v>209.46851887518415</v>
      </c>
      <c r="P192" s="11">
        <v>348820.37251591095</v>
      </c>
      <c r="Q192" s="11">
        <v>7100.5426121036107</v>
      </c>
      <c r="R192" s="11">
        <v>10978.958099771091</v>
      </c>
      <c r="S192" s="11">
        <v>25568.084142511838</v>
      </c>
      <c r="T192" s="54">
        <v>0</v>
      </c>
    </row>
    <row r="193" spans="1:20" x14ac:dyDescent="0.2">
      <c r="A193" s="47">
        <f>+A192+1</f>
        <v>135</v>
      </c>
      <c r="B193" s="46">
        <v>1.1000000000000001</v>
      </c>
      <c r="C193" s="2" t="s">
        <v>167</v>
      </c>
      <c r="E193" s="2" t="s">
        <v>168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54">
        <v>0</v>
      </c>
    </row>
    <row r="194" spans="1:20" x14ac:dyDescent="0.2">
      <c r="A194" s="47">
        <f>+A193+1</f>
        <v>136</v>
      </c>
      <c r="B194" s="46">
        <v>1.1000000000000001</v>
      </c>
      <c r="C194" s="2" t="s">
        <v>167</v>
      </c>
      <c r="E194" s="2" t="s">
        <v>54</v>
      </c>
      <c r="H194" s="11">
        <v>101810.29</v>
      </c>
      <c r="I194" s="11">
        <v>101810.29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54">
        <v>0</v>
      </c>
    </row>
    <row r="195" spans="1:20" x14ac:dyDescent="0.2">
      <c r="A195" s="47">
        <f t="shared" ref="A195:A199" si="48">+A194+1</f>
        <v>137</v>
      </c>
      <c r="B195" s="46">
        <v>44</v>
      </c>
      <c r="C195" s="47" t="s">
        <v>167</v>
      </c>
      <c r="E195" s="2" t="s">
        <v>91</v>
      </c>
      <c r="H195" s="11">
        <v>8717550.8699999992</v>
      </c>
      <c r="I195" s="11">
        <v>0</v>
      </c>
      <c r="J195" s="11">
        <v>1017919.8684220865</v>
      </c>
      <c r="K195" s="11">
        <v>3227639.6579149077</v>
      </c>
      <c r="L195" s="11">
        <v>2790930.9160788096</v>
      </c>
      <c r="M195" s="11">
        <v>1480511.0551266475</v>
      </c>
      <c r="N195" s="11">
        <v>192817.63339951981</v>
      </c>
      <c r="O195" s="11">
        <v>7731.7390580268384</v>
      </c>
      <c r="P195" s="11">
        <v>0</v>
      </c>
      <c r="Q195" s="11">
        <v>0</v>
      </c>
      <c r="R195" s="11">
        <v>0</v>
      </c>
      <c r="S195" s="11">
        <v>0</v>
      </c>
      <c r="T195" s="54"/>
    </row>
    <row r="196" spans="1:20" x14ac:dyDescent="0.2">
      <c r="A196" s="47">
        <f t="shared" si="48"/>
        <v>138</v>
      </c>
      <c r="B196" s="46">
        <v>40</v>
      </c>
      <c r="C196" s="47" t="s">
        <v>167</v>
      </c>
      <c r="E196" s="2" t="s">
        <v>93</v>
      </c>
      <c r="H196" s="11">
        <v>418815.24</v>
      </c>
      <c r="I196" s="11">
        <v>11962.973761763813</v>
      </c>
      <c r="J196" s="11">
        <v>34161.129222089301</v>
      </c>
      <c r="K196" s="11">
        <v>108318.75755337099</v>
      </c>
      <c r="L196" s="11">
        <v>94765.108609851668</v>
      </c>
      <c r="M196" s="11">
        <v>58216.123437545502</v>
      </c>
      <c r="N196" s="11">
        <v>4440.5092781382264</v>
      </c>
      <c r="O196" s="11">
        <v>57.051386930723112</v>
      </c>
      <c r="P196" s="11">
        <v>95005.617782509929</v>
      </c>
      <c r="Q196" s="11">
        <v>1933.9221289982704</v>
      </c>
      <c r="R196" s="11">
        <v>2990.257390512551</v>
      </c>
      <c r="S196" s="11">
        <v>6963.7894482889824</v>
      </c>
      <c r="T196" s="54"/>
    </row>
    <row r="197" spans="1:20" x14ac:dyDescent="0.2">
      <c r="A197" s="47">
        <f t="shared" si="48"/>
        <v>139</v>
      </c>
      <c r="B197" s="46">
        <v>47</v>
      </c>
      <c r="C197" s="58" t="s">
        <v>167</v>
      </c>
      <c r="E197" s="2" t="s">
        <v>169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54">
        <v>0</v>
      </c>
    </row>
    <row r="198" spans="1:20" x14ac:dyDescent="0.2">
      <c r="A198" s="50">
        <f t="shared" si="48"/>
        <v>140</v>
      </c>
      <c r="B198" s="49">
        <v>47</v>
      </c>
      <c r="C198" s="50"/>
      <c r="D198" s="51"/>
      <c r="E198" s="51" t="s">
        <v>260</v>
      </c>
      <c r="F198" s="51"/>
      <c r="G198" s="51"/>
      <c r="H198" s="10">
        <v>189825.15333333332</v>
      </c>
      <c r="I198" s="10">
        <v>3182.9105915430287</v>
      </c>
      <c r="J198" s="10">
        <v>21193.372132828837</v>
      </c>
      <c r="K198" s="10">
        <v>67200.347004625568</v>
      </c>
      <c r="L198" s="10">
        <v>58157.522192452314</v>
      </c>
      <c r="M198" s="10">
        <v>31208.315799018383</v>
      </c>
      <c r="N198" s="10">
        <v>3923.1975243096567</v>
      </c>
      <c r="O198" s="10">
        <v>151.87278325720629</v>
      </c>
      <c r="P198" s="10">
        <v>4272.9454219496274</v>
      </c>
      <c r="Q198" s="10">
        <v>86.979527109938061</v>
      </c>
      <c r="R198" s="10">
        <v>134.48895892126777</v>
      </c>
      <c r="S198" s="10">
        <v>313.20139731742734</v>
      </c>
      <c r="T198" s="56">
        <v>0</v>
      </c>
    </row>
    <row r="199" spans="1:20" x14ac:dyDescent="0.2">
      <c r="A199" s="47">
        <f t="shared" si="48"/>
        <v>141</v>
      </c>
      <c r="D199" s="2" t="s">
        <v>170</v>
      </c>
      <c r="H199" s="11">
        <f t="shared" ref="H199:S199" si="49">SUM(H192:H198)</f>
        <v>10965713.653333332</v>
      </c>
      <c r="I199" s="11">
        <f t="shared" si="49"/>
        <v>160879.14502993916</v>
      </c>
      <c r="J199" s="11">
        <f t="shared" si="49"/>
        <v>1198699.5614545336</v>
      </c>
      <c r="K199" s="11">
        <f t="shared" si="49"/>
        <v>3800859.3431556532</v>
      </c>
      <c r="L199" s="11">
        <f t="shared" si="49"/>
        <v>3291790.8716240786</v>
      </c>
      <c r="M199" s="11">
        <f t="shared" si="49"/>
        <v>1783680.4321668292</v>
      </c>
      <c r="N199" s="11">
        <f t="shared" si="49"/>
        <v>217485.00872930067</v>
      </c>
      <c r="O199" s="11">
        <f t="shared" si="49"/>
        <v>8150.131747089953</v>
      </c>
      <c r="P199" s="11">
        <f t="shared" si="49"/>
        <v>448098.9357203705</v>
      </c>
      <c r="Q199" s="11">
        <f t="shared" si="49"/>
        <v>9121.4442682118188</v>
      </c>
      <c r="R199" s="11">
        <f t="shared" si="49"/>
        <v>14103.704449204908</v>
      </c>
      <c r="S199" s="11">
        <f t="shared" si="49"/>
        <v>32845.074988118249</v>
      </c>
      <c r="T199" s="54">
        <f t="shared" ref="T199" si="50">SUM(I199:S199)-H199</f>
        <v>0</v>
      </c>
    </row>
    <row r="200" spans="1:20" x14ac:dyDescent="0.2">
      <c r="A200" s="47"/>
      <c r="H200" s="54"/>
      <c r="T200" s="54"/>
    </row>
    <row r="201" spans="1:20" x14ac:dyDescent="0.2">
      <c r="A201" s="47"/>
      <c r="D201" s="2" t="s">
        <v>171</v>
      </c>
      <c r="H201" s="11"/>
      <c r="T201" s="54"/>
    </row>
    <row r="202" spans="1:20" x14ac:dyDescent="0.2">
      <c r="A202" s="47">
        <f>+A199+1</f>
        <v>142</v>
      </c>
      <c r="B202" s="46">
        <v>58.1</v>
      </c>
      <c r="C202" s="47" t="s">
        <v>172</v>
      </c>
      <c r="E202" s="2" t="s">
        <v>173</v>
      </c>
      <c r="H202" s="11">
        <v>815989.8018069946</v>
      </c>
      <c r="I202" s="11">
        <v>29575.672043670384</v>
      </c>
      <c r="J202" s="11">
        <v>58945.959786867956</v>
      </c>
      <c r="K202" s="11">
        <v>186906.96918695129</v>
      </c>
      <c r="L202" s="11">
        <v>168597.77677720631</v>
      </c>
      <c r="M202" s="11">
        <v>257525.59906413383</v>
      </c>
      <c r="N202" s="11">
        <v>27465.800572487507</v>
      </c>
      <c r="O202" s="11">
        <v>69.982688280463549</v>
      </c>
      <c r="P202" s="11">
        <v>58028.627837514134</v>
      </c>
      <c r="Q202" s="11">
        <v>480.1397420335926</v>
      </c>
      <c r="R202" s="11">
        <v>742.39877116377102</v>
      </c>
      <c r="S202" s="11">
        <v>27650.875336685342</v>
      </c>
      <c r="T202" s="54">
        <v>0</v>
      </c>
    </row>
    <row r="203" spans="1:20" x14ac:dyDescent="0.2">
      <c r="A203" s="47">
        <f>+A202+1</f>
        <v>143</v>
      </c>
      <c r="B203" s="46">
        <v>46</v>
      </c>
      <c r="C203" s="47" t="s">
        <v>174</v>
      </c>
      <c r="E203" s="2" t="s">
        <v>175</v>
      </c>
      <c r="H203" s="11">
        <v>1567010.8599999999</v>
      </c>
      <c r="I203" s="11">
        <v>34201.558932161286</v>
      </c>
      <c r="J203" s="11">
        <v>175884.42618099591</v>
      </c>
      <c r="K203" s="11">
        <v>557697.68010461202</v>
      </c>
      <c r="L203" s="11">
        <v>482495.36026180733</v>
      </c>
      <c r="M203" s="11">
        <v>257794.07955401001</v>
      </c>
      <c r="N203" s="11">
        <v>32845.46091223757</v>
      </c>
      <c r="O203" s="11">
        <v>1288.9825036743828</v>
      </c>
      <c r="P203" s="11">
        <v>22044.857961514412</v>
      </c>
      <c r="Q203" s="11">
        <v>448.74229163998922</v>
      </c>
      <c r="R203" s="11">
        <v>693.85159510381538</v>
      </c>
      <c r="S203" s="11">
        <v>1615.8597022426279</v>
      </c>
      <c r="T203" s="54">
        <v>0</v>
      </c>
    </row>
    <row r="204" spans="1:20" x14ac:dyDescent="0.2">
      <c r="A204" s="47">
        <f t="shared" ref="A204:A206" si="51">+A203+1</f>
        <v>144</v>
      </c>
      <c r="B204" s="46">
        <v>39</v>
      </c>
      <c r="C204" s="47" t="s">
        <v>176</v>
      </c>
      <c r="E204" s="2" t="s">
        <v>177</v>
      </c>
      <c r="H204" s="11">
        <v>17631</v>
      </c>
      <c r="I204" s="11">
        <v>390.01558175728127</v>
      </c>
      <c r="J204" s="11">
        <v>1955.2569530353971</v>
      </c>
      <c r="K204" s="11">
        <v>6199.7658939633511</v>
      </c>
      <c r="L204" s="11">
        <v>5365.7032536794432</v>
      </c>
      <c r="M204" s="11">
        <v>2880.8387838918015</v>
      </c>
      <c r="N204" s="11">
        <v>361.55967182362804</v>
      </c>
      <c r="O204" s="11">
        <v>13.972941318904182</v>
      </c>
      <c r="P204" s="11">
        <v>412.29661017122726</v>
      </c>
      <c r="Q204" s="11">
        <v>8.392656736851384</v>
      </c>
      <c r="R204" s="11">
        <v>12.976842995433374</v>
      </c>
      <c r="S204" s="11">
        <v>30.220810626677199</v>
      </c>
      <c r="T204" s="54">
        <v>0</v>
      </c>
    </row>
    <row r="205" spans="1:20" x14ac:dyDescent="0.2">
      <c r="A205" s="50">
        <f t="shared" si="51"/>
        <v>145</v>
      </c>
      <c r="B205" s="49">
        <v>39</v>
      </c>
      <c r="C205" s="50">
        <v>408181</v>
      </c>
      <c r="D205" s="51"/>
      <c r="E205" s="51" t="s">
        <v>178</v>
      </c>
      <c r="F205" s="51"/>
      <c r="G205" s="51"/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56">
        <v>0</v>
      </c>
    </row>
    <row r="206" spans="1:20" x14ac:dyDescent="0.2">
      <c r="A206" s="47">
        <f t="shared" si="51"/>
        <v>146</v>
      </c>
      <c r="C206" s="47"/>
      <c r="D206" s="2" t="s">
        <v>179</v>
      </c>
      <c r="H206" s="11">
        <f t="shared" ref="H206:S206" si="52">SUM(H202:H205)</f>
        <v>2400631.6618069946</v>
      </c>
      <c r="I206" s="11">
        <f t="shared" si="52"/>
        <v>64167.246557588951</v>
      </c>
      <c r="J206" s="11">
        <f t="shared" si="52"/>
        <v>236785.64292089926</v>
      </c>
      <c r="K206" s="11">
        <f t="shared" si="52"/>
        <v>750804.41518552671</v>
      </c>
      <c r="L206" s="11">
        <f t="shared" si="52"/>
        <v>656458.84029269312</v>
      </c>
      <c r="M206" s="11">
        <f t="shared" si="52"/>
        <v>518200.51740203565</v>
      </c>
      <c r="N206" s="11">
        <f t="shared" si="52"/>
        <v>60672.821156548707</v>
      </c>
      <c r="O206" s="11">
        <f t="shared" si="52"/>
        <v>1372.9381332737505</v>
      </c>
      <c r="P206" s="11">
        <f t="shared" si="52"/>
        <v>80485.782409199761</v>
      </c>
      <c r="Q206" s="11">
        <f t="shared" si="52"/>
        <v>937.27469041043321</v>
      </c>
      <c r="R206" s="11">
        <f t="shared" si="52"/>
        <v>1449.2272092630196</v>
      </c>
      <c r="S206" s="11">
        <f t="shared" si="52"/>
        <v>29296.955849554648</v>
      </c>
      <c r="T206" s="54">
        <f t="shared" ref="T206" si="53">SUM(I206:S206)-H206</f>
        <v>0</v>
      </c>
    </row>
    <row r="207" spans="1:20" x14ac:dyDescent="0.2">
      <c r="A207" s="47"/>
      <c r="C207" s="47"/>
      <c r="H207" s="54"/>
      <c r="T207" s="54"/>
    </row>
    <row r="208" spans="1:20" x14ac:dyDescent="0.2">
      <c r="A208" s="47">
        <f>+A206+1</f>
        <v>147</v>
      </c>
      <c r="B208" s="5"/>
      <c r="C208" s="6"/>
      <c r="D208" s="2" t="s">
        <v>119</v>
      </c>
      <c r="H208" s="11">
        <f t="shared" ref="H208:S208" si="54">H199+H206</f>
        <v>13366345.315140327</v>
      </c>
      <c r="I208" s="11">
        <f t="shared" si="54"/>
        <v>225046.39158752811</v>
      </c>
      <c r="J208" s="11">
        <f t="shared" si="54"/>
        <v>1435485.2043754328</v>
      </c>
      <c r="K208" s="11">
        <f t="shared" si="54"/>
        <v>4551663.7583411802</v>
      </c>
      <c r="L208" s="11">
        <f t="shared" si="54"/>
        <v>3948249.7119167717</v>
      </c>
      <c r="M208" s="11">
        <f t="shared" si="54"/>
        <v>2301880.9495688649</v>
      </c>
      <c r="N208" s="11">
        <f t="shared" si="54"/>
        <v>278157.82988584938</v>
      </c>
      <c r="O208" s="11">
        <f t="shared" si="54"/>
        <v>9523.0698803637042</v>
      </c>
      <c r="P208" s="11">
        <f t="shared" si="54"/>
        <v>528584.71812957025</v>
      </c>
      <c r="Q208" s="11">
        <f t="shared" si="54"/>
        <v>10058.718958622252</v>
      </c>
      <c r="R208" s="11">
        <f t="shared" si="54"/>
        <v>15552.931658467927</v>
      </c>
      <c r="S208" s="11">
        <f t="shared" si="54"/>
        <v>62142.030837672894</v>
      </c>
      <c r="T208" s="54">
        <f>SUM(I208:S208)-H208</f>
        <v>0</v>
      </c>
    </row>
    <row r="209" spans="1:20" x14ac:dyDescent="0.2">
      <c r="A209" s="47"/>
      <c r="H209" s="54"/>
      <c r="T209" s="54"/>
    </row>
    <row r="210" spans="1:20" ht="18" x14ac:dyDescent="0.25">
      <c r="A210" s="4" t="s">
        <v>180</v>
      </c>
      <c r="B210" s="2"/>
      <c r="C210" s="4"/>
      <c r="H210" s="54"/>
      <c r="T210" s="54"/>
    </row>
    <row r="211" spans="1:20" x14ac:dyDescent="0.2">
      <c r="A211" s="47"/>
      <c r="C211" s="47"/>
      <c r="H211" s="11"/>
      <c r="I211" s="11"/>
      <c r="T211" s="54"/>
    </row>
    <row r="212" spans="1:20" x14ac:dyDescent="0.2">
      <c r="A212" s="47">
        <f>+A208+1</f>
        <v>148</v>
      </c>
      <c r="C212" s="47" t="s">
        <v>181</v>
      </c>
      <c r="D212" s="2" t="s">
        <v>182</v>
      </c>
      <c r="H212" s="11">
        <v>39244301.447882377</v>
      </c>
      <c r="I212" s="11">
        <f>(I$238*I$255+I$86*$H$261+I$245+I$246+I$249+I$250)/(1-'Statement N(1)'!I$255)-I$224+I$231</f>
        <v>960489.31684132735</v>
      </c>
      <c r="J212" s="11">
        <f>(J$238*J$255+J$86*$H$261+J$245+J$246+J$249+J$250)/(1-'Statement N(1)'!J$255)-J$224+J$231</f>
        <v>3799303.0458260239</v>
      </c>
      <c r="K212" s="11">
        <f>(K$238*K$255+K$86*$H$261+K$245+K$246+K$249+K$250)/(1-'Statement N(1)'!K$255)-K$224+K$231</f>
        <v>12046902.279404316</v>
      </c>
      <c r="L212" s="11">
        <f>(L$238*L$255+L$86*$H$261+L$245+L$246+L$249+L$250)/(1-'Statement N(1)'!L$255)-L$224+L$231</f>
        <v>10480067.85328407</v>
      </c>
      <c r="M212" s="11">
        <f>(M$238*M$255+M$86*$H$261+M$245+M$246+M$249+M$250)/(1-'Statement N(1)'!M$255)-M$224+M$231</f>
        <v>6398864.4457139391</v>
      </c>
      <c r="N212" s="11">
        <f>(N$238*N$255+N$86*$H$261+N$245+N$246+N$249+N$250)/(1-'Statement N(1)'!N$255)-N$224+N$231</f>
        <v>685837.29917142587</v>
      </c>
      <c r="O212" s="11">
        <f>(O$238*O$255+O$86*$H$261+O$245+O$246+O$249+O$250)/(1-'Statement N(1)'!O$255)-O$224+O$231</f>
        <v>19501.873094635601</v>
      </c>
      <c r="P212" s="11">
        <f>(P$238*P$255+P$86*$H$261+P$245+P$246+P$249+P$250)/(1-'Statement N(1)'!P$255)-P$224+P$231</f>
        <v>4277920.4394488791</v>
      </c>
      <c r="Q212" s="11">
        <f>(Q$238*Q$255+Q$86*$H$261+Q$245+Q$246+Q$249+Q$250)/(1-'Statement N(1)'!Q$255)-Q$224+Q$231</f>
        <v>81358.371134478264</v>
      </c>
      <c r="R212" s="11">
        <f>(R$238*R$255+R$86*$H$261+R$245+R$246+R$249+R$250)/(1-'Statement N(1)'!R$255)-R$224+R$231</f>
        <v>125797.44908909629</v>
      </c>
      <c r="S212" s="11">
        <f>(S$238*S$255+S$86*$H$261+S$245+S$246+S$249+S$250)/(1-'Statement N(1)'!S$255)-S$224+S$231</f>
        <v>368259.07487418462</v>
      </c>
      <c r="T212" s="54">
        <f>SUM(I212:S212)-H212</f>
        <v>0</v>
      </c>
    </row>
    <row r="213" spans="1:20" x14ac:dyDescent="0.2">
      <c r="A213" s="47"/>
      <c r="C213" s="47"/>
      <c r="K213" s="11"/>
      <c r="T213" s="54"/>
    </row>
    <row r="214" spans="1:20" x14ac:dyDescent="0.2">
      <c r="A214" s="47"/>
      <c r="C214" s="47"/>
      <c r="D214" s="2" t="s">
        <v>183</v>
      </c>
      <c r="H214" s="11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</row>
    <row r="215" spans="1:20" x14ac:dyDescent="0.2">
      <c r="A215" s="47">
        <f>+A212+1</f>
        <v>149</v>
      </c>
      <c r="B215" s="46">
        <v>1.9</v>
      </c>
      <c r="C215" s="47">
        <v>481</v>
      </c>
      <c r="E215" s="2" t="s">
        <v>184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54">
        <v>0</v>
      </c>
    </row>
    <row r="216" spans="1:20" x14ac:dyDescent="0.2">
      <c r="A216" s="47">
        <f>+A215+1</f>
        <v>150</v>
      </c>
      <c r="B216" s="46">
        <v>1.9</v>
      </c>
      <c r="C216" s="47">
        <v>483</v>
      </c>
      <c r="E216" s="2" t="s">
        <v>185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54">
        <v>0</v>
      </c>
    </row>
    <row r="217" spans="1:20" x14ac:dyDescent="0.2">
      <c r="A217" s="47">
        <f t="shared" ref="A217:A224" si="55">+A216+1</f>
        <v>151</v>
      </c>
      <c r="B217" s="46">
        <v>1.9</v>
      </c>
      <c r="C217" s="47">
        <v>484</v>
      </c>
      <c r="E217" s="2" t="s">
        <v>186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54">
        <v>0</v>
      </c>
    </row>
    <row r="218" spans="1:20" x14ac:dyDescent="0.2">
      <c r="A218" s="47">
        <f t="shared" si="55"/>
        <v>152</v>
      </c>
      <c r="B218" s="46">
        <v>1.7</v>
      </c>
      <c r="C218" s="47">
        <v>487011</v>
      </c>
      <c r="E218" s="2" t="s">
        <v>187</v>
      </c>
      <c r="H218" s="11">
        <v>-0.19000000000232831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-0.19000000000232831</v>
      </c>
      <c r="Q218" s="11">
        <v>0</v>
      </c>
      <c r="R218" s="11">
        <v>0</v>
      </c>
      <c r="S218" s="11">
        <v>0</v>
      </c>
      <c r="T218" s="54">
        <v>0</v>
      </c>
    </row>
    <row r="219" spans="1:20" x14ac:dyDescent="0.2">
      <c r="A219" s="47">
        <f t="shared" si="55"/>
        <v>153</v>
      </c>
      <c r="B219" s="46">
        <v>1.7</v>
      </c>
      <c r="C219" s="47">
        <v>488</v>
      </c>
      <c r="E219" s="2" t="s">
        <v>188</v>
      </c>
      <c r="H219" s="11">
        <v>183208.08000000002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183208.08000000002</v>
      </c>
      <c r="Q219" s="11">
        <v>0</v>
      </c>
      <c r="R219" s="11">
        <v>0</v>
      </c>
      <c r="S219" s="11">
        <v>0</v>
      </c>
      <c r="T219" s="54">
        <v>0</v>
      </c>
    </row>
    <row r="220" spans="1:20" x14ac:dyDescent="0.2">
      <c r="A220" s="47">
        <f t="shared" si="55"/>
        <v>154</v>
      </c>
      <c r="B220" s="46">
        <v>1.8</v>
      </c>
      <c r="C220" s="47">
        <v>489</v>
      </c>
      <c r="E220" s="2" t="s">
        <v>189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54">
        <v>0</v>
      </c>
    </row>
    <row r="221" spans="1:20" x14ac:dyDescent="0.2">
      <c r="A221" s="47">
        <f t="shared" si="55"/>
        <v>155</v>
      </c>
      <c r="B221" s="46">
        <v>47</v>
      </c>
      <c r="C221" s="47">
        <v>493001</v>
      </c>
      <c r="E221" s="2" t="s">
        <v>190</v>
      </c>
      <c r="H221" s="11">
        <v>53174.669999999991</v>
      </c>
      <c r="I221" s="11">
        <v>891.61113462978017</v>
      </c>
      <c r="J221" s="11">
        <v>5936.782083728609</v>
      </c>
      <c r="K221" s="11">
        <v>18824.461422041535</v>
      </c>
      <c r="L221" s="11">
        <v>16291.34493662639</v>
      </c>
      <c r="M221" s="11">
        <v>8742.2128454942831</v>
      </c>
      <c r="N221" s="11">
        <v>1098.9836174853765</v>
      </c>
      <c r="O221" s="11">
        <v>42.543282541183437</v>
      </c>
      <c r="P221" s="11">
        <v>1196.956561079114</v>
      </c>
      <c r="Q221" s="11">
        <v>24.365093717086648</v>
      </c>
      <c r="R221" s="11">
        <v>37.673648005562711</v>
      </c>
      <c r="S221" s="11">
        <v>87.735374651050364</v>
      </c>
      <c r="T221" s="54">
        <v>0</v>
      </c>
    </row>
    <row r="222" spans="1:20" x14ac:dyDescent="0.2">
      <c r="A222" s="47">
        <f t="shared" si="55"/>
        <v>156</v>
      </c>
      <c r="B222" s="46">
        <v>39</v>
      </c>
      <c r="C222" s="47">
        <v>495051</v>
      </c>
      <c r="E222" s="2" t="s">
        <v>191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54">
        <v>0</v>
      </c>
    </row>
    <row r="223" spans="1:20" x14ac:dyDescent="0.2">
      <c r="A223" s="50">
        <f t="shared" si="55"/>
        <v>157</v>
      </c>
      <c r="B223" s="49">
        <v>39</v>
      </c>
      <c r="C223" s="50">
        <v>495061</v>
      </c>
      <c r="D223" s="51"/>
      <c r="E223" s="51" t="s">
        <v>192</v>
      </c>
      <c r="F223" s="51"/>
      <c r="G223" s="51"/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56">
        <v>0</v>
      </c>
    </row>
    <row r="224" spans="1:20" x14ac:dyDescent="0.2">
      <c r="A224" s="47">
        <f t="shared" si="55"/>
        <v>158</v>
      </c>
      <c r="C224" s="47"/>
      <c r="D224" s="2" t="s">
        <v>193</v>
      </c>
      <c r="H224" s="11">
        <f t="shared" ref="H224:S224" si="56">SUM(H215:H223)</f>
        <v>236382.56</v>
      </c>
      <c r="I224" s="11">
        <f t="shared" si="56"/>
        <v>891.61113462978017</v>
      </c>
      <c r="J224" s="11">
        <f t="shared" si="56"/>
        <v>5936.782083728609</v>
      </c>
      <c r="K224" s="11">
        <f t="shared" si="56"/>
        <v>18824.461422041535</v>
      </c>
      <c r="L224" s="11">
        <f t="shared" si="56"/>
        <v>16291.34493662639</v>
      </c>
      <c r="M224" s="11">
        <f t="shared" si="56"/>
        <v>8742.2128454942831</v>
      </c>
      <c r="N224" s="11">
        <f t="shared" si="56"/>
        <v>1098.9836174853765</v>
      </c>
      <c r="O224" s="11">
        <f t="shared" si="56"/>
        <v>42.543282541183437</v>
      </c>
      <c r="P224" s="11">
        <f t="shared" si="56"/>
        <v>184404.84656107912</v>
      </c>
      <c r="Q224" s="11">
        <f t="shared" si="56"/>
        <v>24.365093717086648</v>
      </c>
      <c r="R224" s="11">
        <f t="shared" si="56"/>
        <v>37.673648005562711</v>
      </c>
      <c r="S224" s="11">
        <f t="shared" si="56"/>
        <v>87.735374651050364</v>
      </c>
      <c r="T224" s="54">
        <f>SUM(I224:S224)-H224</f>
        <v>0</v>
      </c>
    </row>
    <row r="225" spans="1:20" x14ac:dyDescent="0.2">
      <c r="A225" s="47"/>
      <c r="C225" s="47"/>
      <c r="H225" s="11"/>
      <c r="I225" s="11"/>
      <c r="T225" s="54"/>
    </row>
    <row r="226" spans="1:20" x14ac:dyDescent="0.2">
      <c r="A226" s="47">
        <f>+A224+1</f>
        <v>159</v>
      </c>
      <c r="B226" s="5"/>
      <c r="C226" s="6"/>
      <c r="D226" s="7" t="s">
        <v>194</v>
      </c>
      <c r="E226" s="7"/>
      <c r="F226" s="7"/>
      <c r="H226" s="8">
        <f>H212+H224</f>
        <v>39480684.007882379</v>
      </c>
      <c r="I226" s="8">
        <f>I212+I224</f>
        <v>961380.92797595717</v>
      </c>
      <c r="J226" s="8">
        <f t="shared" ref="J226:R226" si="57">J212+J224</f>
        <v>3805239.8279097527</v>
      </c>
      <c r="K226" s="8">
        <f t="shared" si="57"/>
        <v>12065726.740826357</v>
      </c>
      <c r="L226" s="8">
        <f t="shared" si="57"/>
        <v>10496359.198220696</v>
      </c>
      <c r="M226" s="8">
        <f t="shared" si="57"/>
        <v>6407606.6585594332</v>
      </c>
      <c r="N226" s="8">
        <f t="shared" si="57"/>
        <v>686936.28278891125</v>
      </c>
      <c r="O226" s="8">
        <f t="shared" si="57"/>
        <v>19544.416377176785</v>
      </c>
      <c r="P226" s="8">
        <f t="shared" si="57"/>
        <v>4462325.286009958</v>
      </c>
      <c r="Q226" s="8">
        <f t="shared" si="57"/>
        <v>81382.736228195354</v>
      </c>
      <c r="R226" s="8">
        <f t="shared" si="57"/>
        <v>125835.12273710186</v>
      </c>
      <c r="S226" s="8">
        <f>S212+S224</f>
        <v>368346.81024883565</v>
      </c>
      <c r="T226" s="54">
        <f>SUM(I226:S226)-H226</f>
        <v>0</v>
      </c>
    </row>
    <row r="227" spans="1:20" x14ac:dyDescent="0.2">
      <c r="A227" s="47"/>
      <c r="H227" s="54"/>
      <c r="S227" s="54"/>
      <c r="T227" s="54"/>
    </row>
    <row r="228" spans="1:20" x14ac:dyDescent="0.2">
      <c r="A228" s="47"/>
      <c r="D228" s="2" t="s">
        <v>195</v>
      </c>
      <c r="H228" s="11"/>
      <c r="T228" s="54"/>
    </row>
    <row r="229" spans="1:20" x14ac:dyDescent="0.2">
      <c r="A229" s="47">
        <f>+A226+1</f>
        <v>160</v>
      </c>
      <c r="E229" s="2" t="s">
        <v>196</v>
      </c>
      <c r="H229" s="11">
        <f>'Statement N(1)'!H188</f>
        <v>16793257.068939619</v>
      </c>
      <c r="I229" s="11">
        <f>'Statement N(1)'!I188</f>
        <v>525572.67106506636</v>
      </c>
      <c r="J229" s="11">
        <f>'Statement N(1)'!J188</f>
        <v>1332989.4406348993</v>
      </c>
      <c r="K229" s="11">
        <f>'Statement N(1)'!K188</f>
        <v>4226668.2433896577</v>
      </c>
      <c r="L229" s="11">
        <f>'Statement N(1)'!L188</f>
        <v>3706125.5628149984</v>
      </c>
      <c r="M229" s="11">
        <f>'Statement N(1)'!M188</f>
        <v>2563458.5237787822</v>
      </c>
      <c r="N229" s="11">
        <f>'Statement N(1)'!N188</f>
        <v>214218.14870165999</v>
      </c>
      <c r="O229" s="11">
        <f>'Statement N(1)'!O188</f>
        <v>2441.9082230962713</v>
      </c>
      <c r="P229" s="11">
        <f>'Statement N(1)'!P188</f>
        <v>3757662.2191902404</v>
      </c>
      <c r="Q229" s="11">
        <f>'Statement N(1)'!Q188</f>
        <v>67361.593723557438</v>
      </c>
      <c r="R229" s="11">
        <f>'Statement N(1)'!R188</f>
        <v>104155.4364822885</v>
      </c>
      <c r="S229" s="11">
        <f>'Statement N(1)'!S188</f>
        <v>292603.32093537331</v>
      </c>
      <c r="T229" s="54">
        <f t="shared" ref="T229:T231" si="58">SUM(I229:S229)-H229</f>
        <v>0</v>
      </c>
    </row>
    <row r="230" spans="1:20" x14ac:dyDescent="0.2">
      <c r="A230" s="50">
        <f>+A229+1</f>
        <v>161</v>
      </c>
      <c r="B230" s="49"/>
      <c r="C230" s="51"/>
      <c r="D230" s="51"/>
      <c r="E230" s="51" t="s">
        <v>197</v>
      </c>
      <c r="F230" s="51"/>
      <c r="G230" s="51"/>
      <c r="H230" s="10">
        <f>'Statement N(1)'!H208</f>
        <v>13366345.315140327</v>
      </c>
      <c r="I230" s="10">
        <f>'Statement N(1)'!I208</f>
        <v>225046.39158752811</v>
      </c>
      <c r="J230" s="10">
        <f>'Statement N(1)'!J208</f>
        <v>1435485.2043754328</v>
      </c>
      <c r="K230" s="10">
        <f>'Statement N(1)'!K208</f>
        <v>4551663.7583411802</v>
      </c>
      <c r="L230" s="10">
        <f>'Statement N(1)'!L208</f>
        <v>3948249.7119167717</v>
      </c>
      <c r="M230" s="10">
        <f>'Statement N(1)'!M208</f>
        <v>2301880.9495688649</v>
      </c>
      <c r="N230" s="10">
        <f>'Statement N(1)'!N208</f>
        <v>278157.82988584938</v>
      </c>
      <c r="O230" s="10">
        <f>'Statement N(1)'!O208</f>
        <v>9523.0698803637042</v>
      </c>
      <c r="P230" s="10">
        <f>'Statement N(1)'!P208</f>
        <v>528584.71812957025</v>
      </c>
      <c r="Q230" s="10">
        <f>'Statement N(1)'!Q208</f>
        <v>10058.718958622252</v>
      </c>
      <c r="R230" s="10">
        <f>'Statement N(1)'!R208</f>
        <v>15552.931658467927</v>
      </c>
      <c r="S230" s="10">
        <f>'Statement N(1)'!S208</f>
        <v>62142.030837672894</v>
      </c>
      <c r="T230" s="56">
        <f t="shared" si="58"/>
        <v>0</v>
      </c>
    </row>
    <row r="231" spans="1:20" x14ac:dyDescent="0.2">
      <c r="A231" s="47">
        <f>+A230+1</f>
        <v>162</v>
      </c>
      <c r="D231" s="2" t="s">
        <v>195</v>
      </c>
      <c r="H231" s="11">
        <f t="shared" ref="H231:S231" si="59">SUM(H229:H230)</f>
        <v>30159602.384079948</v>
      </c>
      <c r="I231" s="11">
        <f t="shared" si="59"/>
        <v>750619.06265259441</v>
      </c>
      <c r="J231" s="11">
        <f t="shared" si="59"/>
        <v>2768474.6450103321</v>
      </c>
      <c r="K231" s="11">
        <f t="shared" si="59"/>
        <v>8778332.0017308369</v>
      </c>
      <c r="L231" s="11">
        <f t="shared" si="59"/>
        <v>7654375.2747317702</v>
      </c>
      <c r="M231" s="11">
        <f t="shared" si="59"/>
        <v>4865339.4733476471</v>
      </c>
      <c r="N231" s="11">
        <f t="shared" si="59"/>
        <v>492375.97858750937</v>
      </c>
      <c r="O231" s="11">
        <f t="shared" si="59"/>
        <v>11964.978103459976</v>
      </c>
      <c r="P231" s="11">
        <f t="shared" si="59"/>
        <v>4286246.9373198105</v>
      </c>
      <c r="Q231" s="11">
        <f t="shared" si="59"/>
        <v>77420.31268217969</v>
      </c>
      <c r="R231" s="11">
        <f t="shared" si="59"/>
        <v>119708.36814075643</v>
      </c>
      <c r="S231" s="11">
        <f t="shared" si="59"/>
        <v>354745.35177304619</v>
      </c>
      <c r="T231" s="54">
        <f t="shared" si="58"/>
        <v>0</v>
      </c>
    </row>
    <row r="232" spans="1:20" x14ac:dyDescent="0.2">
      <c r="A232" s="47"/>
      <c r="H232" s="54"/>
      <c r="T232" s="54"/>
    </row>
    <row r="233" spans="1:20" x14ac:dyDescent="0.2">
      <c r="A233" s="47">
        <f>+A231+1</f>
        <v>163</v>
      </c>
      <c r="D233" s="2" t="s">
        <v>198</v>
      </c>
      <c r="H233" s="11">
        <f t="shared" ref="H233:S233" si="60">H226-H231</f>
        <v>9321081.6238024309</v>
      </c>
      <c r="I233" s="11">
        <f>I226-I231</f>
        <v>210761.86532336276</v>
      </c>
      <c r="J233" s="11">
        <f t="shared" si="60"/>
        <v>1036765.1828994206</v>
      </c>
      <c r="K233" s="11">
        <f t="shared" si="60"/>
        <v>3287394.7390955202</v>
      </c>
      <c r="L233" s="11">
        <f t="shared" si="60"/>
        <v>2841983.9234889261</v>
      </c>
      <c r="M233" s="11">
        <f t="shared" si="60"/>
        <v>1542267.1852117861</v>
      </c>
      <c r="N233" s="11">
        <f t="shared" si="60"/>
        <v>194560.30420140189</v>
      </c>
      <c r="O233" s="11">
        <f t="shared" si="60"/>
        <v>7579.4382737168089</v>
      </c>
      <c r="P233" s="11">
        <f t="shared" si="60"/>
        <v>176078.34869014751</v>
      </c>
      <c r="Q233" s="11">
        <f t="shared" si="60"/>
        <v>3962.4235460156633</v>
      </c>
      <c r="R233" s="11">
        <f t="shared" si="60"/>
        <v>6126.7545963454322</v>
      </c>
      <c r="S233" s="11">
        <f t="shared" si="60"/>
        <v>13601.458475789463</v>
      </c>
      <c r="T233" s="54">
        <f>SUM(I233:S233)-H233</f>
        <v>0</v>
      </c>
    </row>
    <row r="234" spans="1:20" x14ac:dyDescent="0.2">
      <c r="A234" s="47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54"/>
    </row>
    <row r="235" spans="1:20" x14ac:dyDescent="0.2">
      <c r="A235" s="47"/>
      <c r="D235" s="2" t="s">
        <v>199</v>
      </c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54"/>
    </row>
    <row r="236" spans="1:20" x14ac:dyDescent="0.2">
      <c r="A236" s="47">
        <f>+A233+1</f>
        <v>164</v>
      </c>
      <c r="B236" s="46">
        <v>47</v>
      </c>
      <c r="C236" s="47">
        <v>427</v>
      </c>
      <c r="E236" s="2" t="s">
        <v>200</v>
      </c>
      <c r="H236" s="11">
        <v>-3795948.86</v>
      </c>
      <c r="I236" s="11">
        <v>-63648.919119972365</v>
      </c>
      <c r="J236" s="11">
        <v>-423805.56725219061</v>
      </c>
      <c r="K236" s="11">
        <v>-1343810.7443847335</v>
      </c>
      <c r="L236" s="11">
        <v>-1162980.6492462242</v>
      </c>
      <c r="M236" s="11">
        <v>-624075.20130790444</v>
      </c>
      <c r="N236" s="11">
        <v>-78452.496460293813</v>
      </c>
      <c r="O236" s="11">
        <v>-3037.0122628473896</v>
      </c>
      <c r="P236" s="11">
        <v>-85446.433301754078</v>
      </c>
      <c r="Q236" s="11">
        <v>-1739.3365999106009</v>
      </c>
      <c r="R236" s="11">
        <v>-2689.3865293147483</v>
      </c>
      <c r="S236" s="11">
        <v>-6263.1135348527332</v>
      </c>
      <c r="T236" s="54">
        <f t="shared" ref="T236:T238" si="61">SUM(I236:S236)-H236</f>
        <v>0</v>
      </c>
    </row>
    <row r="237" spans="1:20" x14ac:dyDescent="0.2">
      <c r="A237" s="50">
        <f>+A236+1</f>
        <v>165</v>
      </c>
      <c r="B237" s="49">
        <v>47</v>
      </c>
      <c r="C237" s="51"/>
      <c r="D237" s="51"/>
      <c r="E237" s="51" t="s">
        <v>201</v>
      </c>
      <c r="F237" s="51"/>
      <c r="G237" s="51"/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56">
        <f t="shared" si="61"/>
        <v>0</v>
      </c>
    </row>
    <row r="238" spans="1:20" x14ac:dyDescent="0.2">
      <c r="A238" s="47">
        <f>+A237+1</f>
        <v>166</v>
      </c>
      <c r="D238" s="2" t="s">
        <v>202</v>
      </c>
      <c r="H238" s="11">
        <f t="shared" ref="H238:S238" si="62">SUM(H236:H237)</f>
        <v>-3795948.86</v>
      </c>
      <c r="I238" s="11">
        <f t="shared" si="62"/>
        <v>-63648.919119972365</v>
      </c>
      <c r="J238" s="11">
        <f t="shared" si="62"/>
        <v>-423805.56725219061</v>
      </c>
      <c r="K238" s="11">
        <f t="shared" si="62"/>
        <v>-1343810.7443847335</v>
      </c>
      <c r="L238" s="11">
        <f t="shared" si="62"/>
        <v>-1162980.6492462242</v>
      </c>
      <c r="M238" s="11">
        <f t="shared" si="62"/>
        <v>-624075.20130790444</v>
      </c>
      <c r="N238" s="11">
        <f t="shared" si="62"/>
        <v>-78452.496460293813</v>
      </c>
      <c r="O238" s="11">
        <f t="shared" si="62"/>
        <v>-3037.0122628473896</v>
      </c>
      <c r="P238" s="11">
        <f t="shared" si="62"/>
        <v>-85446.433301754078</v>
      </c>
      <c r="Q238" s="11">
        <f t="shared" si="62"/>
        <v>-1739.3365999106009</v>
      </c>
      <c r="R238" s="11">
        <f t="shared" si="62"/>
        <v>-2689.3865293147483</v>
      </c>
      <c r="S238" s="11">
        <f t="shared" si="62"/>
        <v>-6263.1135348527332</v>
      </c>
      <c r="T238" s="54">
        <f t="shared" si="61"/>
        <v>0</v>
      </c>
    </row>
    <row r="239" spans="1:20" x14ac:dyDescent="0.2">
      <c r="A239" s="47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54"/>
    </row>
    <row r="240" spans="1:20" x14ac:dyDescent="0.2">
      <c r="A240" s="47">
        <f>+A238+1</f>
        <v>167</v>
      </c>
      <c r="B240" s="5"/>
      <c r="D240" s="7" t="s">
        <v>203</v>
      </c>
      <c r="E240" s="7"/>
      <c r="H240" s="8">
        <f t="shared" ref="H240:S240" si="63">H233+H238</f>
        <v>5525132.7638024315</v>
      </c>
      <c r="I240" s="8">
        <f>I233+I238</f>
        <v>147112.9462033904</v>
      </c>
      <c r="J240" s="8">
        <f t="shared" si="63"/>
        <v>612959.61564723006</v>
      </c>
      <c r="K240" s="8">
        <f t="shared" si="63"/>
        <v>1943583.9947107867</v>
      </c>
      <c r="L240" s="8">
        <f t="shared" si="63"/>
        <v>1679003.2742427019</v>
      </c>
      <c r="M240" s="8">
        <f t="shared" si="63"/>
        <v>918191.98390388163</v>
      </c>
      <c r="N240" s="8">
        <f t="shared" si="63"/>
        <v>116107.80774110807</v>
      </c>
      <c r="O240" s="8">
        <f t="shared" si="63"/>
        <v>4542.4260108694198</v>
      </c>
      <c r="P240" s="8">
        <f t="shared" si="63"/>
        <v>90631.915388393434</v>
      </c>
      <c r="Q240" s="8">
        <f t="shared" si="63"/>
        <v>2223.0869461050625</v>
      </c>
      <c r="R240" s="8">
        <f t="shared" si="63"/>
        <v>3437.368067030684</v>
      </c>
      <c r="S240" s="8">
        <f t="shared" si="63"/>
        <v>7338.3449409367295</v>
      </c>
      <c r="T240" s="54">
        <f>SUM(I240:S240)-H240</f>
        <v>0</v>
      </c>
    </row>
    <row r="241" spans="1:32" x14ac:dyDescent="0.2">
      <c r="A241" s="47"/>
      <c r="H241" s="54"/>
      <c r="T241" s="54"/>
    </row>
    <row r="242" spans="1:32" x14ac:dyDescent="0.2">
      <c r="A242" s="47"/>
      <c r="D242" s="2" t="s">
        <v>204</v>
      </c>
      <c r="H242" s="54"/>
      <c r="T242" s="54"/>
    </row>
    <row r="243" spans="1:32" x14ac:dyDescent="0.2">
      <c r="A243" s="47"/>
      <c r="E243" s="2" t="s">
        <v>205</v>
      </c>
      <c r="H243" s="54"/>
      <c r="T243" s="54"/>
    </row>
    <row r="244" spans="1:32" x14ac:dyDescent="0.2">
      <c r="A244" s="47">
        <f>+A240+1</f>
        <v>168</v>
      </c>
      <c r="B244" s="46">
        <v>47</v>
      </c>
      <c r="C244" s="47">
        <v>409111</v>
      </c>
      <c r="E244" s="65" t="s">
        <v>206</v>
      </c>
      <c r="H244" s="11">
        <v>1160277.8803985054</v>
      </c>
      <c r="I244" s="11">
        <f>I240*I255</f>
        <v>30893.718702711983</v>
      </c>
      <c r="J244" s="11">
        <f t="shared" ref="J244:S244" si="64">J240*J255</f>
        <v>128721.51928591832</v>
      </c>
      <c r="K244" s="11">
        <f t="shared" si="64"/>
        <v>408152.63888926519</v>
      </c>
      <c r="L244" s="11">
        <f t="shared" si="64"/>
        <v>352590.6875909674</v>
      </c>
      <c r="M244" s="11">
        <f t="shared" si="64"/>
        <v>192820.31661981513</v>
      </c>
      <c r="N244" s="11">
        <f t="shared" si="64"/>
        <v>24382.639625632695</v>
      </c>
      <c r="O244" s="11">
        <f t="shared" si="64"/>
        <v>953.90946228257815</v>
      </c>
      <c r="P244" s="11">
        <f t="shared" si="64"/>
        <v>19032.70223156262</v>
      </c>
      <c r="Q244" s="11">
        <f t="shared" si="64"/>
        <v>466.84825868206309</v>
      </c>
      <c r="R244" s="11">
        <f t="shared" si="64"/>
        <v>721.84729407644363</v>
      </c>
      <c r="S244" s="11">
        <f t="shared" si="64"/>
        <v>1541.0524375967132</v>
      </c>
      <c r="T244" s="54">
        <f t="shared" ref="T244:T253" si="65">SUM(I244:S244)-H244</f>
        <v>5.8207660913467407E-9</v>
      </c>
    </row>
    <row r="245" spans="1:32" x14ac:dyDescent="0.2">
      <c r="A245" s="47">
        <f t="shared" ref="A245:A251" si="66">+A244+1</f>
        <v>169</v>
      </c>
      <c r="B245" s="46">
        <v>47</v>
      </c>
      <c r="C245" s="47">
        <v>409118</v>
      </c>
      <c r="E245" s="65" t="s">
        <v>207</v>
      </c>
      <c r="H245" s="11">
        <v>-6956.7988582348262</v>
      </c>
      <c r="I245" s="11">
        <v>-116.64876008411362</v>
      </c>
      <c r="J245" s="11">
        <v>-776.70437487759057</v>
      </c>
      <c r="K245" s="11">
        <v>-2462.7889882108175</v>
      </c>
      <c r="L245" s="11">
        <v>-2131.3834172216248</v>
      </c>
      <c r="M245" s="11">
        <v>-1143.736601317516</v>
      </c>
      <c r="N245" s="11">
        <v>-143.77913347353257</v>
      </c>
      <c r="O245" s="11">
        <v>-5.5659030776884295</v>
      </c>
      <c r="P245" s="11">
        <v>-156.59685405611103</v>
      </c>
      <c r="Q245" s="11">
        <v>-3.1876654082068203</v>
      </c>
      <c r="R245" s="11">
        <v>-4.92881274920257</v>
      </c>
      <c r="S245" s="11">
        <v>-11.478347758420165</v>
      </c>
      <c r="T245" s="54">
        <f t="shared" si="65"/>
        <v>0</v>
      </c>
    </row>
    <row r="246" spans="1:32" x14ac:dyDescent="0.2">
      <c r="A246" s="47">
        <f t="shared" si="66"/>
        <v>170</v>
      </c>
      <c r="B246" s="46">
        <v>47</v>
      </c>
      <c r="C246" s="47">
        <v>409119</v>
      </c>
      <c r="E246" s="65" t="s">
        <v>110</v>
      </c>
      <c r="H246" s="11">
        <v>-856239.83339999826</v>
      </c>
      <c r="I246" s="11">
        <v>-14357.079590206889</v>
      </c>
      <c r="J246" s="11">
        <v>-95596.442860931333</v>
      </c>
      <c r="K246" s="11">
        <v>-303119.01722857036</v>
      </c>
      <c r="L246" s="11">
        <v>-262329.7610384585</v>
      </c>
      <c r="M246" s="11">
        <v>-140770.61259380361</v>
      </c>
      <c r="N246" s="11">
        <v>-17696.274364185174</v>
      </c>
      <c r="O246" s="11">
        <v>-685.04897454656452</v>
      </c>
      <c r="P246" s="11">
        <v>-19273.87394120952</v>
      </c>
      <c r="Q246" s="11">
        <v>-392.33649752962492</v>
      </c>
      <c r="R246" s="11">
        <v>-606.63616890999413</v>
      </c>
      <c r="S246" s="11">
        <v>-1412.7501416464231</v>
      </c>
      <c r="T246" s="54">
        <f t="shared" si="65"/>
        <v>0</v>
      </c>
    </row>
    <row r="247" spans="1:32" x14ac:dyDescent="0.2">
      <c r="A247" s="47">
        <f t="shared" si="66"/>
        <v>171</v>
      </c>
      <c r="B247" s="2"/>
      <c r="C247" s="47"/>
      <c r="D247" s="2" t="s">
        <v>208</v>
      </c>
      <c r="H247" s="59"/>
      <c r="I247" s="13"/>
      <c r="J247" s="57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</row>
    <row r="248" spans="1:32" x14ac:dyDescent="0.2">
      <c r="A248" s="47">
        <f t="shared" si="66"/>
        <v>172</v>
      </c>
      <c r="B248" s="46">
        <v>47</v>
      </c>
      <c r="C248" s="47">
        <v>409121</v>
      </c>
      <c r="D248" s="65"/>
      <c r="E248" s="2" t="s">
        <v>206</v>
      </c>
      <c r="H248" s="13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54">
        <f t="shared" si="65"/>
        <v>0</v>
      </c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</row>
    <row r="249" spans="1:32" x14ac:dyDescent="0.2">
      <c r="A249" s="47">
        <f t="shared" si="66"/>
        <v>173</v>
      </c>
      <c r="B249" s="46">
        <v>47</v>
      </c>
      <c r="C249" s="47" t="s">
        <v>209</v>
      </c>
      <c r="E249" s="2" t="s">
        <v>210</v>
      </c>
      <c r="H249" s="11">
        <v>564080.31000000006</v>
      </c>
      <c r="I249" s="11">
        <v>9458.2681043703378</v>
      </c>
      <c r="J249" s="11">
        <v>62977.765131256681</v>
      </c>
      <c r="K249" s="11">
        <v>199691.0941718723</v>
      </c>
      <c r="L249" s="11">
        <v>172819.63201970313</v>
      </c>
      <c r="M249" s="11">
        <v>92737.95459327531</v>
      </c>
      <c r="N249" s="11">
        <v>11658.088703438551</v>
      </c>
      <c r="O249" s="11">
        <v>451.30186993635033</v>
      </c>
      <c r="P249" s="11">
        <v>12697.391973096228</v>
      </c>
      <c r="Q249" s="11">
        <v>258.46647693560283</v>
      </c>
      <c r="R249" s="11">
        <v>399.6444744426002</v>
      </c>
      <c r="S249" s="11">
        <v>930.702481672771</v>
      </c>
      <c r="T249" s="54">
        <f t="shared" si="65"/>
        <v>0</v>
      </c>
    </row>
    <row r="250" spans="1:32" x14ac:dyDescent="0.2">
      <c r="A250" s="50">
        <f t="shared" si="66"/>
        <v>174</v>
      </c>
      <c r="B250" s="49">
        <v>47</v>
      </c>
      <c r="C250" s="50">
        <v>411401</v>
      </c>
      <c r="D250" s="51"/>
      <c r="E250" s="51" t="s">
        <v>211</v>
      </c>
      <c r="F250" s="51"/>
      <c r="G250" s="51"/>
      <c r="H250" s="10">
        <v>-860.07</v>
      </c>
      <c r="I250" s="10">
        <v>-14.421302258406779</v>
      </c>
      <c r="J250" s="10">
        <v>-96.024068729574921</v>
      </c>
      <c r="K250" s="10">
        <v>-304.47494145718758</v>
      </c>
      <c r="L250" s="10">
        <v>-263.5032251191077</v>
      </c>
      <c r="M250" s="10">
        <v>-141.40031338274918</v>
      </c>
      <c r="N250" s="10">
        <v>-17.775434053293573</v>
      </c>
      <c r="O250" s="10">
        <v>-0.68811336328360195</v>
      </c>
      <c r="P250" s="10">
        <v>-19.360090612453522</v>
      </c>
      <c r="Q250" s="10">
        <v>-0.39409151299396344</v>
      </c>
      <c r="R250" s="10">
        <v>-0.6093497983183408</v>
      </c>
      <c r="S250" s="10">
        <v>-1.4190697126306362</v>
      </c>
      <c r="T250" s="56">
        <f t="shared" si="65"/>
        <v>0</v>
      </c>
    </row>
    <row r="251" spans="1:32" x14ac:dyDescent="0.2">
      <c r="A251" s="47">
        <f t="shared" si="66"/>
        <v>175</v>
      </c>
      <c r="D251" s="7"/>
      <c r="E251" s="2" t="s">
        <v>212</v>
      </c>
      <c r="H251" s="11">
        <f>SUM(H244:H250)</f>
        <v>860301.48814027233</v>
      </c>
      <c r="I251" s="54">
        <f>SUM(I244:I250)</f>
        <v>25863.83715453291</v>
      </c>
      <c r="J251" s="54">
        <f t="shared" ref="J251:S251" si="67">SUM(J244:J250)</f>
        <v>95230.113112636493</v>
      </c>
      <c r="K251" s="54">
        <f t="shared" si="67"/>
        <v>301957.45190289908</v>
      </c>
      <c r="L251" s="54">
        <f t="shared" si="67"/>
        <v>260685.67192987131</v>
      </c>
      <c r="M251" s="54">
        <f t="shared" si="67"/>
        <v>143502.52170458657</v>
      </c>
      <c r="N251" s="54">
        <f t="shared" si="67"/>
        <v>18182.899397359244</v>
      </c>
      <c r="O251" s="54">
        <f t="shared" si="67"/>
        <v>713.908341231392</v>
      </c>
      <c r="P251" s="54">
        <f t="shared" si="67"/>
        <v>12280.263318780762</v>
      </c>
      <c r="Q251" s="54">
        <f t="shared" si="67"/>
        <v>329.3964811668402</v>
      </c>
      <c r="R251" s="54">
        <f t="shared" si="67"/>
        <v>509.31743706152872</v>
      </c>
      <c r="S251" s="54">
        <f t="shared" si="67"/>
        <v>1046.1073601520102</v>
      </c>
      <c r="T251" s="54">
        <f t="shared" si="65"/>
        <v>5.9371814131736755E-9</v>
      </c>
    </row>
    <row r="252" spans="1:32" x14ac:dyDescent="0.2">
      <c r="B252" s="2"/>
    </row>
    <row r="253" spans="1:32" x14ac:dyDescent="0.2">
      <c r="A253" s="47">
        <f>+A251+1</f>
        <v>176</v>
      </c>
      <c r="D253" s="7" t="s">
        <v>213</v>
      </c>
      <c r="E253" s="7"/>
      <c r="F253" s="7"/>
      <c r="G253" s="7"/>
      <c r="H253" s="8">
        <f t="shared" ref="H253:S253" si="68">SUM(H251:H252)</f>
        <v>860301.48814027233</v>
      </c>
      <c r="I253" s="8">
        <f t="shared" si="68"/>
        <v>25863.83715453291</v>
      </c>
      <c r="J253" s="8">
        <f t="shared" si="68"/>
        <v>95230.113112636493</v>
      </c>
      <c r="K253" s="8">
        <f t="shared" si="68"/>
        <v>301957.45190289908</v>
      </c>
      <c r="L253" s="8">
        <f t="shared" si="68"/>
        <v>260685.67192987131</v>
      </c>
      <c r="M253" s="8">
        <f t="shared" si="68"/>
        <v>143502.52170458657</v>
      </c>
      <c r="N253" s="8">
        <f t="shared" si="68"/>
        <v>18182.899397359244</v>
      </c>
      <c r="O253" s="8">
        <f t="shared" si="68"/>
        <v>713.908341231392</v>
      </c>
      <c r="P253" s="8">
        <f t="shared" si="68"/>
        <v>12280.263318780762</v>
      </c>
      <c r="Q253" s="8">
        <f t="shared" si="68"/>
        <v>329.3964811668402</v>
      </c>
      <c r="R253" s="8">
        <f t="shared" si="68"/>
        <v>509.31743706152872</v>
      </c>
      <c r="S253" s="8">
        <f t="shared" si="68"/>
        <v>1046.1073601520102</v>
      </c>
      <c r="T253" s="8">
        <f t="shared" si="65"/>
        <v>5.9371814131736755E-9</v>
      </c>
    </row>
    <row r="254" spans="1:32" x14ac:dyDescent="0.2">
      <c r="A254" s="47"/>
      <c r="H254" s="54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</row>
    <row r="255" spans="1:32" x14ac:dyDescent="0.2">
      <c r="A255" s="47">
        <f>+A253+1</f>
        <v>177</v>
      </c>
      <c r="D255" s="2" t="s">
        <v>214</v>
      </c>
      <c r="H255" s="14">
        <v>0.21</v>
      </c>
      <c r="I255" s="14">
        <f t="shared" ref="I255:T255" si="69">$H$255</f>
        <v>0.21</v>
      </c>
      <c r="J255" s="14">
        <f t="shared" si="69"/>
        <v>0.21</v>
      </c>
      <c r="K255" s="14">
        <f t="shared" si="69"/>
        <v>0.21</v>
      </c>
      <c r="L255" s="14">
        <f t="shared" si="69"/>
        <v>0.21</v>
      </c>
      <c r="M255" s="14">
        <f t="shared" si="69"/>
        <v>0.21</v>
      </c>
      <c r="N255" s="14">
        <f t="shared" si="69"/>
        <v>0.21</v>
      </c>
      <c r="O255" s="14">
        <f t="shared" si="69"/>
        <v>0.21</v>
      </c>
      <c r="P255" s="14">
        <f t="shared" si="69"/>
        <v>0.21</v>
      </c>
      <c r="Q255" s="14">
        <f t="shared" si="69"/>
        <v>0.21</v>
      </c>
      <c r="R255" s="14">
        <f t="shared" si="69"/>
        <v>0.21</v>
      </c>
      <c r="S255" s="14">
        <f t="shared" si="69"/>
        <v>0.21</v>
      </c>
      <c r="T255" s="14">
        <f t="shared" si="69"/>
        <v>0.21</v>
      </c>
    </row>
    <row r="256" spans="1:32" x14ac:dyDescent="0.2">
      <c r="A256" s="47"/>
      <c r="H256" s="66"/>
      <c r="I256" s="67"/>
    </row>
    <row r="257" spans="1:20" x14ac:dyDescent="0.2">
      <c r="A257" s="47">
        <f>+A255+1</f>
        <v>178</v>
      </c>
      <c r="D257" s="2" t="s">
        <v>215</v>
      </c>
      <c r="H257" s="66">
        <f t="shared" ref="H257:S257" si="70">H233-H253</f>
        <v>8460780.135662159</v>
      </c>
      <c r="I257" s="66">
        <f t="shared" si="70"/>
        <v>184898.02816882986</v>
      </c>
      <c r="J257" s="66">
        <f t="shared" si="70"/>
        <v>941535.06978678412</v>
      </c>
      <c r="K257" s="66">
        <f t="shared" si="70"/>
        <v>2985437.2871926213</v>
      </c>
      <c r="L257" s="66">
        <f t="shared" si="70"/>
        <v>2581298.2515590549</v>
      </c>
      <c r="M257" s="66">
        <f t="shared" si="70"/>
        <v>1398764.6635071994</v>
      </c>
      <c r="N257" s="66">
        <f t="shared" si="70"/>
        <v>176377.40480404266</v>
      </c>
      <c r="O257" s="66">
        <f t="shared" si="70"/>
        <v>6865.5299324854168</v>
      </c>
      <c r="P257" s="66">
        <f t="shared" si="70"/>
        <v>163798.08537136676</v>
      </c>
      <c r="Q257" s="66">
        <f t="shared" si="70"/>
        <v>3633.0270648488231</v>
      </c>
      <c r="R257" s="66">
        <f>R233-R253</f>
        <v>5617.4371592839034</v>
      </c>
      <c r="S257" s="66">
        <f t="shared" si="70"/>
        <v>12555.351115637452</v>
      </c>
      <c r="T257" s="66"/>
    </row>
    <row r="258" spans="1:20" x14ac:dyDescent="0.2">
      <c r="A258" s="47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</row>
    <row r="259" spans="1:20" x14ac:dyDescent="0.2">
      <c r="A259" s="47">
        <f>+A257+1</f>
        <v>179</v>
      </c>
      <c r="D259" s="2" t="s">
        <v>44</v>
      </c>
      <c r="H259" s="66">
        <f>H86</f>
        <v>198457117.23538473</v>
      </c>
      <c r="I259" s="66">
        <f t="shared" ref="I259:S259" si="71">I86</f>
        <v>4336991.2779350523</v>
      </c>
      <c r="J259" s="66">
        <f t="shared" si="71"/>
        <v>22084764.375132687</v>
      </c>
      <c r="K259" s="66">
        <f t="shared" si="71"/>
        <v>70026790.461788341</v>
      </c>
      <c r="L259" s="66">
        <f t="shared" si="71"/>
        <v>60547254.687532097</v>
      </c>
      <c r="M259" s="66">
        <f t="shared" si="71"/>
        <v>32809598.921061736</v>
      </c>
      <c r="N259" s="66">
        <f t="shared" si="71"/>
        <v>4137130.4704314196</v>
      </c>
      <c r="O259" s="66">
        <f t="shared" si="71"/>
        <v>161038.72891712576</v>
      </c>
      <c r="P259" s="66">
        <f t="shared" si="71"/>
        <v>3842068.3802502332</v>
      </c>
      <c r="Q259" s="66">
        <f t="shared" si="71"/>
        <v>85216.737294592444</v>
      </c>
      <c r="R259" s="66">
        <f t="shared" si="71"/>
        <v>131763.30870287563</v>
      </c>
      <c r="S259" s="66">
        <f t="shared" si="71"/>
        <v>294499.88633849245</v>
      </c>
      <c r="T259" s="66"/>
    </row>
    <row r="260" spans="1:20" x14ac:dyDescent="0.2">
      <c r="A260" s="47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</row>
    <row r="261" spans="1:20" x14ac:dyDescent="0.2">
      <c r="A261" s="47">
        <f>+A259+1</f>
        <v>180</v>
      </c>
      <c r="D261" s="2" t="s">
        <v>216</v>
      </c>
      <c r="H261" s="68">
        <f>H257/H259</f>
        <v>4.2632787644632832E-2</v>
      </c>
      <c r="I261" s="68">
        <f>I257/I259</f>
        <v>4.2632787644632832E-2</v>
      </c>
      <c r="J261" s="68">
        <f>J257/J259</f>
        <v>4.2632787644632832E-2</v>
      </c>
      <c r="K261" s="68">
        <f t="shared" ref="K261:P261" si="72">K257/K259</f>
        <v>4.2632787644632818E-2</v>
      </c>
      <c r="L261" s="68">
        <f t="shared" si="72"/>
        <v>4.2632787644632818E-2</v>
      </c>
      <c r="M261" s="68">
        <f t="shared" si="72"/>
        <v>4.2632787644632832E-2</v>
      </c>
      <c r="N261" s="68">
        <f t="shared" si="72"/>
        <v>4.2632787644632839E-2</v>
      </c>
      <c r="O261" s="68">
        <f t="shared" si="72"/>
        <v>4.2632787644632845E-2</v>
      </c>
      <c r="P261" s="68">
        <f t="shared" si="72"/>
        <v>4.2632787644632866E-2</v>
      </c>
      <c r="Q261" s="68">
        <f>Q257/Q259</f>
        <v>4.2632787644632839E-2</v>
      </c>
      <c r="R261" s="68">
        <f>R257/R259</f>
        <v>4.2632787644632873E-2</v>
      </c>
      <c r="S261" s="68">
        <f>S257/S259</f>
        <v>4.2632787644632825E-2</v>
      </c>
      <c r="T261" s="68"/>
    </row>
    <row r="262" spans="1:20" x14ac:dyDescent="0.2">
      <c r="H262" s="68"/>
      <c r="I262" s="67"/>
    </row>
    <row r="263" spans="1:20" x14ac:dyDescent="0.2">
      <c r="A263" s="2" t="s">
        <v>261</v>
      </c>
    </row>
    <row r="264" spans="1:20" x14ac:dyDescent="0.2">
      <c r="A264" s="2" t="s">
        <v>262</v>
      </c>
    </row>
    <row r="266" spans="1:20" x14ac:dyDescent="0.2">
      <c r="A266" s="2" t="s">
        <v>263</v>
      </c>
    </row>
    <row r="267" spans="1:20" x14ac:dyDescent="0.2">
      <c r="A267" s="2" t="s">
        <v>264</v>
      </c>
    </row>
    <row r="268" spans="1:20" x14ac:dyDescent="0.2">
      <c r="A268" s="2" t="s">
        <v>303</v>
      </c>
    </row>
    <row r="270" spans="1:20" x14ac:dyDescent="0.2">
      <c r="A270" s="2" t="s">
        <v>265</v>
      </c>
    </row>
    <row r="271" spans="1:20" x14ac:dyDescent="0.2">
      <c r="A271" s="2" t="s">
        <v>266</v>
      </c>
    </row>
    <row r="273" spans="1:1" x14ac:dyDescent="0.2">
      <c r="A273" s="2" t="s">
        <v>267</v>
      </c>
    </row>
    <row r="274" spans="1:1" x14ac:dyDescent="0.2">
      <c r="A274" s="2" t="s">
        <v>268</v>
      </c>
    </row>
    <row r="275" spans="1:1" x14ac:dyDescent="0.2">
      <c r="A275" s="2" t="s">
        <v>269</v>
      </c>
    </row>
    <row r="276" spans="1:1" x14ac:dyDescent="0.2">
      <c r="A276" s="2" t="s">
        <v>270</v>
      </c>
    </row>
    <row r="277" spans="1:1" x14ac:dyDescent="0.2">
      <c r="A277" s="2" t="s">
        <v>271</v>
      </c>
    </row>
    <row r="278" spans="1:1" x14ac:dyDescent="0.2">
      <c r="A278" s="2" t="s">
        <v>272</v>
      </c>
    </row>
    <row r="279" spans="1:1" x14ac:dyDescent="0.2">
      <c r="A279" s="2" t="s">
        <v>273</v>
      </c>
    </row>
  </sheetData>
  <pageMargins left="0.7" right="0.7" top="1.6416666666666666" bottom="0.75" header="0.3" footer="0.3"/>
  <pageSetup scale="43" fitToWidth="0" fitToHeight="0" pageOrder="overThenDown" orientation="landscape" useFirstPageNumber="1" r:id="rId1"/>
  <headerFooter alignWithMargins="0">
    <oddHeader>&amp;CRULE 20:10:13:97
STATEMENT N
Allocated Cost of Service
Test Year Ending December 31, 2025
Utility: MidAmerican Energy Company
Docket No. NG26-___
Individual Responsible: Stephen Stratton&amp;RPage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D893-43F7-4A9B-ACDE-BDE7C01D98E8}">
  <dimension ref="A2:J4"/>
  <sheetViews>
    <sheetView view="pageLayout" zoomScaleNormal="100" zoomScaleSheetLayoutView="115" workbookViewId="0"/>
  </sheetViews>
  <sheetFormatPr defaultRowHeight="15" x14ac:dyDescent="0.25"/>
  <sheetData>
    <row r="2" spans="1:10" x14ac:dyDescent="0.25">
      <c r="A2" s="86" t="s">
        <v>217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</row>
  </sheetData>
  <mergeCells count="1">
    <mergeCell ref="A2:J4"/>
  </mergeCells>
  <pageMargins left="0.7" right="0.7" top="1.675" bottom="0.75" header="0.3" footer="0.3"/>
  <pageSetup scale="80" pageOrder="overThenDown" orientation="landscape" useFirstPageNumber="1" r:id="rId1"/>
  <headerFooter alignWithMargins="0">
    <oddHeader>&amp;CRULE 20:10:13:97
STATEMENT N
Allocated Cost of Service
Test Year Ending December 31, 2025
Utility: MidAmerican Energy Company
Docket No. NG26-___
Individual Responsible: Stephen Stratton&amp;RPage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44B5-DF4A-42D0-AB85-871179C1DC80}">
  <dimension ref="A1:J4"/>
  <sheetViews>
    <sheetView view="pageLayout" zoomScaleNormal="100" zoomScaleSheetLayoutView="115" workbookViewId="0"/>
  </sheetViews>
  <sheetFormatPr defaultRowHeight="15" x14ac:dyDescent="0.25"/>
  <sheetData>
    <row r="1" spans="1:10" x14ac:dyDescent="0.25">
      <c r="A1" t="s">
        <v>218</v>
      </c>
    </row>
    <row r="2" spans="1:10" ht="15" customHeight="1" x14ac:dyDescent="0.25">
      <c r="B2" s="45"/>
      <c r="C2" s="45"/>
      <c r="D2" s="45"/>
      <c r="E2" s="45"/>
      <c r="F2" s="45"/>
      <c r="G2" s="45"/>
      <c r="H2" s="45"/>
      <c r="I2" s="45"/>
      <c r="J2" s="45"/>
    </row>
    <row r="3" spans="1:10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</row>
  </sheetData>
  <pageMargins left="0.7" right="0.7" top="1.6666666666666667" bottom="0.75" header="0.3" footer="0.3"/>
  <pageSetup scale="80" pageOrder="overThenDown" orientation="landscape" useFirstPageNumber="1" r:id="rId1"/>
  <headerFooter alignWithMargins="0">
    <oddHeader>&amp;CRULE 20:10:13:97
STATEMENT N
Allocated Cost of Service
Test Year Ending December 31, 2025
Utility: MidAmerican Energy Company
Docket No. NG26-___
Individual Responsible: Stephen Stratton&amp;RPage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4708-A688-4E25-8B10-31F2769A1ACD}">
  <dimension ref="A1:P51"/>
  <sheetViews>
    <sheetView view="pageLayout" zoomScaleNormal="90" workbookViewId="0"/>
  </sheetViews>
  <sheetFormatPr defaultColWidth="9.140625" defaultRowHeight="12.75" x14ac:dyDescent="0.2"/>
  <cols>
    <col min="1" max="1" width="6.85546875" style="15" customWidth="1"/>
    <col min="2" max="2" width="11.42578125" style="15" bestFit="1" customWidth="1"/>
    <col min="3" max="3" width="9" style="15" bestFit="1" customWidth="1"/>
    <col min="4" max="4" width="25.5703125" style="15" customWidth="1"/>
    <col min="5" max="5" width="11.42578125" style="15" bestFit="1" customWidth="1"/>
    <col min="6" max="6" width="12" style="16" customWidth="1"/>
    <col min="7" max="7" width="12.140625" style="16" customWidth="1"/>
    <col min="8" max="8" width="13.7109375" style="15" customWidth="1"/>
    <col min="9" max="9" width="14.7109375" style="15" customWidth="1"/>
    <col min="10" max="10" width="15.42578125" style="15" customWidth="1"/>
    <col min="11" max="11" width="1.140625" style="15" customWidth="1"/>
    <col min="12" max="12" width="17.28515625" style="15" customWidth="1"/>
    <col min="13" max="13" width="9.85546875" style="15" customWidth="1"/>
    <col min="14" max="14" width="11.28515625" style="15" bestFit="1" customWidth="1"/>
    <col min="15" max="15" width="9.140625" style="15"/>
    <col min="16" max="16" width="10.28515625" style="15" bestFit="1" customWidth="1"/>
    <col min="17" max="16384" width="9.140625" style="15"/>
  </cols>
  <sheetData>
    <row r="1" spans="1:16" x14ac:dyDescent="0.2">
      <c r="A1" s="69"/>
      <c r="B1" s="69"/>
      <c r="H1" s="17"/>
    </row>
    <row r="2" spans="1:16" x14ac:dyDescent="0.2">
      <c r="A2" s="69"/>
      <c r="B2" s="69"/>
      <c r="F2" s="15"/>
      <c r="G2" s="15"/>
    </row>
    <row r="3" spans="1:16" x14ac:dyDescent="0.2">
      <c r="A3" s="69"/>
      <c r="B3" s="69"/>
      <c r="F3" s="15"/>
      <c r="G3" s="19"/>
      <c r="H3" s="19"/>
      <c r="I3" s="19"/>
      <c r="J3" s="19" t="s">
        <v>219</v>
      </c>
      <c r="K3" s="19"/>
      <c r="L3" s="19" t="s">
        <v>219</v>
      </c>
    </row>
    <row r="4" spans="1:16" ht="14.25" x14ac:dyDescent="0.2">
      <c r="A4" s="69"/>
      <c r="B4" s="69"/>
      <c r="F4" s="15"/>
      <c r="G4" s="19" t="s">
        <v>220</v>
      </c>
      <c r="H4" s="19" t="s">
        <v>221</v>
      </c>
      <c r="I4" s="19" t="s">
        <v>222</v>
      </c>
      <c r="J4" s="19" t="s">
        <v>1</v>
      </c>
      <c r="K4" s="19"/>
      <c r="L4" s="19" t="s">
        <v>300</v>
      </c>
    </row>
    <row r="5" spans="1:16" x14ac:dyDescent="0.2">
      <c r="A5" s="69"/>
      <c r="B5" s="69"/>
      <c r="G5" s="85">
        <f>SUMIF($G$15:$G$34,1,$L$15:$L$34)</f>
        <v>82998891.431993276</v>
      </c>
      <c r="H5" s="85">
        <f>SUMIF($G$15:$G$34,2,$L$15:$L$34)</f>
        <v>46809232.341854148</v>
      </c>
      <c r="I5" s="85">
        <f>SUMIF($G$15:$G$34,3,$L$15:$L$34)</f>
        <v>29930486.22615258</v>
      </c>
      <c r="J5" s="24">
        <f>SUM(G5:I5)</f>
        <v>159738610</v>
      </c>
      <c r="L5" s="24">
        <v>2167570000</v>
      </c>
    </row>
    <row r="6" spans="1:16" x14ac:dyDescent="0.2">
      <c r="A6" s="69" t="s">
        <v>223</v>
      </c>
      <c r="B6" s="69"/>
    </row>
    <row r="7" spans="1:16" x14ac:dyDescent="0.2">
      <c r="A7" s="69" t="s">
        <v>224</v>
      </c>
      <c r="B7" s="69"/>
    </row>
    <row r="8" spans="1:16" x14ac:dyDescent="0.2">
      <c r="A8" s="69" t="s">
        <v>301</v>
      </c>
      <c r="B8" s="69"/>
    </row>
    <row r="9" spans="1:16" x14ac:dyDescent="0.2">
      <c r="A9" s="69"/>
      <c r="B9" s="69"/>
    </row>
    <row r="10" spans="1:16" x14ac:dyDescent="0.2">
      <c r="D10" s="18"/>
      <c r="E10" s="18"/>
      <c r="H10" s="18"/>
    </row>
    <row r="11" spans="1:16" x14ac:dyDescent="0.2">
      <c r="A11" s="69" t="s">
        <v>11</v>
      </c>
      <c r="F11" s="19" t="s">
        <v>225</v>
      </c>
      <c r="G11" s="19"/>
      <c r="H11" s="19" t="s">
        <v>219</v>
      </c>
      <c r="I11" s="20" t="s">
        <v>226</v>
      </c>
      <c r="J11" s="20" t="s">
        <v>227</v>
      </c>
      <c r="K11" s="20"/>
      <c r="L11" s="20" t="s">
        <v>275</v>
      </c>
    </row>
    <row r="12" spans="1:16" x14ac:dyDescent="0.2">
      <c r="A12" s="70" t="s">
        <v>302</v>
      </c>
      <c r="B12" s="71" t="s">
        <v>276</v>
      </c>
      <c r="C12" s="21" t="s">
        <v>277</v>
      </c>
      <c r="D12" s="21" t="s">
        <v>278</v>
      </c>
      <c r="E12" s="21" t="s">
        <v>244</v>
      </c>
      <c r="F12" s="21" t="s">
        <v>12</v>
      </c>
      <c r="G12" s="21" t="s">
        <v>228</v>
      </c>
      <c r="H12" s="22" t="s">
        <v>229</v>
      </c>
      <c r="I12" s="21" t="s">
        <v>230</v>
      </c>
      <c r="J12" s="21" t="s">
        <v>230</v>
      </c>
      <c r="K12" s="20"/>
      <c r="L12" s="21" t="s">
        <v>219</v>
      </c>
    </row>
    <row r="13" spans="1:16" x14ac:dyDescent="0.2">
      <c r="B13" s="16" t="s">
        <v>26</v>
      </c>
      <c r="C13" s="16" t="s">
        <v>27</v>
      </c>
      <c r="D13" s="16" t="s">
        <v>28</v>
      </c>
      <c r="E13" s="16" t="s">
        <v>29</v>
      </c>
      <c r="F13" s="16" t="s">
        <v>30</v>
      </c>
      <c r="G13" s="16" t="s">
        <v>31</v>
      </c>
      <c r="H13" s="16" t="s">
        <v>32</v>
      </c>
      <c r="I13" s="16" t="s">
        <v>33</v>
      </c>
      <c r="J13" s="16" t="s">
        <v>34</v>
      </c>
      <c r="K13" s="16"/>
      <c r="L13" s="16" t="s">
        <v>36</v>
      </c>
    </row>
    <row r="14" spans="1:16" x14ac:dyDescent="0.2">
      <c r="B14" s="69"/>
      <c r="L14" s="18"/>
    </row>
    <row r="15" spans="1:16" x14ac:dyDescent="0.2">
      <c r="A15" s="23">
        <v>1</v>
      </c>
      <c r="B15" s="72" t="s">
        <v>279</v>
      </c>
      <c r="C15" s="72" t="s">
        <v>280</v>
      </c>
      <c r="D15" s="73" t="s">
        <v>281</v>
      </c>
      <c r="E15" s="2" t="s">
        <v>282</v>
      </c>
      <c r="F15" s="2" t="s">
        <v>233</v>
      </c>
      <c r="G15" s="74">
        <v>3</v>
      </c>
      <c r="H15" s="18">
        <v>898872</v>
      </c>
      <c r="I15" s="18">
        <v>355.00526510283663</v>
      </c>
      <c r="J15" s="18"/>
      <c r="K15" s="83"/>
      <c r="L15" s="18">
        <f t="shared" ref="L15:L34" si="0">SUM(H15:K15)</f>
        <v>899227.00526510284</v>
      </c>
      <c r="N15" s="75"/>
    </row>
    <row r="16" spans="1:16" x14ac:dyDescent="0.2">
      <c r="A16" s="23">
        <f t="shared" ref="A16:A34" si="1">A15+1</f>
        <v>2</v>
      </c>
      <c r="B16" s="72" t="s">
        <v>279</v>
      </c>
      <c r="C16" s="72" t="s">
        <v>280</v>
      </c>
      <c r="D16" s="72" t="s">
        <v>281</v>
      </c>
      <c r="E16" s="2" t="s">
        <v>282</v>
      </c>
      <c r="F16" s="2" t="s">
        <v>234</v>
      </c>
      <c r="G16" s="74">
        <v>2</v>
      </c>
      <c r="H16" s="18">
        <v>23344419</v>
      </c>
      <c r="I16" s="18">
        <v>14386.46726180067</v>
      </c>
      <c r="J16" s="18"/>
      <c r="K16" s="83"/>
      <c r="L16" s="18">
        <f t="shared" si="0"/>
        <v>23358805.467261802</v>
      </c>
      <c r="N16" s="18"/>
      <c r="P16" s="76"/>
    </row>
    <row r="17" spans="1:16" x14ac:dyDescent="0.2">
      <c r="A17" s="23">
        <f t="shared" si="1"/>
        <v>3</v>
      </c>
      <c r="B17" s="72" t="s">
        <v>279</v>
      </c>
      <c r="C17" s="72" t="s">
        <v>280</v>
      </c>
      <c r="D17" s="73" t="s">
        <v>281</v>
      </c>
      <c r="E17" s="2" t="s">
        <v>282</v>
      </c>
      <c r="F17" s="2" t="s">
        <v>231</v>
      </c>
      <c r="G17" s="74">
        <v>1</v>
      </c>
      <c r="H17" s="18">
        <v>14637</v>
      </c>
      <c r="I17" s="18">
        <v>12.12234159869886</v>
      </c>
      <c r="J17" s="18"/>
      <c r="K17" s="77"/>
      <c r="L17" s="18">
        <f t="shared" si="0"/>
        <v>14649.122341598699</v>
      </c>
      <c r="N17" s="18"/>
      <c r="P17" s="76"/>
    </row>
    <row r="18" spans="1:16" x14ac:dyDescent="0.2">
      <c r="A18" s="23">
        <f t="shared" si="1"/>
        <v>4</v>
      </c>
      <c r="B18" s="72" t="s">
        <v>279</v>
      </c>
      <c r="C18" s="72" t="s">
        <v>280</v>
      </c>
      <c r="D18" s="72" t="s">
        <v>281</v>
      </c>
      <c r="E18" s="2" t="s">
        <v>282</v>
      </c>
      <c r="F18" s="2" t="s">
        <v>235</v>
      </c>
      <c r="G18" s="74">
        <v>1</v>
      </c>
      <c r="H18" s="18">
        <v>232691</v>
      </c>
      <c r="I18" s="18">
        <v>44.413208795351657</v>
      </c>
      <c r="J18" s="18"/>
      <c r="K18" s="83"/>
      <c r="L18" s="18">
        <f t="shared" si="0"/>
        <v>232735.41320879536</v>
      </c>
    </row>
    <row r="19" spans="1:16" ht="15" customHeight="1" x14ac:dyDescent="0.2">
      <c r="A19" s="23">
        <f t="shared" si="1"/>
        <v>5</v>
      </c>
      <c r="B19" s="72" t="s">
        <v>279</v>
      </c>
      <c r="C19" s="72" t="s">
        <v>280</v>
      </c>
      <c r="D19" s="72" t="s">
        <v>281</v>
      </c>
      <c r="E19" s="2" t="s">
        <v>282</v>
      </c>
      <c r="F19" s="2" t="s">
        <v>236</v>
      </c>
      <c r="G19" s="74">
        <v>1</v>
      </c>
      <c r="H19" s="18">
        <v>102708</v>
      </c>
      <c r="I19" s="18">
        <v>5.2382042937247482</v>
      </c>
      <c r="J19" s="18"/>
      <c r="K19" s="83"/>
      <c r="L19" s="18">
        <f t="shared" si="0"/>
        <v>102713.23820429372</v>
      </c>
      <c r="N19" s="18"/>
    </row>
    <row r="20" spans="1:16" x14ac:dyDescent="0.2">
      <c r="A20" s="23">
        <f t="shared" si="1"/>
        <v>6</v>
      </c>
      <c r="B20" s="72" t="s">
        <v>279</v>
      </c>
      <c r="C20" s="72" t="s">
        <v>280</v>
      </c>
      <c r="D20" s="72" t="s">
        <v>281</v>
      </c>
      <c r="E20" s="2" t="s">
        <v>282</v>
      </c>
      <c r="F20" s="2" t="s">
        <v>232</v>
      </c>
      <c r="G20" s="74">
        <v>1</v>
      </c>
      <c r="H20" s="18">
        <v>18685725</v>
      </c>
      <c r="I20" s="18">
        <v>12918.753718408718</v>
      </c>
      <c r="J20" s="18"/>
      <c r="K20" s="84"/>
      <c r="L20" s="18">
        <f t="shared" si="0"/>
        <v>18698643.75371841</v>
      </c>
      <c r="N20" s="18"/>
    </row>
    <row r="21" spans="1:16" x14ac:dyDescent="0.2">
      <c r="A21" s="23">
        <f t="shared" si="1"/>
        <v>7</v>
      </c>
      <c r="B21" s="72" t="s">
        <v>279</v>
      </c>
      <c r="C21" s="72" t="s">
        <v>283</v>
      </c>
      <c r="D21" s="72" t="s">
        <v>284</v>
      </c>
      <c r="E21" s="2" t="s">
        <v>285</v>
      </c>
      <c r="F21" s="2" t="s">
        <v>286</v>
      </c>
      <c r="G21" s="74"/>
      <c r="H21" s="18">
        <v>27722</v>
      </c>
      <c r="I21" s="18">
        <v>-27722</v>
      </c>
      <c r="K21" s="83"/>
      <c r="L21" s="18">
        <f t="shared" si="0"/>
        <v>0</v>
      </c>
      <c r="N21" s="18"/>
    </row>
    <row r="22" spans="1:16" x14ac:dyDescent="0.2">
      <c r="A22" s="23">
        <f t="shared" si="1"/>
        <v>8</v>
      </c>
      <c r="B22" s="72" t="s">
        <v>279</v>
      </c>
      <c r="C22" s="72" t="s">
        <v>287</v>
      </c>
      <c r="D22" s="72" t="s">
        <v>288</v>
      </c>
      <c r="E22" s="2" t="s">
        <v>282</v>
      </c>
      <c r="F22" s="2" t="s">
        <v>237</v>
      </c>
      <c r="G22" s="74">
        <v>3</v>
      </c>
      <c r="H22" s="18">
        <v>28746925</v>
      </c>
      <c r="J22" s="18">
        <f>H22/SUM($H$22:$H$25)*$H$26</f>
        <v>284334.22088747669</v>
      </c>
      <c r="K22" s="83"/>
      <c r="L22" s="18">
        <f t="shared" si="0"/>
        <v>29031259.220887478</v>
      </c>
    </row>
    <row r="23" spans="1:16" x14ac:dyDescent="0.2">
      <c r="A23" s="23">
        <f t="shared" si="1"/>
        <v>9</v>
      </c>
      <c r="B23" s="72" t="s">
        <v>279</v>
      </c>
      <c r="C23" s="72" t="s">
        <v>287</v>
      </c>
      <c r="D23" s="72" t="s">
        <v>288</v>
      </c>
      <c r="E23" s="2" t="s">
        <v>282</v>
      </c>
      <c r="F23" s="2" t="s">
        <v>238</v>
      </c>
      <c r="G23" s="74">
        <v>2</v>
      </c>
      <c r="H23" s="18">
        <v>12748723</v>
      </c>
      <c r="J23" s="18">
        <f t="shared" ref="J23:J25" si="2">H23/SUM($H$22:$H$25)*$H$26</f>
        <v>126096.9032867082</v>
      </c>
      <c r="K23" s="83"/>
      <c r="L23" s="18">
        <f t="shared" si="0"/>
        <v>12874819.903286709</v>
      </c>
      <c r="N23" s="78"/>
    </row>
    <row r="24" spans="1:16" x14ac:dyDescent="0.2">
      <c r="A24" s="23">
        <f t="shared" si="1"/>
        <v>10</v>
      </c>
      <c r="B24" s="72" t="s">
        <v>279</v>
      </c>
      <c r="C24" s="72" t="s">
        <v>287</v>
      </c>
      <c r="D24" s="72" t="s">
        <v>288</v>
      </c>
      <c r="E24" s="2" t="s">
        <v>282</v>
      </c>
      <c r="F24" s="2" t="s">
        <v>239</v>
      </c>
      <c r="G24" s="74">
        <v>2</v>
      </c>
      <c r="H24" s="18">
        <v>9566541</v>
      </c>
      <c r="J24" s="18">
        <f t="shared" si="2"/>
        <v>94622.119820575666</v>
      </c>
      <c r="K24" s="77"/>
      <c r="L24" s="18">
        <f t="shared" si="0"/>
        <v>9661163.1198205762</v>
      </c>
      <c r="N24" s="18"/>
    </row>
    <row r="25" spans="1:16" x14ac:dyDescent="0.2">
      <c r="A25" s="23">
        <f t="shared" si="1"/>
        <v>11</v>
      </c>
      <c r="B25" s="72" t="s">
        <v>279</v>
      </c>
      <c r="C25" s="72" t="s">
        <v>287</v>
      </c>
      <c r="D25" s="72" t="s">
        <v>288</v>
      </c>
      <c r="E25" s="2" t="s">
        <v>282</v>
      </c>
      <c r="F25" s="2" t="s">
        <v>240</v>
      </c>
      <c r="G25" s="74">
        <v>1</v>
      </c>
      <c r="H25" s="18">
        <v>483549</v>
      </c>
      <c r="J25" s="18">
        <f t="shared" si="2"/>
        <v>4782.7560052394629</v>
      </c>
      <c r="K25" s="83"/>
      <c r="L25" s="18">
        <f t="shared" si="0"/>
        <v>488331.75600523944</v>
      </c>
      <c r="N25" s="18"/>
    </row>
    <row r="26" spans="1:16" x14ac:dyDescent="0.2">
      <c r="A26" s="23">
        <f t="shared" si="1"/>
        <v>12</v>
      </c>
      <c r="B26" s="72" t="s">
        <v>279</v>
      </c>
      <c r="C26" s="72" t="s">
        <v>287</v>
      </c>
      <c r="D26" s="72" t="s">
        <v>288</v>
      </c>
      <c r="E26" s="2" t="s">
        <v>285</v>
      </c>
      <c r="F26" s="2" t="s">
        <v>286</v>
      </c>
      <c r="G26" s="74"/>
      <c r="H26" s="18">
        <v>509836</v>
      </c>
      <c r="J26" s="18">
        <f>-SUM(J22:J25)</f>
        <v>-509836</v>
      </c>
      <c r="K26" s="83"/>
      <c r="L26" s="18">
        <f t="shared" si="0"/>
        <v>0</v>
      </c>
    </row>
    <row r="27" spans="1:16" x14ac:dyDescent="0.2">
      <c r="A27" s="23">
        <f t="shared" si="1"/>
        <v>13</v>
      </c>
      <c r="B27" s="72" t="s">
        <v>279</v>
      </c>
      <c r="C27" s="72" t="s">
        <v>289</v>
      </c>
      <c r="D27" s="72" t="s">
        <v>290</v>
      </c>
      <c r="E27" s="2" t="s">
        <v>282</v>
      </c>
      <c r="F27" s="2" t="s">
        <v>234</v>
      </c>
      <c r="G27" s="74">
        <v>2</v>
      </c>
      <c r="H27" s="18">
        <v>906548</v>
      </c>
      <c r="I27" s="18">
        <v>7895.8514850658412</v>
      </c>
      <c r="J27" s="18"/>
      <c r="K27" s="83"/>
      <c r="L27" s="18">
        <f t="shared" si="0"/>
        <v>914443.85148506588</v>
      </c>
    </row>
    <row r="28" spans="1:16" x14ac:dyDescent="0.2">
      <c r="A28" s="23">
        <f t="shared" si="1"/>
        <v>14</v>
      </c>
      <c r="B28" s="72" t="s">
        <v>279</v>
      </c>
      <c r="C28" s="72" t="s">
        <v>289</v>
      </c>
      <c r="D28" s="72" t="s">
        <v>290</v>
      </c>
      <c r="E28" s="2" t="s">
        <v>282</v>
      </c>
      <c r="F28" s="2" t="s">
        <v>236</v>
      </c>
      <c r="G28" s="74">
        <v>1</v>
      </c>
      <c r="H28" s="18">
        <v>85351</v>
      </c>
      <c r="I28" s="18">
        <v>273.43681059461085</v>
      </c>
      <c r="J28" s="18"/>
      <c r="K28" s="83"/>
      <c r="L28" s="18">
        <f t="shared" si="0"/>
        <v>85624.436810594605</v>
      </c>
      <c r="N28" s="18"/>
    </row>
    <row r="29" spans="1:16" x14ac:dyDescent="0.2">
      <c r="A29" s="23">
        <f t="shared" si="1"/>
        <v>15</v>
      </c>
      <c r="B29" s="72" t="s">
        <v>279</v>
      </c>
      <c r="C29" s="72" t="s">
        <v>289</v>
      </c>
      <c r="D29" s="72" t="s">
        <v>290</v>
      </c>
      <c r="E29" s="2" t="s">
        <v>282</v>
      </c>
      <c r="F29" s="2" t="s">
        <v>232</v>
      </c>
      <c r="G29" s="74">
        <v>1</v>
      </c>
      <c r="H29" s="18">
        <v>76702</v>
      </c>
      <c r="I29" s="18">
        <v>917.71170433954865</v>
      </c>
      <c r="J29" s="18"/>
      <c r="K29" s="83"/>
      <c r="L29" s="18">
        <f t="shared" si="0"/>
        <v>77619.711704339556</v>
      </c>
      <c r="N29" s="18"/>
      <c r="O29" s="18"/>
    </row>
    <row r="30" spans="1:16" x14ac:dyDescent="0.2">
      <c r="A30" s="23">
        <f t="shared" si="1"/>
        <v>16</v>
      </c>
      <c r="B30" s="72" t="s">
        <v>279</v>
      </c>
      <c r="C30" s="72" t="s">
        <v>291</v>
      </c>
      <c r="D30" s="72" t="s">
        <v>292</v>
      </c>
      <c r="E30" s="2" t="s">
        <v>285</v>
      </c>
      <c r="F30" s="2" t="s">
        <v>286</v>
      </c>
      <c r="G30" s="74"/>
      <c r="H30" s="18">
        <v>9087</v>
      </c>
      <c r="I30" s="18">
        <v>-9087</v>
      </c>
      <c r="J30" s="18"/>
      <c r="K30" s="83"/>
      <c r="L30" s="18">
        <f t="shared" si="0"/>
        <v>0</v>
      </c>
    </row>
    <row r="31" spans="1:16" x14ac:dyDescent="0.2">
      <c r="A31" s="23">
        <f t="shared" si="1"/>
        <v>17</v>
      </c>
      <c r="B31" s="72" t="s">
        <v>279</v>
      </c>
      <c r="C31" s="72" t="s">
        <v>293</v>
      </c>
      <c r="D31" s="72" t="s">
        <v>294</v>
      </c>
      <c r="E31" s="2" t="s">
        <v>285</v>
      </c>
      <c r="F31" s="2" t="s">
        <v>286</v>
      </c>
      <c r="G31" s="74"/>
      <c r="H31" s="18">
        <v>6232508</v>
      </c>
      <c r="I31" s="18"/>
      <c r="J31" s="18">
        <f>-H31</f>
        <v>-6232508</v>
      </c>
      <c r="K31" s="83"/>
      <c r="L31" s="18">
        <f t="shared" si="0"/>
        <v>0</v>
      </c>
    </row>
    <row r="32" spans="1:16" x14ac:dyDescent="0.2">
      <c r="A32" s="23">
        <f t="shared" si="1"/>
        <v>18</v>
      </c>
      <c r="B32" s="72" t="s">
        <v>279</v>
      </c>
      <c r="C32" s="72" t="s">
        <v>295</v>
      </c>
      <c r="D32" s="72" t="s">
        <v>296</v>
      </c>
      <c r="E32" s="2" t="s">
        <v>282</v>
      </c>
      <c r="F32" s="2" t="s">
        <v>231</v>
      </c>
      <c r="G32" s="74">
        <v>1</v>
      </c>
      <c r="H32" s="18">
        <v>249454</v>
      </c>
      <c r="I32" s="18">
        <v>550.5554101675541</v>
      </c>
      <c r="J32" s="18"/>
      <c r="K32" s="83"/>
      <c r="L32" s="18">
        <f t="shared" si="0"/>
        <v>250004.55541016755</v>
      </c>
    </row>
    <row r="33" spans="1:14" x14ac:dyDescent="0.2">
      <c r="A33" s="23">
        <f t="shared" si="1"/>
        <v>19</v>
      </c>
      <c r="B33" s="72" t="s">
        <v>279</v>
      </c>
      <c r="C33" s="72" t="s">
        <v>295</v>
      </c>
      <c r="D33" s="72" t="s">
        <v>296</v>
      </c>
      <c r="E33" s="2" t="s">
        <v>282</v>
      </c>
      <c r="F33" s="2" t="s">
        <v>232</v>
      </c>
      <c r="G33" s="74">
        <v>1</v>
      </c>
      <c r="H33" s="18">
        <v>62942618</v>
      </c>
      <c r="I33" s="18">
        <v>105951.44458983245</v>
      </c>
      <c r="J33" s="18"/>
      <c r="K33" s="77"/>
      <c r="L33" s="18">
        <f t="shared" si="0"/>
        <v>63048569.444589831</v>
      </c>
      <c r="M33" s="18"/>
      <c r="N33" s="75"/>
    </row>
    <row r="34" spans="1:14" x14ac:dyDescent="0.2">
      <c r="A34" s="23">
        <f t="shared" si="1"/>
        <v>20</v>
      </c>
      <c r="B34" s="72" t="s">
        <v>279</v>
      </c>
      <c r="C34" s="72" t="s">
        <v>297</v>
      </c>
      <c r="D34" s="72" t="s">
        <v>298</v>
      </c>
      <c r="E34" s="2" t="s">
        <v>285</v>
      </c>
      <c r="F34" s="2" t="s">
        <v>286</v>
      </c>
      <c r="G34" s="79"/>
      <c r="H34" s="18">
        <v>106502</v>
      </c>
      <c r="I34" s="18">
        <v>-106502</v>
      </c>
      <c r="J34" s="18"/>
      <c r="K34" s="77"/>
      <c r="L34" s="18">
        <f t="shared" si="0"/>
        <v>0</v>
      </c>
    </row>
    <row r="35" spans="1:14" x14ac:dyDescent="0.2">
      <c r="A35" s="23"/>
      <c r="B35" s="72"/>
      <c r="C35" s="72"/>
      <c r="D35" s="72"/>
      <c r="E35" s="72"/>
      <c r="F35" s="77"/>
      <c r="G35" s="79"/>
      <c r="H35" s="77"/>
      <c r="I35" s="18"/>
      <c r="J35" s="18"/>
      <c r="K35" s="77"/>
      <c r="L35" s="18"/>
    </row>
    <row r="36" spans="1:14" x14ac:dyDescent="0.2">
      <c r="A36" s="23"/>
      <c r="B36" s="72"/>
      <c r="C36" s="72"/>
      <c r="D36" s="72"/>
      <c r="E36" s="72"/>
      <c r="F36" s="77"/>
      <c r="G36" s="79"/>
      <c r="H36" s="77"/>
      <c r="I36" s="18"/>
      <c r="J36" s="18"/>
      <c r="K36" s="77"/>
      <c r="L36" s="18"/>
    </row>
    <row r="38" spans="1:14" ht="13.5" thickBot="1" x14ac:dyDescent="0.25">
      <c r="A38" s="23">
        <f>A34+1</f>
        <v>21</v>
      </c>
      <c r="D38" s="15" t="s">
        <v>299</v>
      </c>
      <c r="H38" s="80">
        <f t="shared" ref="H38:L38" si="3">+SUM(H15:H34)</f>
        <v>165971118</v>
      </c>
      <c r="I38" s="80">
        <f t="shared" si="3"/>
        <v>0</v>
      </c>
      <c r="J38" s="80">
        <f t="shared" si="3"/>
        <v>-6232508</v>
      </c>
      <c r="K38" s="81"/>
      <c r="L38" s="80">
        <f t="shared" si="3"/>
        <v>159738610</v>
      </c>
    </row>
    <row r="39" spans="1:14" ht="13.5" thickTop="1" x14ac:dyDescent="0.2">
      <c r="A39" s="23"/>
      <c r="H39" s="81"/>
      <c r="I39" s="81"/>
      <c r="J39" s="81"/>
      <c r="K39" s="81"/>
      <c r="L39" s="81"/>
    </row>
    <row r="40" spans="1:14" x14ac:dyDescent="0.2">
      <c r="H40" s="82"/>
      <c r="I40" s="82"/>
      <c r="J40" s="82"/>
      <c r="K40" s="82"/>
    </row>
    <row r="41" spans="1:14" x14ac:dyDescent="0.2">
      <c r="H41" s="82"/>
      <c r="I41" s="82"/>
      <c r="J41" s="82"/>
      <c r="K41" s="82"/>
    </row>
    <row r="42" spans="1:14" x14ac:dyDescent="0.2">
      <c r="H42" s="82"/>
      <c r="I42" s="82"/>
      <c r="J42" s="82"/>
      <c r="K42" s="82"/>
    </row>
    <row r="43" spans="1:14" x14ac:dyDescent="0.2">
      <c r="H43" s="82"/>
      <c r="I43" s="82"/>
      <c r="J43" s="82"/>
      <c r="K43" s="82"/>
    </row>
    <row r="44" spans="1:14" x14ac:dyDescent="0.2">
      <c r="H44" s="82"/>
      <c r="I44" s="82"/>
      <c r="J44" s="82"/>
      <c r="K44" s="82"/>
    </row>
    <row r="45" spans="1:14" x14ac:dyDescent="0.2">
      <c r="H45" s="82"/>
      <c r="I45" s="82"/>
      <c r="J45" s="82"/>
      <c r="K45" s="82"/>
    </row>
    <row r="46" spans="1:14" x14ac:dyDescent="0.2">
      <c r="H46" s="82"/>
      <c r="I46" s="82"/>
      <c r="J46" s="82"/>
      <c r="K46" s="82"/>
    </row>
    <row r="47" spans="1:14" x14ac:dyDescent="0.2">
      <c r="H47" s="82"/>
      <c r="I47" s="82"/>
      <c r="J47" s="82"/>
      <c r="K47" s="82"/>
    </row>
    <row r="48" spans="1:14" x14ac:dyDescent="0.2">
      <c r="H48" s="82"/>
      <c r="I48" s="82"/>
      <c r="J48" s="82"/>
      <c r="K48" s="82"/>
    </row>
    <row r="49" spans="8:11" x14ac:dyDescent="0.2">
      <c r="H49" s="82"/>
      <c r="I49" s="82"/>
      <c r="J49" s="82"/>
      <c r="K49" s="82"/>
    </row>
    <row r="50" spans="8:11" x14ac:dyDescent="0.2">
      <c r="H50" s="82"/>
      <c r="I50" s="82"/>
      <c r="J50" s="82"/>
      <c r="K50" s="82"/>
    </row>
    <row r="51" spans="8:11" x14ac:dyDescent="0.2">
      <c r="H51" s="82"/>
      <c r="I51" s="82"/>
      <c r="J51" s="82"/>
      <c r="K51" s="82"/>
    </row>
  </sheetData>
  <pageMargins left="0.7" right="0.7" top="1.65" bottom="0.75" header="0.3" footer="0.3"/>
  <pageSetup scale="80" pageOrder="overThenDown" orientation="landscape" useFirstPageNumber="1" r:id="rId1"/>
  <headerFooter alignWithMargins="0">
    <oddHeader>&amp;CRULE 20:10:13:97
STATEMENT N
Allocated Cost of Service
Test Year Ending December 31, 2025
Utility: MidAmerican Energy Company
Docket No. NG26-___
Individual Responsible: Stephen Stratton&amp;RPage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C5D2D-5142-4FFE-840C-6666F3FCC0C7}">
  <dimension ref="A1:I13"/>
  <sheetViews>
    <sheetView view="pageLayout" zoomScaleNormal="100" workbookViewId="0"/>
  </sheetViews>
  <sheetFormatPr defaultRowHeight="12.75" x14ac:dyDescent="0.2"/>
  <cols>
    <col min="1" max="1" width="9.140625" style="25"/>
    <col min="2" max="2" width="32.7109375" style="25" customWidth="1"/>
    <col min="3" max="3" width="12.85546875" style="25" customWidth="1"/>
    <col min="4" max="5" width="13.140625" style="25" customWidth="1"/>
    <col min="6" max="6" width="14" style="25" bestFit="1" customWidth="1"/>
    <col min="7" max="7" width="15.7109375" style="25" bestFit="1" customWidth="1"/>
    <col min="8" max="8" width="14.5703125" style="25" customWidth="1"/>
    <col min="9" max="16384" width="9.140625" style="25"/>
  </cols>
  <sheetData>
    <row r="1" spans="1:9" x14ac:dyDescent="0.2">
      <c r="B1" s="26"/>
      <c r="C1" s="27"/>
      <c r="D1" s="27"/>
      <c r="E1" s="27"/>
      <c r="F1" s="27" t="s">
        <v>219</v>
      </c>
      <c r="G1" s="28" t="s">
        <v>219</v>
      </c>
      <c r="H1" s="28" t="s">
        <v>1</v>
      </c>
      <c r="I1" s="26"/>
    </row>
    <row r="2" spans="1:9" x14ac:dyDescent="0.2">
      <c r="A2" s="44" t="s">
        <v>241</v>
      </c>
      <c r="B2" s="44" t="s">
        <v>14</v>
      </c>
      <c r="C2" s="29" t="s">
        <v>220</v>
      </c>
      <c r="D2" s="29" t="s">
        <v>221</v>
      </c>
      <c r="E2" s="29" t="s">
        <v>222</v>
      </c>
      <c r="F2" s="29" t="s">
        <v>1</v>
      </c>
      <c r="G2" s="29" t="s">
        <v>242</v>
      </c>
      <c r="H2" s="29" t="s">
        <v>243</v>
      </c>
      <c r="I2" s="29" t="s">
        <v>244</v>
      </c>
    </row>
    <row r="3" spans="1:9" x14ac:dyDescent="0.2">
      <c r="A3" s="43"/>
      <c r="B3" s="43" t="s">
        <v>26</v>
      </c>
      <c r="C3" s="32" t="s">
        <v>27</v>
      </c>
      <c r="D3" s="32" t="s">
        <v>28</v>
      </c>
      <c r="E3" s="32" t="s">
        <v>29</v>
      </c>
      <c r="F3" s="32" t="s">
        <v>30</v>
      </c>
      <c r="G3" s="32" t="s">
        <v>31</v>
      </c>
      <c r="H3" s="32" t="s">
        <v>32</v>
      </c>
      <c r="I3" s="32" t="s">
        <v>33</v>
      </c>
    </row>
    <row r="4" spans="1:9" x14ac:dyDescent="0.2">
      <c r="B4" s="30" t="s">
        <v>245</v>
      </c>
      <c r="C4" s="31"/>
      <c r="D4" s="31"/>
      <c r="E4" s="31"/>
      <c r="F4" s="31"/>
      <c r="G4" s="31"/>
      <c r="H4" s="31"/>
      <c r="I4" s="32"/>
    </row>
    <row r="5" spans="1:9" x14ac:dyDescent="0.2">
      <c r="A5" s="43">
        <v>1</v>
      </c>
      <c r="B5" s="33" t="s">
        <v>246</v>
      </c>
      <c r="C5" s="34">
        <v>1157529.6475208681</v>
      </c>
      <c r="D5" s="34">
        <v>494890.2469787958</v>
      </c>
      <c r="E5" s="34">
        <v>165434</v>
      </c>
      <c r="F5" s="35">
        <f>SUM(C5:E5)</f>
        <v>1817853.894499664</v>
      </c>
      <c r="G5" s="35">
        <f>+F5+7026880+1235482</f>
        <v>10080215.894499663</v>
      </c>
      <c r="H5" s="36"/>
      <c r="I5" s="26" t="s">
        <v>247</v>
      </c>
    </row>
    <row r="6" spans="1:9" x14ac:dyDescent="0.2">
      <c r="A6" s="43">
        <f>+A5+1</f>
        <v>2</v>
      </c>
      <c r="B6" s="26" t="s">
        <v>248</v>
      </c>
      <c r="C6" s="39">
        <v>1</v>
      </c>
      <c r="D6" s="39">
        <v>1</v>
      </c>
      <c r="E6" s="39">
        <v>1</v>
      </c>
      <c r="F6" s="40">
        <v>1</v>
      </c>
      <c r="G6" s="39">
        <v>1</v>
      </c>
      <c r="H6" s="37"/>
      <c r="I6" s="26" t="s">
        <v>249</v>
      </c>
    </row>
    <row r="7" spans="1:9" ht="13.5" thickBot="1" x14ac:dyDescent="0.25">
      <c r="A7" s="43">
        <f>+A6+1</f>
        <v>3</v>
      </c>
      <c r="B7" s="26" t="s">
        <v>250</v>
      </c>
      <c r="C7" s="38">
        <f>C5*C6</f>
        <v>1157529.6475208681</v>
      </c>
      <c r="D7" s="38">
        <f t="shared" ref="D7:G7" si="0">D5*D6</f>
        <v>494890.2469787958</v>
      </c>
      <c r="E7" s="38">
        <f t="shared" si="0"/>
        <v>165434</v>
      </c>
      <c r="F7" s="38">
        <f t="shared" si="0"/>
        <v>1817853.894499664</v>
      </c>
      <c r="G7" s="38">
        <f t="shared" si="0"/>
        <v>10080215.894499663</v>
      </c>
      <c r="H7" s="41">
        <f>F7/G7</f>
        <v>0.1803387857487842</v>
      </c>
      <c r="I7" s="26" t="s">
        <v>251</v>
      </c>
    </row>
    <row r="8" spans="1:9" ht="13.5" thickTop="1" x14ac:dyDescent="0.2">
      <c r="A8" s="43"/>
      <c r="B8" s="26"/>
      <c r="C8" s="26"/>
      <c r="D8" s="26"/>
      <c r="E8" s="26"/>
      <c r="F8" s="26"/>
      <c r="G8" s="26"/>
      <c r="H8" s="26"/>
      <c r="I8" s="26"/>
    </row>
    <row r="9" spans="1:9" x14ac:dyDescent="0.2">
      <c r="A9" s="43"/>
      <c r="B9" s="30" t="s">
        <v>252</v>
      </c>
      <c r="C9" s="26"/>
      <c r="D9" s="26"/>
      <c r="E9" s="26"/>
      <c r="F9" s="26"/>
      <c r="G9" s="26"/>
      <c r="H9" s="26"/>
      <c r="I9" s="26"/>
    </row>
    <row r="10" spans="1:9" x14ac:dyDescent="0.2">
      <c r="A10" s="43">
        <f>+A7+1</f>
        <v>4</v>
      </c>
      <c r="B10" s="26" t="s">
        <v>253</v>
      </c>
      <c r="C10" s="42">
        <f>+'Statement N(4)'!G5</f>
        <v>82998891.431993276</v>
      </c>
      <c r="D10" s="42">
        <f>+'Statement N(4)'!H5</f>
        <v>46809232.341854148</v>
      </c>
      <c r="E10" s="42">
        <f>+'Statement N(4)'!I5</f>
        <v>29930486.22615258</v>
      </c>
      <c r="F10" s="42">
        <f>SUM(C10:E10)</f>
        <v>159738610</v>
      </c>
      <c r="G10" s="42">
        <f>+'Statement N(4)'!L5</f>
        <v>2167570000</v>
      </c>
      <c r="H10" s="42"/>
      <c r="I10" s="26" t="s">
        <v>254</v>
      </c>
    </row>
    <row r="11" spans="1:9" x14ac:dyDescent="0.2">
      <c r="A11" s="43">
        <f>+A10+1</f>
        <v>5</v>
      </c>
      <c r="B11" s="26" t="s">
        <v>248</v>
      </c>
      <c r="C11" s="39">
        <v>1</v>
      </c>
      <c r="D11" s="39">
        <v>1</v>
      </c>
      <c r="E11" s="39">
        <v>1</v>
      </c>
      <c r="F11" s="40">
        <v>1</v>
      </c>
      <c r="G11" s="39">
        <v>1</v>
      </c>
      <c r="H11" s="26"/>
      <c r="I11" s="26" t="s">
        <v>249</v>
      </c>
    </row>
    <row r="12" spans="1:9" ht="13.5" thickBot="1" x14ac:dyDescent="0.25">
      <c r="A12" s="43">
        <f>+A11+1</f>
        <v>6</v>
      </c>
      <c r="B12" s="26" t="s">
        <v>255</v>
      </c>
      <c r="C12" s="38">
        <f>C10*C11</f>
        <v>82998891.431993276</v>
      </c>
      <c r="D12" s="38">
        <f t="shared" ref="D12:G12" si="1">D10*D11</f>
        <v>46809232.341854148</v>
      </c>
      <c r="E12" s="38">
        <f t="shared" si="1"/>
        <v>29930486.22615258</v>
      </c>
      <c r="F12" s="38">
        <f t="shared" si="1"/>
        <v>159738610</v>
      </c>
      <c r="G12" s="38">
        <f t="shared" si="1"/>
        <v>2167570000</v>
      </c>
      <c r="H12" s="41">
        <f>F12/G12</f>
        <v>7.3694787250238744E-2</v>
      </c>
      <c r="I12" s="26" t="s">
        <v>256</v>
      </c>
    </row>
    <row r="13" spans="1:9" ht="13.5" thickTop="1" x14ac:dyDescent="0.2"/>
  </sheetData>
  <pageMargins left="0.7" right="0.7" top="1.6583333333333334" bottom="0.75" header="0.3" footer="0.3"/>
  <pageSetup scale="65" pageOrder="overThenDown" orientation="landscape" useFirstPageNumber="1" r:id="rId1"/>
  <headerFooter alignWithMargins="0">
    <oddHeader>&amp;CRULE 20:10:13:97
STATEMENT N
Allocated Cost of Service
Test Year Ending December 31, 2025
Utility: MidAmerican Energy Company
Docket No. NG26-___
Individual Responsible: Stephen Stratton&amp;RPage &amp;P of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0A82-E4E8-4340-9FE3-AE413B246570}">
  <dimension ref="A1"/>
  <sheetViews>
    <sheetView view="pageLayout" zoomScaleNormal="100" workbookViewId="0"/>
  </sheetViews>
  <sheetFormatPr defaultRowHeight="15" x14ac:dyDescent="0.25"/>
  <sheetData>
    <row r="1" spans="1:1" x14ac:dyDescent="0.25">
      <c r="A1" t="s">
        <v>257</v>
      </c>
    </row>
  </sheetData>
  <pageMargins left="0.7" right="0.7" top="1.6583333333333334" bottom="0.75" header="0.3" footer="0.3"/>
  <pageSetup scale="80" pageOrder="overThenDown" orientation="landscape" useFirstPageNumber="1" r:id="rId1"/>
  <headerFooter alignWithMargins="0">
    <oddHeader>&amp;CRULE 20:10:13:97
STATEMENT N
Allocated Cost of Service
Test Year Ending December 31, 2025
Utility: MidAmerican Energy Company
Docket No. NG26-___
Individual Responsible: Stephen Stratton&amp;RPage &amp;P of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2231-1C59-4067-AE2D-FF174BA34E5A}">
  <dimension ref="A1"/>
  <sheetViews>
    <sheetView view="pageLayout" zoomScaleNormal="100" workbookViewId="0"/>
  </sheetViews>
  <sheetFormatPr defaultRowHeight="15" x14ac:dyDescent="0.25"/>
  <sheetData>
    <row r="1" spans="1:1" x14ac:dyDescent="0.25">
      <c r="A1" t="s">
        <v>258</v>
      </c>
    </row>
  </sheetData>
  <pageMargins left="0.7" right="0.7" top="1.6666666666666667" bottom="0.75" header="0.3" footer="0.3"/>
  <pageSetup scale="80" pageOrder="overThenDown" orientation="landscape" useFirstPageNumber="1" r:id="rId1"/>
  <headerFooter alignWithMargins="0">
    <oddHeader>&amp;CRULE 20:10:13:97
STATEMENT N
Allocated Cost of Service
Test Year Ending December 31, 2025
Utility: MidAmerican Energy Company
Docket No. NG26-___
Individual Responsible: Stephen Stratton&amp;RPage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Statement N(1)</vt:lpstr>
      <vt:lpstr>Statement N(2)</vt:lpstr>
      <vt:lpstr>Statement N(3)</vt:lpstr>
      <vt:lpstr>Statement N(4)</vt:lpstr>
      <vt:lpstr>Statement N(5)</vt:lpstr>
      <vt:lpstr>Statement N(6)</vt:lpstr>
      <vt:lpstr>Statement N(7)</vt:lpstr>
      <vt:lpstr>'Statement N(2)'!Print_Area</vt:lpstr>
      <vt:lpstr>'Statement N(3)'!Print_Area</vt:lpstr>
      <vt:lpstr>'Statement N(1)'!Print_Titles</vt:lpstr>
      <vt:lpstr>'Statement N(4)'!Print_Titles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2026-08-18T15:37:06Z</dcterms:created>
  <dcterms:modified xsi:type="dcterms:W3CDTF">2026-08-18T15:37:18Z</dcterms:modified>
  <cp:category/>
  <cp:contentStatus/>
</cp:coreProperties>
</file>