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D55EC0F3-4CD6-4E35-A501-EC013F1C869B}" xr6:coauthVersionLast="47" xr6:coauthVersionMax="47" xr10:uidLastSave="{00000000-0000-0000-0000-000000000000}"/>
  <bookViews>
    <workbookView xWindow="-120" yWindow="-120" windowWidth="29040" windowHeight="15720" tabRatio="826" xr2:uid="{ACE34B33-D514-412D-9801-5BA003184295}"/>
  </bookViews>
  <sheets>
    <sheet name="Summary" sheetId="97" r:id="rId1"/>
    <sheet name="Rate SVS" sheetId="201" r:id="rId2"/>
    <sheet name="Rate SVT" sheetId="210" r:id="rId3"/>
    <sheet name="Rate MVS" sheetId="204" r:id="rId4"/>
    <sheet name="Rate MVT" sheetId="211" r:id="rId5"/>
    <sheet name="Rate LVS" sheetId="205" r:id="rId6"/>
    <sheet name="Rate LVT" sheetId="212" r:id="rId7"/>
    <sheet name="Rate NFS" sheetId="203" r:id="rId8"/>
    <sheet name="Rate SVI" sheetId="206" r:id="rId9"/>
    <sheet name="Rate LVI" sheetId="207" r:id="rId10"/>
    <sheet name="Rate SSS" sheetId="208" r:id="rId11"/>
    <sheet name="Rate LSS" sheetId="209" r:id="rId12"/>
    <sheet name="Rate STM" sheetId="213" r:id="rId13"/>
    <sheet name="Rate MTM" sheetId="214" r:id="rId14"/>
    <sheet name="Rate CPT" sheetId="215" r:id="rId15"/>
  </sheets>
  <definedNames>
    <definedName name="INT_PG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97" l="1"/>
  <c r="E42" i="97"/>
  <c r="A13" i="97"/>
  <c r="A14" i="97" l="1"/>
  <c r="A15" i="97" s="1"/>
  <c r="I35" i="97"/>
  <c r="I41" i="97"/>
  <c r="I40" i="97"/>
  <c r="I34" i="97"/>
  <c r="I33" i="97"/>
  <c r="A16" i="97" l="1"/>
  <c r="A17" i="97" l="1"/>
  <c r="U24" i="203"/>
  <c r="I25" i="214"/>
  <c r="I25" i="213"/>
  <c r="I25" i="206"/>
  <c r="I25" i="212"/>
  <c r="I25" i="205"/>
  <c r="I27" i="211"/>
  <c r="I25" i="210"/>
  <c r="A18" i="97" l="1"/>
  <c r="I27" i="212"/>
  <c r="I25" i="211"/>
  <c r="I27" i="210"/>
  <c r="A19" i="97" l="1"/>
  <c r="M19" i="203"/>
  <c r="M22" i="201"/>
  <c r="M21" i="201"/>
  <c r="M20" i="201"/>
  <c r="Q22" i="201"/>
  <c r="Q21" i="201"/>
  <c r="Q20" i="201"/>
  <c r="M23" i="201"/>
  <c r="Q23" i="201"/>
  <c r="Q25" i="204"/>
  <c r="Q23" i="204"/>
  <c r="Q22" i="204"/>
  <c r="M27" i="201"/>
  <c r="M20" i="204"/>
  <c r="Q21" i="204"/>
  <c r="M26" i="201"/>
  <c r="Q20" i="204"/>
  <c r="M25" i="204"/>
  <c r="M23" i="204"/>
  <c r="M22" i="204"/>
  <c r="M21" i="204"/>
  <c r="A20" i="97" l="1"/>
  <c r="A21" i="97"/>
  <c r="A22" i="97" s="1"/>
  <c r="M17" i="203"/>
  <c r="M17" i="204"/>
  <c r="M17" i="201"/>
  <c r="Q17" i="204"/>
  <c r="Q17" i="201"/>
  <c r="A23" i="97" l="1"/>
  <c r="Q21" i="215"/>
  <c r="Q20" i="215"/>
  <c r="Q19" i="215"/>
  <c r="S21" i="215"/>
  <c r="U21" i="215" s="1"/>
  <c r="S20" i="215"/>
  <c r="U20" i="215" s="1"/>
  <c r="S19" i="215"/>
  <c r="U19" i="215" s="1"/>
  <c r="M21" i="215"/>
  <c r="M20" i="215"/>
  <c r="M19" i="215"/>
  <c r="M17" i="215"/>
  <c r="S17" i="215"/>
  <c r="U17" i="215" s="1"/>
  <c r="Q17" i="215"/>
  <c r="A17" i="215"/>
  <c r="U13" i="215"/>
  <c r="Q13" i="215"/>
  <c r="M13" i="215"/>
  <c r="S25" i="214"/>
  <c r="S23" i="214"/>
  <c r="S22" i="214"/>
  <c r="S21" i="214"/>
  <c r="S20" i="214"/>
  <c r="S25" i="213"/>
  <c r="S23" i="213"/>
  <c r="S22" i="213"/>
  <c r="S21" i="213"/>
  <c r="S20" i="213"/>
  <c r="S27" i="212"/>
  <c r="S25" i="212"/>
  <c r="S23" i="212"/>
  <c r="S22" i="212"/>
  <c r="S21" i="212"/>
  <c r="S20" i="212"/>
  <c r="S27" i="211"/>
  <c r="S25" i="211"/>
  <c r="S29" i="211"/>
  <c r="S23" i="211"/>
  <c r="S22" i="211"/>
  <c r="S21" i="211"/>
  <c r="S20" i="211"/>
  <c r="S27" i="210"/>
  <c r="S25" i="210"/>
  <c r="S23" i="210"/>
  <c r="S22" i="210"/>
  <c r="S21" i="210"/>
  <c r="S23" i="209"/>
  <c r="S22" i="209"/>
  <c r="S21" i="209"/>
  <c r="S20" i="209"/>
  <c r="Q17" i="209"/>
  <c r="S17" i="208"/>
  <c r="S23" i="208"/>
  <c r="S22" i="208"/>
  <c r="S21" i="208"/>
  <c r="S20" i="208"/>
  <c r="S25" i="207"/>
  <c r="S23" i="207"/>
  <c r="S22" i="207"/>
  <c r="S21" i="207"/>
  <c r="S20" i="207"/>
  <c r="S25" i="206"/>
  <c r="S27" i="206"/>
  <c r="S23" i="206"/>
  <c r="S22" i="206"/>
  <c r="S21" i="206"/>
  <c r="S20" i="206"/>
  <c r="S25" i="205"/>
  <c r="S23" i="205"/>
  <c r="S22" i="205"/>
  <c r="S21" i="205"/>
  <c r="S20" i="205"/>
  <c r="S17" i="204"/>
  <c r="S21" i="204"/>
  <c r="S22" i="204"/>
  <c r="S23" i="204"/>
  <c r="S20" i="204"/>
  <c r="S21" i="201"/>
  <c r="U21" i="201" s="1"/>
  <c r="S22" i="201"/>
  <c r="U22" i="201" s="1"/>
  <c r="S23" i="201"/>
  <c r="U23" i="201" s="1"/>
  <c r="S20" i="201"/>
  <c r="U20" i="201" s="1"/>
  <c r="Q27" i="210"/>
  <c r="Q25" i="210"/>
  <c r="M27" i="210"/>
  <c r="M25" i="210"/>
  <c r="A24" i="97" l="1"/>
  <c r="A19" i="215"/>
  <c r="Q23" i="215"/>
  <c r="G24" i="97" s="1"/>
  <c r="U23" i="215"/>
  <c r="U23" i="214"/>
  <c r="U22" i="214"/>
  <c r="U21" i="214"/>
  <c r="U20" i="214"/>
  <c r="A26" i="97" l="1"/>
  <c r="A28" i="97" s="1"/>
  <c r="A30" i="97" s="1"/>
  <c r="A20" i="215"/>
  <c r="A21" i="215" s="1"/>
  <c r="M23" i="215"/>
  <c r="E24" i="97" s="1"/>
  <c r="I24" i="97" s="1"/>
  <c r="Q25" i="214"/>
  <c r="U25" i="213"/>
  <c r="S27" i="214"/>
  <c r="Q22" i="214"/>
  <c r="M22" i="214"/>
  <c r="Q21" i="214"/>
  <c r="M21" i="214"/>
  <c r="Q20" i="214"/>
  <c r="M20" i="214"/>
  <c r="S17" i="214"/>
  <c r="M17" i="214"/>
  <c r="A17" i="214"/>
  <c r="U13" i="214"/>
  <c r="Q13" i="214"/>
  <c r="M13" i="214"/>
  <c r="M29" i="213"/>
  <c r="M28" i="213"/>
  <c r="U23" i="213"/>
  <c r="Q23" i="213"/>
  <c r="M23" i="213"/>
  <c r="U22" i="213"/>
  <c r="Q22" i="213"/>
  <c r="M22" i="213"/>
  <c r="U21" i="213"/>
  <c r="Q21" i="213"/>
  <c r="M21" i="213"/>
  <c r="U20" i="213"/>
  <c r="Q20" i="213"/>
  <c r="M20" i="213"/>
  <c r="S17" i="213"/>
  <c r="Q17" i="213"/>
  <c r="M17" i="213"/>
  <c r="A17" i="213"/>
  <c r="U13" i="213"/>
  <c r="Q13" i="213"/>
  <c r="M13" i="213"/>
  <c r="Q17" i="212"/>
  <c r="Q23" i="212"/>
  <c r="U22" i="212"/>
  <c r="U21" i="212"/>
  <c r="Q21" i="212"/>
  <c r="M21" i="212"/>
  <c r="U20" i="212"/>
  <c r="Q20" i="212"/>
  <c r="M20" i="212"/>
  <c r="S17" i="212"/>
  <c r="A17" i="212"/>
  <c r="U13" i="212"/>
  <c r="Q13" i="212"/>
  <c r="M13" i="212"/>
  <c r="U23" i="211"/>
  <c r="U22" i="211"/>
  <c r="M21" i="211"/>
  <c r="U20" i="211"/>
  <c r="Q20" i="211"/>
  <c r="M20" i="211"/>
  <c r="S17" i="211"/>
  <c r="A17" i="211"/>
  <c r="U13" i="211"/>
  <c r="Q13" i="211"/>
  <c r="M13" i="211"/>
  <c r="M31" i="210"/>
  <c r="U23" i="210"/>
  <c r="Q23" i="210"/>
  <c r="M23" i="210"/>
  <c r="U22" i="210"/>
  <c r="Q21" i="210"/>
  <c r="S17" i="210"/>
  <c r="Q17" i="210"/>
  <c r="A17" i="210"/>
  <c r="U13" i="210"/>
  <c r="Q13" i="210"/>
  <c r="M13" i="210"/>
  <c r="S27" i="209"/>
  <c r="U27" i="209" s="1"/>
  <c r="Q27" i="209"/>
  <c r="M27" i="209"/>
  <c r="S26" i="209"/>
  <c r="U26" i="209" s="1"/>
  <c r="Q26" i="209"/>
  <c r="M26" i="209"/>
  <c r="U23" i="209"/>
  <c r="U22" i="209"/>
  <c r="U21" i="209"/>
  <c r="U20" i="209"/>
  <c r="Q20" i="209"/>
  <c r="M20" i="209"/>
  <c r="S17" i="209"/>
  <c r="A17" i="209"/>
  <c r="U13" i="209"/>
  <c r="Q13" i="209"/>
  <c r="M13" i="209"/>
  <c r="Q17" i="208"/>
  <c r="U23" i="208"/>
  <c r="M22" i="208"/>
  <c r="U21" i="208"/>
  <c r="S27" i="208"/>
  <c r="U27" i="208" s="1"/>
  <c r="Q27" i="208"/>
  <c r="M27" i="208"/>
  <c r="S26" i="208"/>
  <c r="U26" i="208" s="1"/>
  <c r="Q26" i="208"/>
  <c r="M26" i="208"/>
  <c r="U20" i="208"/>
  <c r="Q20" i="208"/>
  <c r="M20" i="208"/>
  <c r="A17" i="208"/>
  <c r="U13" i="208"/>
  <c r="Q13" i="208"/>
  <c r="M13" i="208"/>
  <c r="Q23" i="207"/>
  <c r="I25" i="207"/>
  <c r="U22" i="206"/>
  <c r="U22" i="207"/>
  <c r="Q22" i="207"/>
  <c r="M22" i="207"/>
  <c r="U21" i="207"/>
  <c r="Q21" i="207"/>
  <c r="M21" i="207"/>
  <c r="U20" i="207"/>
  <c r="Q20" i="207"/>
  <c r="M20" i="207"/>
  <c r="S17" i="207"/>
  <c r="A17" i="207"/>
  <c r="U13" i="207"/>
  <c r="Q13" i="207"/>
  <c r="M13" i="207"/>
  <c r="U21" i="206"/>
  <c r="Q21" i="206"/>
  <c r="M21" i="206"/>
  <c r="U20" i="206"/>
  <c r="Q20" i="206"/>
  <c r="M20" i="206"/>
  <c r="S17" i="206"/>
  <c r="A17" i="206"/>
  <c r="U13" i="206"/>
  <c r="Q13" i="206"/>
  <c r="M13" i="206"/>
  <c r="M30" i="205"/>
  <c r="M25" i="205"/>
  <c r="U23" i="205"/>
  <c r="Q23" i="205"/>
  <c r="M23" i="205"/>
  <c r="U22" i="205"/>
  <c r="U21" i="205"/>
  <c r="U20" i="205"/>
  <c r="S17" i="205"/>
  <c r="Q17" i="205"/>
  <c r="A17" i="205"/>
  <c r="U13" i="205"/>
  <c r="Q13" i="205"/>
  <c r="M13" i="205"/>
  <c r="U23" i="204"/>
  <c r="U22" i="204"/>
  <c r="U21" i="204"/>
  <c r="U20" i="204"/>
  <c r="S25" i="204"/>
  <c r="A17" i="204"/>
  <c r="U13" i="204"/>
  <c r="Q13" i="204"/>
  <c r="M13" i="204"/>
  <c r="S19" i="203"/>
  <c r="S17" i="203"/>
  <c r="A32" i="97" l="1"/>
  <c r="A33" i="97" s="1"/>
  <c r="A34" i="97" s="1"/>
  <c r="A35" i="97" s="1"/>
  <c r="A36" i="97" s="1"/>
  <c r="A23" i="215"/>
  <c r="U25" i="207"/>
  <c r="Q25" i="207"/>
  <c r="U17" i="210"/>
  <c r="U17" i="209"/>
  <c r="U29" i="209" s="1"/>
  <c r="U17" i="205"/>
  <c r="U17" i="213"/>
  <c r="U19" i="203"/>
  <c r="M25" i="214"/>
  <c r="U25" i="214"/>
  <c r="M25" i="213"/>
  <c r="Q25" i="213"/>
  <c r="U25" i="211"/>
  <c r="Q17" i="211"/>
  <c r="A21" i="210"/>
  <c r="A22" i="210" s="1"/>
  <c r="A21" i="204"/>
  <c r="A22" i="204" s="1"/>
  <c r="M23" i="211"/>
  <c r="Q23" i="211"/>
  <c r="M29" i="211"/>
  <c r="Q29" i="211"/>
  <c r="U29" i="211"/>
  <c r="M17" i="211"/>
  <c r="Q17" i="207"/>
  <c r="U22" i="208"/>
  <c r="Q22" i="208"/>
  <c r="U27" i="211"/>
  <c r="Q22" i="212"/>
  <c r="M23" i="212"/>
  <c r="U17" i="211"/>
  <c r="M23" i="208"/>
  <c r="M22" i="212"/>
  <c r="U23" i="212"/>
  <c r="Q23" i="208"/>
  <c r="U25" i="212"/>
  <c r="U27" i="212"/>
  <c r="U17" i="206"/>
  <c r="M32" i="212"/>
  <c r="M21" i="208"/>
  <c r="U21" i="211"/>
  <c r="U27" i="214"/>
  <c r="Q21" i="211"/>
  <c r="Q21" i="208"/>
  <c r="M22" i="211"/>
  <c r="M27" i="207"/>
  <c r="U17" i="214"/>
  <c r="M17" i="212"/>
  <c r="M22" i="206"/>
  <c r="U17" i="212"/>
  <c r="Q22" i="206"/>
  <c r="M27" i="206"/>
  <c r="Q27" i="206"/>
  <c r="U27" i="206"/>
  <c r="Q22" i="211"/>
  <c r="Q23" i="214"/>
  <c r="Q17" i="214"/>
  <c r="M27" i="214"/>
  <c r="Q27" i="214"/>
  <c r="M23" i="214"/>
  <c r="A21" i="213"/>
  <c r="M30" i="210"/>
  <c r="U21" i="210"/>
  <c r="M22" i="210"/>
  <c r="Q22" i="210"/>
  <c r="M21" i="210"/>
  <c r="M17" i="210"/>
  <c r="M17" i="209"/>
  <c r="Q23" i="209"/>
  <c r="M23" i="209"/>
  <c r="M21" i="209"/>
  <c r="Q21" i="209"/>
  <c r="M22" i="209"/>
  <c r="Q22" i="209"/>
  <c r="U17" i="208"/>
  <c r="M17" i="208"/>
  <c r="U23" i="207"/>
  <c r="M23" i="207"/>
  <c r="U17" i="207"/>
  <c r="M23" i="206"/>
  <c r="Q23" i="206"/>
  <c r="U23" i="206"/>
  <c r="M17" i="207"/>
  <c r="M25" i="207"/>
  <c r="A21" i="206"/>
  <c r="A22" i="206" s="1"/>
  <c r="A21" i="205"/>
  <c r="A22" i="205" s="1"/>
  <c r="M20" i="205"/>
  <c r="M28" i="205"/>
  <c r="Q20" i="205"/>
  <c r="M29" i="205"/>
  <c r="M21" i="205"/>
  <c r="Q21" i="205"/>
  <c r="M22" i="205"/>
  <c r="Q22" i="205"/>
  <c r="M17" i="205"/>
  <c r="U25" i="204"/>
  <c r="A24" i="215" l="1"/>
  <c r="M32" i="205"/>
  <c r="E16" i="97" s="1"/>
  <c r="U29" i="214"/>
  <c r="A23" i="210"/>
  <c r="U31" i="211"/>
  <c r="M25" i="212"/>
  <c r="Q25" i="212"/>
  <c r="M27" i="212"/>
  <c r="Q27" i="212"/>
  <c r="M29" i="208"/>
  <c r="E20" i="97" s="1"/>
  <c r="M31" i="213"/>
  <c r="E22" i="97" s="1"/>
  <c r="A21" i="214"/>
  <c r="A22" i="214" s="1"/>
  <c r="M27" i="211"/>
  <c r="Q27" i="211"/>
  <c r="M25" i="211"/>
  <c r="Q25" i="211"/>
  <c r="Q27" i="204"/>
  <c r="G14" i="97" s="1"/>
  <c r="U17" i="204"/>
  <c r="U27" i="204" s="1"/>
  <c r="U29" i="208"/>
  <c r="M27" i="204"/>
  <c r="E14" i="97" s="1"/>
  <c r="Q17" i="206"/>
  <c r="Q29" i="208"/>
  <c r="G20" i="97" s="1"/>
  <c r="U25" i="206"/>
  <c r="U29" i="206" s="1"/>
  <c r="M17" i="206"/>
  <c r="M29" i="214"/>
  <c r="E23" i="97" s="1"/>
  <c r="Q29" i="214"/>
  <c r="G23" i="97" s="1"/>
  <c r="A22" i="213"/>
  <c r="A21" i="212"/>
  <c r="A22" i="212" s="1"/>
  <c r="A21" i="211"/>
  <c r="M33" i="210"/>
  <c r="E13" i="97" s="1"/>
  <c r="Q29" i="209"/>
  <c r="G21" i="97" s="1"/>
  <c r="A21" i="209"/>
  <c r="M29" i="209"/>
  <c r="E21" i="97" s="1"/>
  <c r="A21" i="208"/>
  <c r="A22" i="208" s="1"/>
  <c r="A21" i="207"/>
  <c r="A22" i="207" s="1"/>
  <c r="M29" i="207"/>
  <c r="E19" i="97" s="1"/>
  <c r="A23" i="206"/>
  <c r="A23" i="205"/>
  <c r="A25" i="205" s="1"/>
  <c r="A23" i="204"/>
  <c r="I23" i="97" l="1"/>
  <c r="I21" i="97"/>
  <c r="I20" i="97"/>
  <c r="I14" i="97"/>
  <c r="A25" i="210"/>
  <c r="A27" i="210" s="1"/>
  <c r="A30" i="210" s="1"/>
  <c r="A31" i="210" s="1"/>
  <c r="A33" i="210" s="1"/>
  <c r="A23" i="214"/>
  <c r="A25" i="214" s="1"/>
  <c r="U30" i="214"/>
  <c r="M31" i="211"/>
  <c r="E15" i="97" s="1"/>
  <c r="U30" i="208"/>
  <c r="Q30" i="208"/>
  <c r="Q31" i="211"/>
  <c r="G15" i="97" s="1"/>
  <c r="M25" i="206"/>
  <c r="Q25" i="206"/>
  <c r="A27" i="205"/>
  <c r="A28" i="205" s="1"/>
  <c r="A25" i="204"/>
  <c r="A27" i="204" s="1"/>
  <c r="Q30" i="214"/>
  <c r="A23" i="213"/>
  <c r="A23" i="212"/>
  <c r="A25" i="212" s="1"/>
  <c r="A22" i="211"/>
  <c r="A22" i="209"/>
  <c r="A23" i="208"/>
  <c r="A23" i="207"/>
  <c r="A25" i="206"/>
  <c r="A27" i="206" s="1"/>
  <c r="Q28" i="204"/>
  <c r="U28" i="204"/>
  <c r="I15" i="97" l="1"/>
  <c r="M29" i="206"/>
  <c r="E18" i="97" s="1"/>
  <c r="Q29" i="206"/>
  <c r="G18" i="97" s="1"/>
  <c r="A34" i="210"/>
  <c r="A27" i="214"/>
  <c r="A29" i="214" s="1"/>
  <c r="U32" i="211"/>
  <c r="Q32" i="211"/>
  <c r="A27" i="212"/>
  <c r="A30" i="212" s="1"/>
  <c r="A31" i="212" s="1"/>
  <c r="A32" i="212" s="1"/>
  <c r="A34" i="212" s="1"/>
  <c r="A25" i="213"/>
  <c r="A27" i="213" s="1"/>
  <c r="A23" i="211"/>
  <c r="A25" i="211" s="1"/>
  <c r="A27" i="211" s="1"/>
  <c r="A26" i="208"/>
  <c r="A27" i="208" s="1"/>
  <c r="A29" i="208" s="1"/>
  <c r="A30" i="205"/>
  <c r="A32" i="205" s="1"/>
  <c r="A33" i="205" s="1"/>
  <c r="A23" i="209"/>
  <c r="A26" i="209" s="1"/>
  <c r="A25" i="207"/>
  <c r="A27" i="207" s="1"/>
  <c r="A29" i="206"/>
  <c r="A30" i="214" l="1"/>
  <c r="I18" i="97"/>
  <c r="Q30" i="206"/>
  <c r="U30" i="206"/>
  <c r="A28" i="213"/>
  <c r="A29" i="213" s="1"/>
  <c r="A31" i="213" s="1"/>
  <c r="A35" i="212"/>
  <c r="A27" i="209"/>
  <c r="A29" i="209" s="1"/>
  <c r="A31" i="211"/>
  <c r="A30" i="208"/>
  <c r="A29" i="207"/>
  <c r="A30" i="206"/>
  <c r="A32" i="213" l="1"/>
  <c r="A30" i="209"/>
  <c r="A32" i="211"/>
  <c r="A30" i="207"/>
  <c r="U17" i="203" l="1"/>
  <c r="Q17" i="203" l="1"/>
  <c r="A17" i="203"/>
  <c r="U13" i="203"/>
  <c r="Q13" i="203"/>
  <c r="M13" i="203"/>
  <c r="A19" i="203" l="1"/>
  <c r="A21" i="203" s="1"/>
  <c r="Q19" i="203"/>
  <c r="U21" i="203"/>
  <c r="A22" i="203" l="1"/>
  <c r="A24" i="203" s="1"/>
  <c r="Q21" i="203"/>
  <c r="M21" i="203"/>
  <c r="A26" i="203" l="1"/>
  <c r="A27" i="203" s="1"/>
  <c r="M26" i="203"/>
  <c r="E28" i="97" s="1"/>
  <c r="Q26" i="203"/>
  <c r="U22" i="203"/>
  <c r="Q22" i="203"/>
  <c r="U26" i="203" l="1"/>
  <c r="U27" i="203" s="1"/>
  <c r="Q27" i="203"/>
  <c r="G28" i="97"/>
  <c r="I28" i="97" s="1"/>
  <c r="S17" i="201"/>
  <c r="U17" i="201" l="1"/>
  <c r="A17" i="201"/>
  <c r="U13" i="201"/>
  <c r="Q13" i="201"/>
  <c r="M13" i="201"/>
  <c r="A21" i="201" l="1"/>
  <c r="A22" i="201" s="1"/>
  <c r="A23" i="201" s="1"/>
  <c r="A26" i="201" l="1"/>
  <c r="A27" i="201" s="1"/>
  <c r="M29" i="201"/>
  <c r="E12" i="97" s="1"/>
  <c r="A29" i="201" l="1"/>
  <c r="A30" i="201" l="1"/>
  <c r="M30" i="212" l="1"/>
  <c r="M31" i="212" l="1"/>
  <c r="M34" i="212" l="1"/>
  <c r="E17" i="97" s="1"/>
  <c r="E30" i="97" s="1"/>
  <c r="E36" i="97" s="1"/>
  <c r="E26" i="97" l="1"/>
  <c r="Q30" i="212"/>
  <c r="S30" i="212"/>
  <c r="U30" i="212" s="1"/>
  <c r="S28" i="205"/>
  <c r="U28" i="205" s="1"/>
  <c r="Q28" i="205"/>
  <c r="S31" i="212"/>
  <c r="U31" i="212" s="1"/>
  <c r="Q31" i="212"/>
  <c r="Q29" i="205"/>
  <c r="S29" i="205"/>
  <c r="U29" i="205" s="1"/>
  <c r="S29" i="213" l="1"/>
  <c r="U29" i="213" s="1"/>
  <c r="Q29" i="213"/>
  <c r="S31" i="210"/>
  <c r="U31" i="210" s="1"/>
  <c r="Q31" i="210"/>
  <c r="Q27" i="201"/>
  <c r="S27" i="201"/>
  <c r="U27" i="201" s="1"/>
  <c r="S30" i="210"/>
  <c r="U30" i="210" s="1"/>
  <c r="Q30" i="210"/>
  <c r="Q26" i="201"/>
  <c r="S26" i="201"/>
  <c r="U26" i="201" s="1"/>
  <c r="S28" i="213"/>
  <c r="U28" i="213" s="1"/>
  <c r="Q28" i="213"/>
  <c r="Q32" i="212"/>
  <c r="S32" i="212"/>
  <c r="U32" i="212" s="1"/>
  <c r="U34" i="212" s="1"/>
  <c r="S30" i="205"/>
  <c r="U30" i="205" s="1"/>
  <c r="U32" i="205" s="1"/>
  <c r="Q30" i="205"/>
  <c r="S27" i="207"/>
  <c r="U27" i="207" s="1"/>
  <c r="U29" i="207" s="1"/>
  <c r="Q27" i="207"/>
  <c r="U33" i="210" l="1"/>
  <c r="Q29" i="207"/>
  <c r="G19" i="97" s="1"/>
  <c r="I19" i="97" s="1"/>
  <c r="Q33" i="210"/>
  <c r="G13" i="97" s="1"/>
  <c r="I13" i="97" s="1"/>
  <c r="Q32" i="205"/>
  <c r="G16" i="97" s="1"/>
  <c r="I16" i="97" s="1"/>
  <c r="Q34" i="212"/>
  <c r="G17" i="97" s="1"/>
  <c r="Q31" i="213"/>
  <c r="G22" i="97" s="1"/>
  <c r="I22" i="97" s="1"/>
  <c r="U31" i="213"/>
  <c r="U32" i="213" s="1"/>
  <c r="U29" i="201"/>
  <c r="U30" i="201" s="1"/>
  <c r="Q29" i="201"/>
  <c r="U35" i="212"/>
  <c r="U30" i="207"/>
  <c r="Q32" i="213" l="1"/>
  <c r="Q30" i="207"/>
  <c r="I17" i="97"/>
  <c r="Q35" i="212"/>
  <c r="Q30" i="201"/>
  <c r="G12" i="97"/>
  <c r="G30" i="97" s="1"/>
  <c r="G36" i="97" s="1"/>
  <c r="I36" i="97" l="1"/>
  <c r="G26" i="97"/>
  <c r="I12" i="97"/>
  <c r="I30" i="97" s="1"/>
  <c r="I38" i="97" l="1"/>
  <c r="I26" i="97"/>
  <c r="I44" i="97" l="1"/>
  <c r="A38" i="97" l="1"/>
  <c r="A40" i="97" l="1"/>
  <c r="A41" i="97" l="1"/>
  <c r="A42" i="97" l="1"/>
  <c r="A44" i="97" l="1"/>
  <c r="I42" i="97"/>
</calcChain>
</file>

<file path=xl/sharedStrings.xml><?xml version="1.0" encoding="utf-8"?>
<sst xmlns="http://schemas.openxmlformats.org/spreadsheetml/2006/main" count="961" uniqueCount="132">
  <si>
    <t>Rule 20:10:13:41</t>
  </si>
  <si>
    <t>South Dakota Gas - Comparison of Sales, Service, and Revenues</t>
  </si>
  <si>
    <t>Test Year Ending December 31, 2025</t>
  </si>
  <si>
    <t>Utility: MidAmerican Energy Company</t>
  </si>
  <si>
    <t>Docket No. NG26-___</t>
  </si>
  <si>
    <t>Individual Responsible: Stephen Stratton</t>
  </si>
  <si>
    <t>Line</t>
  </si>
  <si>
    <t>No.</t>
  </si>
  <si>
    <t>Code</t>
  </si>
  <si>
    <t>Current</t>
  </si>
  <si>
    <t>Proposed</t>
  </si>
  <si>
    <t>Increase</t>
  </si>
  <si>
    <t>(a)</t>
  </si>
  <si>
    <t>(b)</t>
  </si>
  <si>
    <t>(c)</t>
  </si>
  <si>
    <t>(d)</t>
  </si>
  <si>
    <t xml:space="preserve">Rate SVS </t>
  </si>
  <si>
    <t>Rate MVS</t>
  </si>
  <si>
    <t>Rate LVS</t>
  </si>
  <si>
    <t>Rate SVI</t>
  </si>
  <si>
    <t>Rate LVI</t>
  </si>
  <si>
    <t>Rate SSS</t>
  </si>
  <si>
    <t>Rate LSS</t>
  </si>
  <si>
    <t>Rate SVT</t>
  </si>
  <si>
    <t>Rate MVT</t>
  </si>
  <si>
    <t>Rate LVT</t>
  </si>
  <si>
    <t>Rate STM</t>
  </si>
  <si>
    <t>Rate MTM</t>
  </si>
  <si>
    <t>Rate CPT</t>
  </si>
  <si>
    <t>Total</t>
  </si>
  <si>
    <t>Source:</t>
  </si>
  <si>
    <t>Change</t>
  </si>
  <si>
    <t>Rate</t>
  </si>
  <si>
    <t>Billing Units</t>
  </si>
  <si>
    <t>Unit</t>
  </si>
  <si>
    <t>Annual</t>
  </si>
  <si>
    <t>Description</t>
  </si>
  <si>
    <t>Type</t>
  </si>
  <si>
    <t>Amount</t>
  </si>
  <si>
    <t>Charge</t>
  </si>
  <si>
    <t>Revenues</t>
  </si>
  <si>
    <t>(e)</t>
  </si>
  <si>
    <t>(f)</t>
  </si>
  <si>
    <t>(g)</t>
  </si>
  <si>
    <t>(h)</t>
  </si>
  <si>
    <t>(i)</t>
  </si>
  <si>
    <t>(j)</t>
  </si>
  <si>
    <t>= (g) - (e)</t>
  </si>
  <si>
    <t>SVS</t>
  </si>
  <si>
    <t>Small Volume Service</t>
  </si>
  <si>
    <t>Base Rates</t>
  </si>
  <si>
    <t>Basic Service Charge</t>
  </si>
  <si>
    <t>(Bills)</t>
  </si>
  <si>
    <t>Meter Class Charge:</t>
  </si>
  <si>
    <t>Class 1 (0-675)</t>
  </si>
  <si>
    <t>Class 2 (675-3,000)</t>
  </si>
  <si>
    <t>Class 3 (3,000-11,000)</t>
  </si>
  <si>
    <t>Class 4 (over 11,000)</t>
  </si>
  <si>
    <t>Distribution Charge:</t>
  </si>
  <si>
    <t>First 250</t>
  </si>
  <si>
    <t>(Therms)</t>
  </si>
  <si>
    <t>Over 250</t>
  </si>
  <si>
    <t>Total Base Rate Revenue</t>
  </si>
  <si>
    <t>% change versus Current</t>
  </si>
  <si>
    <t>Sources:</t>
  </si>
  <si>
    <t>Column (d): Workpapers for Statement O, "Billing Determinants" Tab</t>
  </si>
  <si>
    <t>Column (e), Lines 2-10: SD Gas tariff rates as of August 2026</t>
  </si>
  <si>
    <t>Column (g): Workpapers for Statement O, "Rate Summary" Tab</t>
  </si>
  <si>
    <t>SVT</t>
  </si>
  <si>
    <t>Small Volume Transport</t>
  </si>
  <si>
    <t>Transportation Administration Charge</t>
  </si>
  <si>
    <t>Transportation Meter Charge</t>
  </si>
  <si>
    <t>Column (e), Lines 2-12: SD Gas tariff rates as of August 2026</t>
  </si>
  <si>
    <t>MVS</t>
  </si>
  <si>
    <t>Medium Volume Service</t>
  </si>
  <si>
    <t>Distribution Charge</t>
  </si>
  <si>
    <t>Column (e), Lines 2-8: SD Gas tariff rates as of August 2026</t>
  </si>
  <si>
    <t>MVT</t>
  </si>
  <si>
    <t>Medium Volume Transport</t>
  </si>
  <si>
    <t>LVS</t>
  </si>
  <si>
    <t>Large Volume Service</t>
  </si>
  <si>
    <t>Interval Meter Charge</t>
  </si>
  <si>
    <t>Distribution Demand Charge:</t>
  </si>
  <si>
    <t>MDR</t>
  </si>
  <si>
    <t>MHQ</t>
  </si>
  <si>
    <t>LVT</t>
  </si>
  <si>
    <t>Large Volume Transport</t>
  </si>
  <si>
    <t>Column (e), Lines 2-13: SD Gas tariff rates as of August 2026</t>
  </si>
  <si>
    <t>NFS</t>
  </si>
  <si>
    <t>Farm Tap Service</t>
  </si>
  <si>
    <t>Rate NFS Deficit Collected through Clause PGA (from December 2025 PGA filing)</t>
  </si>
  <si>
    <t>Total Cost to Serve</t>
  </si>
  <si>
    <t>Column (e), Lines 2-3: SD Gas tariff rates as of August 2026</t>
  </si>
  <si>
    <t>Columns (f) and (h), Line 6: Workpapers for Statement O, "Rate Summary" Tab</t>
  </si>
  <si>
    <t>SVI</t>
  </si>
  <si>
    <t>Small Volume Interruptible Service</t>
  </si>
  <si>
    <t>Column (e), Lines 2-9: SD Gas tariff rates as of August 2026</t>
  </si>
  <si>
    <t>LVI</t>
  </si>
  <si>
    <t>Large Volume Interruptible Service</t>
  </si>
  <si>
    <t>SSS</t>
  </si>
  <si>
    <t>Small Seasonal Gas Service</t>
  </si>
  <si>
    <t>Non-Gas Commodity Charge:</t>
  </si>
  <si>
    <t>March - November</t>
  </si>
  <si>
    <t>December - February</t>
  </si>
  <si>
    <t>LSS</t>
  </si>
  <si>
    <t>Large Seasonal Gas Service</t>
  </si>
  <si>
    <t>STM</t>
  </si>
  <si>
    <t>Monthly Metered Transportation Service - Small Transport</t>
  </si>
  <si>
    <t>Administrative Fee</t>
  </si>
  <si>
    <t>Column (e), Lines 2-11: SD Gas tariff rates as of August 2026</t>
  </si>
  <si>
    <t>MTM</t>
  </si>
  <si>
    <t>Monthly Metered Transportation Service - Medium Transport</t>
  </si>
  <si>
    <t>CPT</t>
  </si>
  <si>
    <t>Competitive Pricing Transportation</t>
  </si>
  <si>
    <t>Meter Class Charge per Meter</t>
  </si>
  <si>
    <t>Minimum Monthly Billing</t>
  </si>
  <si>
    <t>Commodity Charge</t>
  </si>
  <si>
    <t>MDR/MHQ Penalties</t>
  </si>
  <si>
    <t>MMT Switching and Scheduling Charges</t>
  </si>
  <si>
    <t>Misc Service Revenues</t>
  </si>
  <si>
    <t>Other Gas Revenues - Rents</t>
  </si>
  <si>
    <t>Sales Growth Pro Forma</t>
  </si>
  <si>
    <t>Revenue Requirement, per Exhibit BMG 1.1</t>
  </si>
  <si>
    <t>Subtotal, excluding Rate NFS</t>
  </si>
  <si>
    <t>Rate NFS, including Rate NFS Deficit</t>
  </si>
  <si>
    <t>Reconciliation to Revenue Requirement</t>
  </si>
  <si>
    <t>Difference/Rounding</t>
  </si>
  <si>
    <t>Total Tariffed Revenues</t>
  </si>
  <si>
    <t>Line 22, Col (c): Statement O Workpapers, tab "FUN-1 (Results)", line 18, col (b)</t>
  </si>
  <si>
    <t>Line 22, Col (b): Statement O Workpapers, tab "FUN-1 (Results)", line 12, col (b)</t>
  </si>
  <si>
    <t>Lines 18-20 and 23-24: Statement O Workpapers, tab "Rate Summary" , Rows 73 through 81</t>
  </si>
  <si>
    <t>Line 26: Exhibit BMG 1.1, Schedule 1, Lines 11 through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</si>
</sst>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_);_(* \(#,##0.00000\);_(* &quot;-&quot;?????_);_(@_)"/>
    <numFmt numFmtId="165" formatCode="_(* #,##0_);_(* \(#,##0\);_(* &quot;-&quot;??_);_(@_)"/>
    <numFmt numFmtId="166" formatCode="_(* #,##0.00000_);_(* \(#,##0.00000\);_(* &quot;-&quot;??_);_(@_)"/>
    <numFmt numFmtId="167" formatCode="_(&quot;$&quot;* #,##0_);_(&quot;$&quot;* \(#,##0\);_(&quot;$&quot;* &quot;-&quot;??_);_(@_)"/>
    <numFmt numFmtId="168" formatCode="_(&quot;$&quot;* #,##0.00000_);_(&quot;$&quot;* \(#,##0.00000\);_(&quot;$&quot;* &quot;-&quot;??_);_(@_)"/>
    <numFmt numFmtId="169" formatCode="0.0%_);\(0.0%\);&quot;-&quot;_)"/>
    <numFmt numFmtId="170" formatCode="_(&quot;$&quot;* #,##0.0000000_);_(&quot;$&quot;* \(#,##0.0000000\);_(&quot;$&quot;* &quot;-&quot;?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43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1" fillId="0" borderId="0" applyFont="0" applyFill="0" applyBorder="0" applyAlignment="0" applyProtection="0"/>
    <xf numFmtId="41" fontId="12" fillId="0" borderId="0" applyFont="0" applyFill="0" applyBorder="0" applyAlignment="0" applyProtection="0"/>
  </cellStyleXfs>
  <cellXfs count="100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quotePrefix="1" applyFont="1" applyAlignment="1">
      <alignment horizontal="center" vertical="top"/>
    </xf>
    <xf numFmtId="0" fontId="6" fillId="0" borderId="0" xfId="0" applyFont="1" applyAlignment="1">
      <alignment horizontal="left"/>
    </xf>
    <xf numFmtId="41" fontId="6" fillId="0" borderId="0" xfId="0" applyNumberFormat="1" applyFont="1"/>
    <xf numFmtId="165" fontId="6" fillId="0" borderId="0" xfId="0" applyNumberFormat="1" applyFont="1"/>
    <xf numFmtId="41" fontId="6" fillId="0" borderId="0" xfId="0" applyNumberFormat="1" applyFont="1" applyAlignment="1">
      <alignment horizontal="center"/>
    </xf>
    <xf numFmtId="41" fontId="6" fillId="0" borderId="0" xfId="0" quotePrefix="1" applyNumberFormat="1" applyFont="1" applyAlignment="1">
      <alignment horizontal="center" vertical="top"/>
    </xf>
    <xf numFmtId="43" fontId="6" fillId="0" borderId="0" xfId="0" applyNumberFormat="1" applyFont="1"/>
    <xf numFmtId="37" fontId="6" fillId="0" borderId="0" xfId="0" applyNumberFormat="1" applyFont="1"/>
    <xf numFmtId="164" fontId="6" fillId="0" borderId="0" xfId="0" applyNumberFormat="1" applyFont="1"/>
    <xf numFmtId="166" fontId="6" fillId="0" borderId="0" xfId="0" applyNumberFormat="1" applyFont="1"/>
    <xf numFmtId="43" fontId="8" fillId="0" borderId="0" xfId="0" applyNumberFormat="1" applyFont="1"/>
    <xf numFmtId="167" fontId="8" fillId="0" borderId="0" xfId="0" applyNumberFormat="1" applyFont="1" applyAlignment="1">
      <alignment wrapText="1"/>
    </xf>
    <xf numFmtId="44" fontId="8" fillId="0" borderId="0" xfId="0" applyNumberFormat="1" applyFont="1" applyAlignment="1">
      <alignment wrapText="1"/>
    </xf>
    <xf numFmtId="44" fontId="8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8" fontId="8" fillId="0" borderId="0" xfId="5" applyNumberFormat="1" applyFont="1" applyFill="1"/>
    <xf numFmtId="44" fontId="8" fillId="0" borderId="0" xfId="5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41" fontId="8" fillId="0" borderId="0" xfId="0" applyNumberFormat="1" applyFont="1"/>
    <xf numFmtId="41" fontId="8" fillId="0" borderId="0" xfId="0" applyNumberFormat="1" applyFont="1" applyAlignment="1">
      <alignment horizontal="center"/>
    </xf>
    <xf numFmtId="0" fontId="8" fillId="0" borderId="0" xfId="0" quotePrefix="1" applyFont="1" applyAlignment="1">
      <alignment horizontal="center" vertical="top"/>
    </xf>
    <xf numFmtId="41" fontId="8" fillId="0" borderId="0" xfId="0" quotePrefix="1" applyNumberFormat="1" applyFont="1" applyAlignment="1">
      <alignment horizontal="center" vertical="top"/>
    </xf>
    <xf numFmtId="167" fontId="8" fillId="0" borderId="0" xfId="5" applyNumberFormat="1" applyFont="1"/>
    <xf numFmtId="164" fontId="8" fillId="0" borderId="0" xfId="0" applyNumberFormat="1" applyFont="1"/>
    <xf numFmtId="165" fontId="8" fillId="0" borderId="0" xfId="0" applyNumberFormat="1" applyFont="1"/>
    <xf numFmtId="166" fontId="8" fillId="0" borderId="0" xfId="0" applyNumberFormat="1" applyFont="1"/>
    <xf numFmtId="37" fontId="8" fillId="0" borderId="0" xfId="0" applyNumberFormat="1" applyFont="1"/>
    <xf numFmtId="44" fontId="8" fillId="0" borderId="0" xfId="5" applyFont="1" applyAlignment="1">
      <alignment wrapText="1"/>
    </xf>
    <xf numFmtId="44" fontId="8" fillId="0" borderId="0" xfId="5" applyFont="1" applyFill="1"/>
    <xf numFmtId="44" fontId="6" fillId="0" borderId="0" xfId="5" applyFont="1"/>
    <xf numFmtId="44" fontId="6" fillId="0" borderId="0" xfId="5" applyFont="1" applyFill="1"/>
    <xf numFmtId="167" fontId="6" fillId="0" borderId="0" xfId="0" applyNumberFormat="1" applyFont="1"/>
    <xf numFmtId="44" fontId="6" fillId="0" borderId="0" xfId="0" applyNumberFormat="1" applyFont="1"/>
    <xf numFmtId="42" fontId="6" fillId="0" borderId="0" xfId="10" applyFont="1" applyFill="1"/>
    <xf numFmtId="0" fontId="4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0" fontId="10" fillId="0" borderId="0" xfId="0" quotePrefix="1" applyFont="1" applyAlignment="1">
      <alignment horizontal="center" vertical="top"/>
    </xf>
    <xf numFmtId="0" fontId="9" fillId="0" borderId="0" xfId="0" quotePrefix="1" applyFont="1" applyAlignment="1">
      <alignment horizontal="center"/>
    </xf>
    <xf numFmtId="0" fontId="9" fillId="0" borderId="0" xfId="0" quotePrefix="1" applyFont="1"/>
    <xf numFmtId="0" fontId="9" fillId="0" borderId="1" xfId="0" applyFont="1" applyBorder="1"/>
    <xf numFmtId="0" fontId="8" fillId="0" borderId="0" xfId="0" applyFont="1" applyAlignment="1">
      <alignment horizontal="left" indent="1"/>
    </xf>
    <xf numFmtId="167" fontId="8" fillId="0" borderId="0" xfId="0" applyNumberFormat="1" applyFont="1"/>
    <xf numFmtId="0" fontId="8" fillId="0" borderId="0" xfId="0" applyFont="1" applyAlignment="1">
      <alignment horizontal="left" indent="2"/>
    </xf>
    <xf numFmtId="0" fontId="8" fillId="0" borderId="0" xfId="0" quotePrefix="1" applyFont="1" applyAlignment="1">
      <alignment horizontal="left" indent="1"/>
    </xf>
    <xf numFmtId="164" fontId="13" fillId="0" borderId="0" xfId="0" applyNumberFormat="1" applyFont="1"/>
    <xf numFmtId="165" fontId="13" fillId="0" borderId="0" xfId="0" applyNumberFormat="1" applyFont="1"/>
    <xf numFmtId="168" fontId="8" fillId="0" borderId="0" xfId="0" applyNumberFormat="1" applyFont="1"/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center"/>
    </xf>
    <xf numFmtId="167" fontId="9" fillId="0" borderId="3" xfId="0" applyNumberFormat="1" applyFont="1" applyBorder="1"/>
    <xf numFmtId="167" fontId="9" fillId="0" borderId="0" xfId="0" applyNumberFormat="1" applyFont="1"/>
    <xf numFmtId="0" fontId="10" fillId="0" borderId="0" xfId="0" applyFont="1" applyAlignment="1">
      <alignment horizontal="left" indent="2"/>
    </xf>
    <xf numFmtId="0" fontId="10" fillId="0" borderId="0" xfId="0" applyFont="1" applyAlignment="1">
      <alignment horizontal="center"/>
    </xf>
    <xf numFmtId="167" fontId="10" fillId="0" borderId="0" xfId="0" applyNumberFormat="1" applyFont="1"/>
    <xf numFmtId="10" fontId="10" fillId="0" borderId="0" xfId="0" applyNumberFormat="1" applyFont="1"/>
    <xf numFmtId="169" fontId="10" fillId="0" borderId="0" xfId="4" applyNumberFormat="1" applyFont="1" applyFill="1" applyBorder="1"/>
    <xf numFmtId="169" fontId="10" fillId="0" borderId="0" xfId="0" applyNumberFormat="1" applyFont="1"/>
    <xf numFmtId="42" fontId="8" fillId="0" borderId="0" xfId="10" applyFont="1"/>
    <xf numFmtId="170" fontId="8" fillId="0" borderId="0" xfId="5" applyNumberFormat="1" applyFont="1" applyBorder="1"/>
    <xf numFmtId="9" fontId="8" fillId="0" borderId="0" xfId="4" applyFont="1"/>
    <xf numFmtId="165" fontId="9" fillId="0" borderId="0" xfId="0" applyNumberFormat="1" applyFont="1"/>
    <xf numFmtId="43" fontId="9" fillId="0" borderId="0" xfId="0" applyNumberFormat="1" applyFont="1"/>
    <xf numFmtId="170" fontId="8" fillId="0" borderId="0" xfId="5" applyNumberFormat="1" applyFont="1"/>
    <xf numFmtId="44" fontId="9" fillId="0" borderId="0" xfId="5" applyFont="1"/>
    <xf numFmtId="164" fontId="9" fillId="0" borderId="0" xfId="0" applyNumberFormat="1" applyFont="1"/>
    <xf numFmtId="0" fontId="14" fillId="0" borderId="0" xfId="0" applyFont="1"/>
    <xf numFmtId="167" fontId="14" fillId="0" borderId="0" xfId="0" applyNumberFormat="1" applyFont="1"/>
    <xf numFmtId="0" fontId="9" fillId="0" borderId="0" xfId="3" quotePrefix="1" applyNumberFormat="1" applyFont="1" applyAlignment="1">
      <alignment horizontal="center"/>
    </xf>
    <xf numFmtId="168" fontId="8" fillId="0" borderId="0" xfId="5" applyNumberFormat="1" applyFont="1"/>
    <xf numFmtId="41" fontId="8" fillId="0" borderId="0" xfId="11" applyFont="1"/>
    <xf numFmtId="41" fontId="8" fillId="0" borderId="0" xfId="11" applyFont="1" applyAlignment="1">
      <alignment wrapText="1"/>
    </xf>
    <xf numFmtId="41" fontId="8" fillId="0" borderId="0" xfId="11" applyFont="1" applyFill="1"/>
    <xf numFmtId="41" fontId="8" fillId="0" borderId="0" xfId="11" applyFont="1" applyFill="1" applyAlignment="1">
      <alignment wrapText="1"/>
    </xf>
    <xf numFmtId="41" fontId="9" fillId="0" borderId="0" xfId="11" applyFont="1"/>
    <xf numFmtId="41" fontId="10" fillId="0" borderId="0" xfId="11" applyFont="1"/>
    <xf numFmtId="41" fontId="9" fillId="0" borderId="0" xfId="11" applyFont="1" applyAlignment="1">
      <alignment horizontal="center"/>
    </xf>
    <xf numFmtId="41" fontId="8" fillId="0" borderId="0" xfId="11" applyFont="1" applyAlignment="1">
      <alignment horizontal="center" wrapText="1"/>
    </xf>
    <xf numFmtId="41" fontId="4" fillId="0" borderId="0" xfId="11" applyFont="1"/>
    <xf numFmtId="0" fontId="8" fillId="0" borderId="0" xfId="0" applyFont="1" applyAlignment="1">
      <alignment horizontal="left" wrapText="1" indent="1"/>
    </xf>
    <xf numFmtId="0" fontId="13" fillId="0" borderId="0" xfId="0" applyFont="1"/>
    <xf numFmtId="167" fontId="13" fillId="0" borderId="0" xfId="0" applyNumberFormat="1" applyFont="1"/>
    <xf numFmtId="0" fontId="13" fillId="0" borderId="0" xfId="0" applyFont="1" applyAlignment="1">
      <alignment horizontal="left"/>
    </xf>
    <xf numFmtId="0" fontId="15" fillId="0" borderId="0" xfId="0" applyFont="1"/>
    <xf numFmtId="0" fontId="6" fillId="0" borderId="0" xfId="0" applyFont="1" applyAlignment="1">
      <alignment horizontal="left" inden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41" fontId="8" fillId="0" borderId="0" xfId="11" applyFont="1" applyAlignment="1">
      <alignment wrapText="1"/>
    </xf>
  </cellXfs>
  <cellStyles count="12">
    <cellStyle name="Comma" xfId="3" builtinId="3"/>
    <cellStyle name="Comma [0]" xfId="11" builtinId="6"/>
    <cellStyle name="Comma 2" xfId="8" xr:uid="{E5E7985F-AC52-4253-BAAB-AE9A65B95AF9}"/>
    <cellStyle name="Currency" xfId="5" builtinId="4"/>
    <cellStyle name="Currency [0]" xfId="10" builtinId="7"/>
    <cellStyle name="Currency 2" xfId="7" xr:uid="{1D975B27-25E1-4EC6-BC64-56D006615410}"/>
    <cellStyle name="Normal" xfId="0" builtinId="0"/>
    <cellStyle name="Normal 2" xfId="1" xr:uid="{00000000-0005-0000-0000-000001000000}"/>
    <cellStyle name="Normal 3" xfId="2" xr:uid="{00000000-0005-0000-0000-000002000000}"/>
    <cellStyle name="Normal 4" xfId="6" xr:uid="{893C37CD-2187-4CC7-ACFB-EA5E9D7E2ED1}"/>
    <cellStyle name="Percent" xfId="4" builtinId="5"/>
    <cellStyle name="Percent 2" xfId="9" xr:uid="{7A7E5204-E59A-43DC-BB28-7F88F78D7294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view="pageLayout" topLeftCell="A29" zoomScaleNormal="100" workbookViewId="0">
      <selection activeCell="C44" sqref="C44"/>
    </sheetView>
  </sheetViews>
  <sheetFormatPr defaultColWidth="9.140625" defaultRowHeight="15.75" x14ac:dyDescent="0.25"/>
  <cols>
    <col min="1" max="1" width="6.5703125" style="2" customWidth="1"/>
    <col min="2" max="2" width="1.7109375" style="2" customWidth="1"/>
    <col min="3" max="3" width="70.85546875" style="2" bestFit="1" customWidth="1"/>
    <col min="4" max="4" width="1.7109375" style="2" customWidth="1"/>
    <col min="5" max="5" width="15.7109375" style="2" customWidth="1"/>
    <col min="6" max="6" width="1.7109375" style="2" customWidth="1"/>
    <col min="7" max="7" width="15.7109375" style="2" customWidth="1"/>
    <col min="8" max="8" width="1.7109375" style="2" customWidth="1"/>
    <col min="9" max="9" width="15.42578125" style="2" customWidth="1"/>
    <col min="10" max="10" width="12.28515625" style="2" bestFit="1" customWidth="1"/>
    <col min="11" max="11" width="9.28515625" style="2" customWidth="1"/>
    <col min="12" max="12" width="12.7109375" style="2" bestFit="1" customWidth="1"/>
    <col min="13" max="13" width="9.28515625" style="2" customWidth="1"/>
    <col min="14" max="14" width="12.7109375" style="2" bestFit="1" customWidth="1"/>
    <col min="15" max="15" width="9.28515625" style="2" customWidth="1"/>
    <col min="16" max="16" width="11.5703125" style="2" bestFit="1" customWidth="1"/>
    <col min="17" max="16384" width="9.140625" style="2"/>
  </cols>
  <sheetData>
    <row r="1" spans="1:16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16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3" spans="1:16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</row>
    <row r="4" spans="1:16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</row>
    <row r="5" spans="1:16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</row>
    <row r="7" spans="1:16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</row>
    <row r="9" spans="1:16" x14ac:dyDescent="0.25">
      <c r="A9" s="1" t="s">
        <v>6</v>
      </c>
      <c r="C9" s="1"/>
      <c r="D9" s="1"/>
      <c r="E9" s="1"/>
      <c r="F9" s="1"/>
    </row>
    <row r="10" spans="1:16" x14ac:dyDescent="0.25">
      <c r="A10" s="3" t="s">
        <v>7</v>
      </c>
      <c r="C10" s="3" t="s">
        <v>8</v>
      </c>
      <c r="D10" s="1"/>
      <c r="E10" s="3" t="s">
        <v>9</v>
      </c>
      <c r="F10" s="1"/>
      <c r="G10" s="3" t="s">
        <v>10</v>
      </c>
      <c r="I10" s="3" t="s">
        <v>11</v>
      </c>
    </row>
    <row r="11" spans="1:16" x14ac:dyDescent="0.25">
      <c r="C11" s="4" t="s">
        <v>12</v>
      </c>
      <c r="E11" s="4" t="s">
        <v>13</v>
      </c>
      <c r="G11" s="4" t="s">
        <v>14</v>
      </c>
      <c r="I11" s="4" t="s">
        <v>15</v>
      </c>
    </row>
    <row r="12" spans="1:16" x14ac:dyDescent="0.25">
      <c r="A12" s="1">
        <v>1</v>
      </c>
      <c r="C12" s="5" t="s">
        <v>16</v>
      </c>
      <c r="E12" s="38">
        <f>'Rate SVS'!$M$29</f>
        <v>30575297.27797658</v>
      </c>
      <c r="F12" s="39"/>
      <c r="G12" s="40">
        <f>'Rate SVS'!$Q$29</f>
        <v>36726690.203650028</v>
      </c>
      <c r="I12" s="40">
        <f>G12-E12</f>
        <v>6151392.9256734475</v>
      </c>
    </row>
    <row r="13" spans="1:16" x14ac:dyDescent="0.25">
      <c r="A13" s="1">
        <f>MAX($A$12:$A12)+1</f>
        <v>2</v>
      </c>
      <c r="C13" s="5" t="s">
        <v>23</v>
      </c>
      <c r="E13" s="38">
        <f>'Rate SVT'!$M$33</f>
        <v>0</v>
      </c>
      <c r="G13" s="40">
        <f>'Rate SVT'!$Q$33</f>
        <v>0</v>
      </c>
      <c r="I13" s="40">
        <f>G13-E13</f>
        <v>0</v>
      </c>
    </row>
    <row r="14" spans="1:16" x14ac:dyDescent="0.25">
      <c r="A14" s="1">
        <f>MAX($A$12:$A13)+1</f>
        <v>3</v>
      </c>
      <c r="C14" s="5" t="s">
        <v>17</v>
      </c>
      <c r="E14" s="38">
        <f>'Rate MVS'!$M$27</f>
        <v>3423977.5679839454</v>
      </c>
      <c r="G14" s="40">
        <f>'Rate MVS'!$Q$27</f>
        <v>4511796.7689166898</v>
      </c>
      <c r="I14" s="40">
        <f t="shared" ref="I14:I24" si="0">G14-E14</f>
        <v>1087819.2009327444</v>
      </c>
    </row>
    <row r="15" spans="1:16" x14ac:dyDescent="0.25">
      <c r="A15" s="1">
        <f>MAX($A$12:$A14)+1</f>
        <v>4</v>
      </c>
      <c r="C15" s="5" t="s">
        <v>24</v>
      </c>
      <c r="E15" s="38">
        <f>'Rate MVT'!$M$31</f>
        <v>1106212.9663921816</v>
      </c>
      <c r="G15" s="40">
        <f>'Rate MVT'!$Q$31</f>
        <v>1419507.4724982791</v>
      </c>
      <c r="I15" s="40">
        <f>G15-E15</f>
        <v>313294.50610609748</v>
      </c>
    </row>
    <row r="16" spans="1:16" x14ac:dyDescent="0.25">
      <c r="A16" s="1">
        <f>MAX($A$12:$A15)+1</f>
        <v>5</v>
      </c>
      <c r="C16" s="5" t="s">
        <v>18</v>
      </c>
      <c r="E16" s="38">
        <f>'Rate LVS'!$M$32</f>
        <v>0</v>
      </c>
      <c r="G16" s="40">
        <f>'Rate LVS'!$Q$32</f>
        <v>0</v>
      </c>
      <c r="I16" s="40">
        <f t="shared" si="0"/>
        <v>0</v>
      </c>
      <c r="J16" s="5"/>
      <c r="L16" s="6"/>
      <c r="N16" s="6"/>
      <c r="P16" s="6"/>
    </row>
    <row r="17" spans="1:16" x14ac:dyDescent="0.25">
      <c r="A17" s="1">
        <f>MAX($A$12:$A16)+1</f>
        <v>6</v>
      </c>
      <c r="C17" s="5" t="s">
        <v>25</v>
      </c>
      <c r="E17" s="38">
        <f>'Rate LVT'!$M$34</f>
        <v>1600893.0791525329</v>
      </c>
      <c r="G17" s="40">
        <f>'Rate LVT'!$Q$34</f>
        <v>2366230.9826917043</v>
      </c>
      <c r="I17" s="40">
        <f>G17-E17</f>
        <v>765337.90353917144</v>
      </c>
    </row>
    <row r="18" spans="1:16" x14ac:dyDescent="0.25">
      <c r="A18" s="1">
        <f>MAX($A$12:$A17)+1</f>
        <v>7</v>
      </c>
      <c r="C18" s="5" t="s">
        <v>19</v>
      </c>
      <c r="E18" s="38">
        <f>'Rate SVI'!$M$29</f>
        <v>23799.60541846593</v>
      </c>
      <c r="G18" s="40">
        <f>'Rate SVI'!$Q$29</f>
        <v>33992.433458203253</v>
      </c>
      <c r="I18" s="40">
        <f t="shared" si="0"/>
        <v>10192.828039737324</v>
      </c>
      <c r="J18" s="5"/>
      <c r="L18" s="6"/>
      <c r="N18" s="6"/>
      <c r="P18" s="6"/>
    </row>
    <row r="19" spans="1:16" x14ac:dyDescent="0.25">
      <c r="A19" s="1">
        <f>MAX($A$12:$A18)+1</f>
        <v>8</v>
      </c>
      <c r="C19" s="5" t="s">
        <v>20</v>
      </c>
      <c r="E19" s="38">
        <f>'Rate LVI'!$M$29</f>
        <v>39439.005747922609</v>
      </c>
      <c r="G19" s="40">
        <f>'Rate LVI'!$Q$29</f>
        <v>53702.230201318147</v>
      </c>
      <c r="I19" s="40">
        <f t="shared" si="0"/>
        <v>14263.224453395538</v>
      </c>
    </row>
    <row r="20" spans="1:16" x14ac:dyDescent="0.25">
      <c r="A20" s="1">
        <f>MAX($A$12:$A19)+1</f>
        <v>9</v>
      </c>
      <c r="C20" s="5" t="s">
        <v>21</v>
      </c>
      <c r="E20" s="38">
        <f>'Rate SSS'!$M$29</f>
        <v>20393.305404149509</v>
      </c>
      <c r="G20" s="40">
        <f>'Rate SSS'!$Q$29</f>
        <v>26152.405720839055</v>
      </c>
      <c r="I20" s="40">
        <f t="shared" si="0"/>
        <v>5759.1003166895462</v>
      </c>
    </row>
    <row r="21" spans="1:16" x14ac:dyDescent="0.25">
      <c r="A21" s="1">
        <f>MAX($A$12:$A20)+1</f>
        <v>10</v>
      </c>
      <c r="C21" s="5" t="s">
        <v>22</v>
      </c>
      <c r="E21" s="38">
        <f>'Rate LSS'!$M$29</f>
        <v>0</v>
      </c>
      <c r="G21" s="40">
        <f>'Rate LSS'!$Q$29</f>
        <v>0</v>
      </c>
      <c r="I21" s="40">
        <f t="shared" si="0"/>
        <v>0</v>
      </c>
    </row>
    <row r="22" spans="1:16" x14ac:dyDescent="0.25">
      <c r="A22" s="1">
        <f>MAX($A$12:$A21)+1</f>
        <v>11</v>
      </c>
      <c r="C22" s="5" t="s">
        <v>26</v>
      </c>
      <c r="E22" s="38">
        <f>'Rate STM'!$M$31</f>
        <v>132223.186329277</v>
      </c>
      <c r="G22" s="40">
        <f>'Rate STM'!$Q$31</f>
        <v>180281.07144557976</v>
      </c>
      <c r="I22" s="40">
        <f t="shared" si="0"/>
        <v>48057.885116302758</v>
      </c>
    </row>
    <row r="23" spans="1:16" x14ac:dyDescent="0.25">
      <c r="A23" s="1">
        <f>MAX($A$12:$A22)+1</f>
        <v>12</v>
      </c>
      <c r="C23" s="5" t="s">
        <v>27</v>
      </c>
      <c r="E23" s="38">
        <f>'Rate MTM'!$M$29</f>
        <v>1645600.6994910736</v>
      </c>
      <c r="G23" s="40">
        <f>'Rate MTM'!$Q$29</f>
        <v>2152168.3828875595</v>
      </c>
      <c r="I23" s="40">
        <f t="shared" si="0"/>
        <v>506567.68339648587</v>
      </c>
    </row>
    <row r="24" spans="1:16" x14ac:dyDescent="0.25">
      <c r="A24" s="1">
        <f>MAX($A$12:$A23)+1</f>
        <v>13</v>
      </c>
      <c r="C24" s="5" t="s">
        <v>28</v>
      </c>
      <c r="E24" s="6">
        <f>'Rate CPT'!$M$23</f>
        <v>0</v>
      </c>
      <c r="G24" s="6">
        <f>'Rate CPT'!$Q$23</f>
        <v>0</v>
      </c>
      <c r="I24" s="40">
        <f t="shared" si="0"/>
        <v>0</v>
      </c>
    </row>
    <row r="25" spans="1:16" x14ac:dyDescent="0.25">
      <c r="A25" s="1"/>
      <c r="C25" s="5"/>
      <c r="E25" s="6"/>
      <c r="G25" s="6"/>
      <c r="I25" s="40"/>
    </row>
    <row r="26" spans="1:16" s="89" customFormat="1" x14ac:dyDescent="0.25">
      <c r="A26" s="1">
        <f>MAX($A$12:$A25)+1</f>
        <v>14</v>
      </c>
      <c r="C26" s="91" t="s">
        <v>123</v>
      </c>
      <c r="E26" s="90">
        <f>SUM(E12,E14:E24)</f>
        <v>38567836.69389613</v>
      </c>
      <c r="G26" s="90">
        <f>SUM(G12,G14:G24)</f>
        <v>47470521.951470189</v>
      </c>
      <c r="I26" s="90">
        <f>G26-E26</f>
        <v>8902685.2575740591</v>
      </c>
    </row>
    <row r="27" spans="1:16" x14ac:dyDescent="0.25">
      <c r="A27" s="1"/>
      <c r="C27" s="5"/>
      <c r="E27" s="6"/>
      <c r="G27" s="6"/>
      <c r="I27" s="40"/>
    </row>
    <row r="28" spans="1:16" x14ac:dyDescent="0.25">
      <c r="A28" s="1">
        <f>MAX($A$12:$A27)+1</f>
        <v>15</v>
      </c>
      <c r="C28" s="5" t="s">
        <v>124</v>
      </c>
      <c r="E28" s="38">
        <f>'Rate NFS'!$M$26</f>
        <v>178344.43368183082</v>
      </c>
      <c r="G28" s="38">
        <f>'Rate NFS'!$Q$26</f>
        <v>192618.42159189045</v>
      </c>
      <c r="I28" s="40">
        <f>G28-E28</f>
        <v>14273.98791005963</v>
      </c>
    </row>
    <row r="29" spans="1:16" x14ac:dyDescent="0.25">
      <c r="A29" s="1"/>
      <c r="C29" s="5"/>
      <c r="E29" s="6"/>
      <c r="G29" s="6"/>
      <c r="I29" s="40"/>
    </row>
    <row r="30" spans="1:16" s="89" customFormat="1" x14ac:dyDescent="0.25">
      <c r="A30" s="1">
        <f>MAX($A$12:$A29)+1</f>
        <v>16</v>
      </c>
      <c r="C30" s="89" t="s">
        <v>29</v>
      </c>
      <c r="E30" s="90">
        <f>SUM(E12:E24,E28)</f>
        <v>38746181.12757796</v>
      </c>
      <c r="G30" s="90">
        <f>SUM(G12:G24,G28)</f>
        <v>47663140.373062082</v>
      </c>
      <c r="I30" s="90">
        <f>SUM(I12:I24,I28)</f>
        <v>8916959.2454841323</v>
      </c>
    </row>
    <row r="31" spans="1:16" x14ac:dyDescent="0.25">
      <c r="A31" s="1"/>
      <c r="E31" s="38"/>
      <c r="G31" s="38"/>
      <c r="I31" s="38"/>
    </row>
    <row r="32" spans="1:16" x14ac:dyDescent="0.25">
      <c r="A32" s="1">
        <f>MAX($A$12:$A31)+1</f>
        <v>17</v>
      </c>
      <c r="C32" s="92" t="s">
        <v>125</v>
      </c>
      <c r="E32" s="38"/>
      <c r="G32" s="38"/>
      <c r="I32" s="38"/>
    </row>
    <row r="33" spans="1:9" x14ac:dyDescent="0.25">
      <c r="A33" s="1">
        <f>MAX($A$12:$A32)+1</f>
        <v>18</v>
      </c>
      <c r="C33" s="93" t="s">
        <v>117</v>
      </c>
      <c r="E33" s="38">
        <v>39861.230000000003</v>
      </c>
      <c r="G33" s="38">
        <v>39861.230000000003</v>
      </c>
      <c r="I33" s="40">
        <f>G33-E33</f>
        <v>0</v>
      </c>
    </row>
    <row r="34" spans="1:9" x14ac:dyDescent="0.25">
      <c r="A34" s="1">
        <f>MAX($A$12:$A33)+1</f>
        <v>19</v>
      </c>
      <c r="C34" s="93" t="s">
        <v>118</v>
      </c>
      <c r="E34" s="38">
        <v>5666.34</v>
      </c>
      <c r="G34" s="38">
        <v>5666.34</v>
      </c>
      <c r="I34" s="40">
        <f>G34-E34</f>
        <v>0</v>
      </c>
    </row>
    <row r="35" spans="1:9" x14ac:dyDescent="0.25">
      <c r="A35" s="1">
        <f>MAX($A$12:$A34)+1</f>
        <v>20</v>
      </c>
      <c r="C35" s="93" t="s">
        <v>121</v>
      </c>
      <c r="E35" s="38">
        <v>444709.3878823733</v>
      </c>
      <c r="G35" s="38">
        <v>444709.3878823733</v>
      </c>
      <c r="I35" s="40">
        <f>G35-E35</f>
        <v>0</v>
      </c>
    </row>
    <row r="36" spans="1:9" x14ac:dyDescent="0.25">
      <c r="A36" s="1">
        <f>MAX($A$12:$A35)+1</f>
        <v>21</v>
      </c>
      <c r="C36" s="93" t="s">
        <v>126</v>
      </c>
      <c r="E36" s="38">
        <f>E38-SUM(E30,E33:E35)</f>
        <v>7883.362422041595</v>
      </c>
      <c r="G36" s="38">
        <f>G38-SUM(G30,G33:G35)</f>
        <v>-305.47956301271915</v>
      </c>
      <c r="I36" s="40">
        <f>G36-E36</f>
        <v>-8188.8419850543141</v>
      </c>
    </row>
    <row r="37" spans="1:9" x14ac:dyDescent="0.25">
      <c r="A37" s="1"/>
      <c r="E37" s="38"/>
      <c r="G37" s="38"/>
      <c r="I37" s="38"/>
    </row>
    <row r="38" spans="1:9" x14ac:dyDescent="0.25">
      <c r="A38" s="1">
        <f>MAX($A$12:$A37)+1</f>
        <v>22</v>
      </c>
      <c r="C38" s="89" t="s">
        <v>127</v>
      </c>
      <c r="D38" s="89"/>
      <c r="E38" s="90">
        <v>39244301.447882377</v>
      </c>
      <c r="F38" s="89"/>
      <c r="G38" s="90">
        <v>48153071.851381443</v>
      </c>
      <c r="H38" s="89"/>
      <c r="I38" s="90">
        <f>SUM(I30,I33:I36)</f>
        <v>8908770.403499078</v>
      </c>
    </row>
    <row r="40" spans="1:9" x14ac:dyDescent="0.25">
      <c r="A40" s="1">
        <f>MAX($A$12:$A39)+1</f>
        <v>23</v>
      </c>
      <c r="C40" s="93" t="s">
        <v>119</v>
      </c>
      <c r="E40" s="38">
        <v>183208.08000000002</v>
      </c>
      <c r="G40" s="38">
        <v>183208.08000000002</v>
      </c>
      <c r="I40" s="40">
        <f t="shared" ref="I40:I41" si="1">G40-E40</f>
        <v>0</v>
      </c>
    </row>
    <row r="41" spans="1:9" x14ac:dyDescent="0.25">
      <c r="A41" s="1">
        <f>MAX($A$12:$A40)+1</f>
        <v>24</v>
      </c>
      <c r="C41" s="93" t="s">
        <v>120</v>
      </c>
      <c r="E41" s="38">
        <v>53174.669999999991</v>
      </c>
      <c r="G41" s="38">
        <v>53174.669999999991</v>
      </c>
      <c r="I41" s="40">
        <f t="shared" si="1"/>
        <v>0</v>
      </c>
    </row>
    <row r="42" spans="1:9" x14ac:dyDescent="0.25">
      <c r="A42" s="1">
        <f>MAX($A$12:$A41)+1</f>
        <v>25</v>
      </c>
      <c r="C42" s="93" t="s">
        <v>126</v>
      </c>
      <c r="E42" s="38">
        <f>E44-SUM(E38,E40:E41)</f>
        <v>-0.68000000715255737</v>
      </c>
      <c r="G42" s="38">
        <f>G44-SUM(G38,G40:G41)</f>
        <v>-21.115592889487743</v>
      </c>
      <c r="I42" s="40">
        <f>G42-E42</f>
        <v>-20.435592882335186</v>
      </c>
    </row>
    <row r="43" spans="1:9" x14ac:dyDescent="0.25">
      <c r="A43" s="1"/>
      <c r="E43" s="6"/>
      <c r="F43" s="6"/>
      <c r="G43" s="6"/>
    </row>
    <row r="44" spans="1:9" x14ac:dyDescent="0.25">
      <c r="A44" s="1">
        <f>MAX($A$12:$A43)+1</f>
        <v>26</v>
      </c>
      <c r="C44" s="89" t="s">
        <v>122</v>
      </c>
      <c r="D44" s="89"/>
      <c r="E44" s="90">
        <v>39480683.517882369</v>
      </c>
      <c r="F44" s="89"/>
      <c r="G44" s="90">
        <v>48389433.485788554</v>
      </c>
      <c r="H44" s="89"/>
      <c r="I44" s="90">
        <f>G44-E44</f>
        <v>8908749.9679061845</v>
      </c>
    </row>
    <row r="45" spans="1:9" x14ac:dyDescent="0.25">
      <c r="A45" s="1"/>
      <c r="E45" s="6"/>
      <c r="F45" s="6"/>
      <c r="G45" s="6"/>
    </row>
    <row r="46" spans="1:9" x14ac:dyDescent="0.25">
      <c r="A46" s="1"/>
      <c r="E46" s="6"/>
      <c r="F46" s="6"/>
      <c r="G46" s="6"/>
    </row>
    <row r="47" spans="1:9" x14ac:dyDescent="0.25">
      <c r="A47" s="1"/>
      <c r="C47" s="2" t="s">
        <v>30</v>
      </c>
      <c r="E47" s="6"/>
      <c r="F47" s="6"/>
      <c r="G47" s="6"/>
    </row>
    <row r="48" spans="1:9" x14ac:dyDescent="0.25">
      <c r="A48" s="1"/>
      <c r="C48" s="2" t="s">
        <v>130</v>
      </c>
      <c r="E48" s="6"/>
    </row>
    <row r="49" spans="1:5" x14ac:dyDescent="0.25">
      <c r="A49" s="1"/>
      <c r="C49" s="2" t="s">
        <v>129</v>
      </c>
      <c r="E49" s="6"/>
    </row>
    <row r="50" spans="1:5" x14ac:dyDescent="0.25">
      <c r="A50" s="1"/>
      <c r="C50" s="2" t="s">
        <v>128</v>
      </c>
      <c r="E50" s="6"/>
    </row>
    <row r="51" spans="1:5" x14ac:dyDescent="0.25">
      <c r="A51" s="1"/>
      <c r="C51" s="2" t="s">
        <v>131</v>
      </c>
      <c r="E51" s="6"/>
    </row>
    <row r="52" spans="1:5" x14ac:dyDescent="0.25">
      <c r="A52" s="1"/>
      <c r="E52" s="6"/>
    </row>
  </sheetData>
  <mergeCells count="6">
    <mergeCell ref="A7:I7"/>
    <mergeCell ref="A1:I1"/>
    <mergeCell ref="A2:I2"/>
    <mergeCell ref="A3:I3"/>
    <mergeCell ref="A4:I4"/>
    <mergeCell ref="A5:I5"/>
  </mergeCells>
  <phoneticPr fontId="0" type="noConversion"/>
  <pageMargins left="0.75" right="0.75" top="1" bottom="1" header="0.5" footer="0.5"/>
  <pageSetup scale="67" orientation="portrait" r:id="rId1"/>
  <headerFooter alignWithMargins="0">
    <oddHeader>&amp;RPage &amp;P of 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3576-8647-4F63-8E22-895AFF3056FF}">
  <sheetPr>
    <pageSetUpPr fitToPage="1"/>
  </sheetPr>
  <dimension ref="A1:AC38"/>
  <sheetViews>
    <sheetView zoomScaleNormal="100" workbookViewId="0">
      <selection activeCell="U27" sqref="U27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x14ac:dyDescent="0.2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Y13" s="25"/>
      <c r="Z13" s="25"/>
    </row>
    <row r="14" spans="1:29" x14ac:dyDescent="0.2">
      <c r="A14" s="23"/>
      <c r="C14" s="47" t="s">
        <v>97</v>
      </c>
      <c r="E14" s="48" t="s">
        <v>98</v>
      </c>
      <c r="W14" s="23"/>
      <c r="X14" s="23"/>
      <c r="Y14" s="26"/>
      <c r="Z14" s="26"/>
      <c r="AA14" s="23"/>
      <c r="AB14" s="23"/>
      <c r="AC14" s="23"/>
    </row>
    <row r="15" spans="1:29" x14ac:dyDescent="0.2">
      <c r="A15" s="23"/>
      <c r="J15" s="24"/>
      <c r="K15" s="24"/>
      <c r="L15" s="24"/>
      <c r="M15" s="24"/>
      <c r="N15" s="24"/>
      <c r="S15" s="24"/>
      <c r="T15" s="24"/>
      <c r="W15" s="27"/>
      <c r="X15" s="27"/>
      <c r="Y15" s="28"/>
      <c r="Z15" s="28"/>
      <c r="AA15" s="27"/>
      <c r="AB15" s="27"/>
      <c r="AC15" s="27"/>
    </row>
    <row r="16" spans="1:29" x14ac:dyDescent="0.2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W16" s="27"/>
      <c r="X16" s="27"/>
      <c r="Y16" s="28"/>
      <c r="Z16" s="28"/>
      <c r="AA16" s="27"/>
      <c r="AB16" s="27"/>
      <c r="AC16" s="27"/>
    </row>
    <row r="17" spans="1:29" x14ac:dyDescent="0.2">
      <c r="A17" s="23">
        <f>MAX(A$16:A16)+1</f>
        <v>2</v>
      </c>
      <c r="E17" s="50" t="s">
        <v>51</v>
      </c>
      <c r="G17" s="23" t="s">
        <v>52</v>
      </c>
      <c r="I17" s="79">
        <v>12</v>
      </c>
      <c r="J17" s="24"/>
      <c r="K17" s="35">
        <v>80</v>
      </c>
      <c r="L17" s="24"/>
      <c r="M17" s="15">
        <f>I17*K17</f>
        <v>960</v>
      </c>
      <c r="N17" s="24"/>
      <c r="O17" s="35">
        <v>100</v>
      </c>
      <c r="Q17" s="51">
        <f>I17*O17</f>
        <v>1200</v>
      </c>
      <c r="R17" s="51"/>
      <c r="S17" s="17">
        <f>O17-K17</f>
        <v>20</v>
      </c>
      <c r="T17" s="16"/>
      <c r="U17" s="15">
        <f>S17*I17</f>
        <v>240</v>
      </c>
      <c r="W17" s="27"/>
      <c r="X17" s="27"/>
      <c r="Y17" s="28"/>
      <c r="Z17" s="28"/>
      <c r="AA17" s="27"/>
      <c r="AB17" s="27"/>
      <c r="AC17" s="27"/>
    </row>
    <row r="18" spans="1:29" x14ac:dyDescent="0.2">
      <c r="A18" s="23"/>
      <c r="E18" s="50"/>
      <c r="I18" s="80"/>
      <c r="J18" s="24"/>
      <c r="K18" s="22"/>
      <c r="L18" s="24"/>
      <c r="M18" s="15"/>
      <c r="N18" s="24"/>
      <c r="O18" s="22"/>
      <c r="Q18" s="51"/>
      <c r="R18" s="51"/>
      <c r="S18" s="17"/>
      <c r="T18" s="16"/>
      <c r="U18" s="15"/>
      <c r="W18" s="14"/>
      <c r="X18" s="14"/>
      <c r="Y18" s="25"/>
      <c r="Z18" s="25"/>
      <c r="AA18" s="33"/>
      <c r="AC18" s="25"/>
    </row>
    <row r="19" spans="1:29" x14ac:dyDescent="0.2">
      <c r="A19" s="23">
        <v>3</v>
      </c>
      <c r="E19" s="50" t="s">
        <v>53</v>
      </c>
      <c r="I19" s="80"/>
      <c r="J19" s="24"/>
      <c r="K19" s="22"/>
      <c r="L19" s="24"/>
      <c r="M19" s="15"/>
      <c r="N19" s="24"/>
      <c r="O19" s="22"/>
      <c r="Q19" s="51"/>
      <c r="R19" s="51"/>
      <c r="S19" s="17"/>
      <c r="T19" s="16"/>
      <c r="U19" s="15"/>
      <c r="W19" s="14"/>
      <c r="X19" s="14"/>
      <c r="Y19" s="25"/>
      <c r="Z19" s="25"/>
      <c r="AA19" s="33"/>
      <c r="AC19" s="25"/>
    </row>
    <row r="20" spans="1:29" x14ac:dyDescent="0.2">
      <c r="A20" s="23">
        <v>4</v>
      </c>
      <c r="E20" s="52" t="s">
        <v>54</v>
      </c>
      <c r="G20" s="23" t="s">
        <v>52</v>
      </c>
      <c r="I20" s="79">
        <v>0</v>
      </c>
      <c r="K20" s="35">
        <v>3</v>
      </c>
      <c r="M20" s="22">
        <f>K20*I20</f>
        <v>0</v>
      </c>
      <c r="O20" s="35">
        <v>4.75</v>
      </c>
      <c r="Q20" s="51">
        <f>I20*O20</f>
        <v>0</v>
      </c>
      <c r="R20" s="51"/>
      <c r="S20" s="17">
        <f>O20-K20</f>
        <v>1.75</v>
      </c>
      <c r="T20" s="16"/>
      <c r="U20" s="15">
        <f>S20*I20</f>
        <v>0</v>
      </c>
      <c r="W20" s="14"/>
      <c r="X20" s="14"/>
      <c r="Y20" s="25"/>
      <c r="Z20" s="25"/>
      <c r="AA20" s="25"/>
      <c r="AC20" s="25"/>
    </row>
    <row r="21" spans="1:29" x14ac:dyDescent="0.2">
      <c r="A21" s="23">
        <f>MAX(A$16:A20)+1</f>
        <v>5</v>
      </c>
      <c r="E21" s="52" t="s">
        <v>55</v>
      </c>
      <c r="G21" s="23" t="s">
        <v>52</v>
      </c>
      <c r="I21" s="79">
        <v>0</v>
      </c>
      <c r="K21" s="35">
        <v>15</v>
      </c>
      <c r="M21" s="22">
        <f t="shared" ref="M21:M23" si="0">K21*I21</f>
        <v>0</v>
      </c>
      <c r="O21" s="35">
        <v>38</v>
      </c>
      <c r="Q21" s="51">
        <f>I21*O21</f>
        <v>0</v>
      </c>
      <c r="R21" s="51"/>
      <c r="S21" s="17">
        <f>O21-K21</f>
        <v>23</v>
      </c>
      <c r="T21" s="16"/>
      <c r="U21" s="15">
        <f t="shared" ref="U21:U22" si="1">S21*I21</f>
        <v>0</v>
      </c>
      <c r="W21" s="14"/>
      <c r="X21" s="14"/>
      <c r="Y21" s="25"/>
      <c r="Z21" s="25"/>
      <c r="AA21" s="33"/>
      <c r="AC21" s="25"/>
    </row>
    <row r="22" spans="1:29" x14ac:dyDescent="0.2">
      <c r="A22" s="23">
        <f>MAX(A$16:A21)+1</f>
        <v>6</v>
      </c>
      <c r="E22" s="52" t="s">
        <v>56</v>
      </c>
      <c r="G22" s="23" t="s">
        <v>52</v>
      </c>
      <c r="I22" s="79">
        <v>0</v>
      </c>
      <c r="K22" s="35">
        <v>40</v>
      </c>
      <c r="M22" s="22">
        <f t="shared" si="0"/>
        <v>0</v>
      </c>
      <c r="O22" s="35">
        <v>104</v>
      </c>
      <c r="Q22" s="51">
        <f>I22*O22</f>
        <v>0</v>
      </c>
      <c r="R22" s="51"/>
      <c r="S22" s="17">
        <f>O22-K22</f>
        <v>64</v>
      </c>
      <c r="T22" s="16"/>
      <c r="U22" s="15">
        <f t="shared" si="1"/>
        <v>0</v>
      </c>
      <c r="W22" s="14"/>
      <c r="X22" s="14"/>
      <c r="Y22" s="25"/>
      <c r="Z22" s="25"/>
      <c r="AA22" s="33"/>
      <c r="AC22" s="25"/>
    </row>
    <row r="23" spans="1:29" x14ac:dyDescent="0.2">
      <c r="A23" s="23">
        <f>MAX(A$16:A22)+1</f>
        <v>7</v>
      </c>
      <c r="E23" s="52" t="s">
        <v>57</v>
      </c>
      <c r="G23" s="23" t="s">
        <v>52</v>
      </c>
      <c r="I23" s="79">
        <v>12</v>
      </c>
      <c r="K23" s="35">
        <v>70</v>
      </c>
      <c r="M23" s="22">
        <f t="shared" si="0"/>
        <v>840</v>
      </c>
      <c r="O23" s="35">
        <v>179</v>
      </c>
      <c r="Q23" s="51">
        <f>I23*O23</f>
        <v>2148</v>
      </c>
      <c r="R23" s="51"/>
      <c r="S23" s="17">
        <f>O23-K23</f>
        <v>109</v>
      </c>
      <c r="T23" s="16"/>
      <c r="U23" s="15">
        <f>S23*I23</f>
        <v>1308</v>
      </c>
      <c r="W23" s="14"/>
      <c r="X23" s="14"/>
      <c r="Y23" s="25"/>
      <c r="Z23" s="25"/>
      <c r="AA23" s="33"/>
      <c r="AC23" s="25"/>
    </row>
    <row r="24" spans="1:29" x14ac:dyDescent="0.2">
      <c r="A24" s="23"/>
      <c r="E24" s="50"/>
      <c r="I24" s="79"/>
      <c r="K24" s="73"/>
      <c r="M24" s="22"/>
      <c r="O24" s="22"/>
      <c r="Q24" s="51"/>
      <c r="R24" s="51"/>
      <c r="S24" s="17"/>
      <c r="T24" s="16"/>
      <c r="U24" s="15"/>
      <c r="W24" s="14"/>
      <c r="X24" s="14"/>
      <c r="Y24" s="25"/>
      <c r="Z24" s="25"/>
      <c r="AA24" s="33"/>
      <c r="AC24" s="25"/>
    </row>
    <row r="25" spans="1:29" x14ac:dyDescent="0.2">
      <c r="A25" s="23">
        <f>MAX(A$16:A24)+1</f>
        <v>8</v>
      </c>
      <c r="E25" s="50" t="s">
        <v>81</v>
      </c>
      <c r="G25" s="23" t="s">
        <v>52</v>
      </c>
      <c r="I25" s="79">
        <f>I17</f>
        <v>12</v>
      </c>
      <c r="K25" s="35">
        <v>35</v>
      </c>
      <c r="M25" s="22">
        <f>K25*I25</f>
        <v>420</v>
      </c>
      <c r="O25" s="35">
        <v>50</v>
      </c>
      <c r="Q25" s="51">
        <f>I25*O25</f>
        <v>600</v>
      </c>
      <c r="R25" s="51"/>
      <c r="S25" s="17">
        <f>O25-K25</f>
        <v>15</v>
      </c>
      <c r="T25" s="16"/>
      <c r="U25" s="15">
        <f>S25*I25</f>
        <v>180</v>
      </c>
      <c r="W25" s="14"/>
      <c r="X25" s="14"/>
      <c r="Y25" s="25"/>
      <c r="Z25" s="25"/>
      <c r="AA25" s="33"/>
      <c r="AC25" s="25"/>
    </row>
    <row r="26" spans="1:29" x14ac:dyDescent="0.2">
      <c r="A26" s="23"/>
      <c r="E26" s="50"/>
      <c r="I26" s="82"/>
      <c r="K26" s="22"/>
      <c r="M26" s="15"/>
      <c r="O26" s="17"/>
      <c r="Q26" s="51"/>
      <c r="R26" s="51"/>
      <c r="S26" s="17"/>
      <c r="T26" s="16"/>
      <c r="U26" s="15"/>
      <c r="W26" s="14"/>
      <c r="X26" s="14"/>
      <c r="Y26" s="25"/>
      <c r="Z26" s="25"/>
      <c r="AA26" s="33"/>
      <c r="AC26" s="25"/>
    </row>
    <row r="27" spans="1:29" x14ac:dyDescent="0.2">
      <c r="A27" s="23">
        <f>MAX(A$16:A26)+1</f>
        <v>9</v>
      </c>
      <c r="C27" s="50"/>
      <c r="D27" s="50" t="s">
        <v>59</v>
      </c>
      <c r="E27" s="50" t="s">
        <v>75</v>
      </c>
      <c r="F27" s="74">
        <v>0.21951000000000001</v>
      </c>
      <c r="G27" s="23" t="s">
        <v>60</v>
      </c>
      <c r="H27" s="70">
        <v>74203384.766760245</v>
      </c>
      <c r="I27" s="79">
        <v>899227.00526510284</v>
      </c>
      <c r="K27" s="21">
        <v>4.1390000000000003E-2</v>
      </c>
      <c r="L27" s="24"/>
      <c r="M27" s="15">
        <f>K27*I27</f>
        <v>37219.005747922609</v>
      </c>
      <c r="N27" s="24"/>
      <c r="O27" s="21">
        <v>5.5330000000000004E-2</v>
      </c>
      <c r="Q27" s="51">
        <f>I27*O27</f>
        <v>49754.230201318147</v>
      </c>
      <c r="R27" s="51"/>
      <c r="S27" s="56">
        <f>O27-K27</f>
        <v>1.3940000000000001E-2</v>
      </c>
      <c r="T27" s="17"/>
      <c r="U27" s="51">
        <f>S27*I27</f>
        <v>12535.224453395535</v>
      </c>
      <c r="Y27" s="25"/>
      <c r="Z27" s="25"/>
    </row>
    <row r="28" spans="1:29" x14ac:dyDescent="0.2">
      <c r="A28" s="23"/>
      <c r="I28" s="79"/>
      <c r="Y28" s="25"/>
      <c r="Z28" s="25"/>
      <c r="AC28" s="25"/>
    </row>
    <row r="29" spans="1:29" x14ac:dyDescent="0.2">
      <c r="A29" s="23">
        <f>MAX(A$16:A28)+1</f>
        <v>10</v>
      </c>
      <c r="E29" s="57" t="s">
        <v>62</v>
      </c>
      <c r="F29" s="19"/>
      <c r="G29" s="58"/>
      <c r="H29" s="19"/>
      <c r="I29" s="83"/>
      <c r="J29" s="19"/>
      <c r="K29" s="19"/>
      <c r="L29" s="19"/>
      <c r="M29" s="59">
        <f>SUM(M17:M28)</f>
        <v>39439.005747922609</v>
      </c>
      <c r="N29" s="19"/>
      <c r="O29" s="19"/>
      <c r="P29" s="19"/>
      <c r="Q29" s="59">
        <f>SUM(Q17:Q28)</f>
        <v>53702.230201318147</v>
      </c>
      <c r="R29" s="60"/>
      <c r="S29" s="19"/>
      <c r="T29" s="19"/>
      <c r="U29" s="59">
        <f>SUM(U17:U28)</f>
        <v>14263.224453395535</v>
      </c>
      <c r="Y29" s="25"/>
      <c r="Z29" s="25"/>
    </row>
    <row r="30" spans="1:29" x14ac:dyDescent="0.2">
      <c r="A30" s="23">
        <f>MAX(A$16:A29)+1</f>
        <v>11</v>
      </c>
      <c r="E30" s="61" t="s">
        <v>63</v>
      </c>
      <c r="F30" s="20"/>
      <c r="G30" s="62"/>
      <c r="H30" s="20"/>
      <c r="I30" s="84"/>
      <c r="J30" s="20"/>
      <c r="K30" s="20"/>
      <c r="L30" s="20"/>
      <c r="M30" s="63"/>
      <c r="N30" s="20"/>
      <c r="O30" s="64"/>
      <c r="P30" s="64"/>
      <c r="Q30" s="65">
        <f>Q29/$M29-1</f>
        <v>0.36165273903099937</v>
      </c>
      <c r="R30" s="65"/>
      <c r="S30" s="66"/>
      <c r="T30" s="66"/>
      <c r="U30" s="65">
        <f>(U29+$M29)/$M29-1</f>
        <v>0.36165273903099937</v>
      </c>
      <c r="Y30" s="25"/>
      <c r="Z30" s="25"/>
    </row>
    <row r="31" spans="1:29" x14ac:dyDescent="0.2">
      <c r="A31" s="23"/>
      <c r="I31" s="79"/>
      <c r="Q31" s="51"/>
      <c r="R31" s="51"/>
      <c r="Y31" s="25"/>
      <c r="Z31" s="25"/>
      <c r="AC31" s="25"/>
    </row>
    <row r="32" spans="1:29" x14ac:dyDescent="0.2">
      <c r="A32" s="23"/>
      <c r="E32" s="20"/>
      <c r="I32" s="79"/>
      <c r="M32" s="17"/>
      <c r="U32" s="51"/>
    </row>
    <row r="33" spans="5:21" x14ac:dyDescent="0.2">
      <c r="I33" s="79"/>
      <c r="K33" s="14"/>
      <c r="M33" s="72"/>
      <c r="Q33" s="72"/>
      <c r="R33" s="68"/>
      <c r="U33" s="69"/>
    </row>
    <row r="34" spans="5:21" x14ac:dyDescent="0.2">
      <c r="E34" s="18" t="s">
        <v>64</v>
      </c>
      <c r="I34" s="79"/>
    </row>
    <row r="35" spans="5:21" x14ac:dyDescent="0.2">
      <c r="E35" s="18" t="s">
        <v>65</v>
      </c>
      <c r="I35" s="79"/>
    </row>
    <row r="36" spans="5:21" x14ac:dyDescent="0.2">
      <c r="E36" s="18" t="s">
        <v>96</v>
      </c>
      <c r="I36" s="79"/>
    </row>
    <row r="37" spans="5:21" x14ac:dyDescent="0.2">
      <c r="E37" s="18" t="s">
        <v>67</v>
      </c>
      <c r="G37" s="18"/>
      <c r="I37" s="79"/>
    </row>
    <row r="38" spans="5:21" x14ac:dyDescent="0.2">
      <c r="G38" s="18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8D3F-E8E4-4F16-9D36-8AAD36FBFF9A}">
  <sheetPr>
    <pageSetUpPr fitToPage="1"/>
  </sheetPr>
  <dimension ref="A1:AC38"/>
  <sheetViews>
    <sheetView zoomScaleNormal="100" workbookViewId="0">
      <selection activeCell="U27" sqref="U26:U27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x14ac:dyDescent="0.2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Y13" s="25"/>
      <c r="Z13" s="25"/>
    </row>
    <row r="14" spans="1:29" x14ac:dyDescent="0.2">
      <c r="A14" s="23"/>
      <c r="C14" s="47" t="s">
        <v>99</v>
      </c>
      <c r="E14" s="48" t="s">
        <v>100</v>
      </c>
      <c r="W14" s="23"/>
      <c r="X14" s="23"/>
      <c r="Y14" s="26"/>
      <c r="Z14" s="26"/>
      <c r="AA14" s="23"/>
      <c r="AB14" s="23"/>
      <c r="AC14" s="23"/>
    </row>
    <row r="15" spans="1:29" x14ac:dyDescent="0.2">
      <c r="A15" s="23"/>
      <c r="J15" s="24"/>
      <c r="K15" s="24"/>
      <c r="L15" s="24"/>
      <c r="M15" s="24"/>
      <c r="N15" s="24"/>
      <c r="S15" s="24"/>
      <c r="T15" s="24"/>
      <c r="W15" s="27"/>
      <c r="X15" s="27"/>
      <c r="Y15" s="28"/>
      <c r="Z15" s="28"/>
      <c r="AA15" s="27"/>
      <c r="AB15" s="27"/>
      <c r="AC15" s="27"/>
    </row>
    <row r="16" spans="1:29" x14ac:dyDescent="0.2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W16" s="27"/>
      <c r="X16" s="27"/>
      <c r="Y16" s="28"/>
      <c r="Z16" s="28"/>
      <c r="AA16" s="27"/>
      <c r="AB16" s="27"/>
      <c r="AC16" s="27"/>
    </row>
    <row r="17" spans="1:29" x14ac:dyDescent="0.2">
      <c r="A17" s="23">
        <f>MAX(A$16:A16)+1</f>
        <v>2</v>
      </c>
      <c r="E17" s="50" t="s">
        <v>51</v>
      </c>
      <c r="G17" s="23" t="s">
        <v>52</v>
      </c>
      <c r="I17" s="79">
        <v>42</v>
      </c>
      <c r="J17" s="24"/>
      <c r="K17" s="35">
        <v>42.5</v>
      </c>
      <c r="L17" s="24"/>
      <c r="M17" s="15">
        <f>I17*K17</f>
        <v>1785</v>
      </c>
      <c r="N17" s="24"/>
      <c r="O17" s="35">
        <v>52</v>
      </c>
      <c r="Q17" s="51">
        <f>I17*O17</f>
        <v>2184</v>
      </c>
      <c r="R17" s="51"/>
      <c r="S17" s="17">
        <f>O17-K17</f>
        <v>9.5</v>
      </c>
      <c r="T17" s="16"/>
      <c r="U17" s="15">
        <f>S17*I17</f>
        <v>399</v>
      </c>
      <c r="W17" s="27"/>
      <c r="X17" s="27"/>
      <c r="Y17" s="28"/>
      <c r="Z17" s="28"/>
      <c r="AA17" s="27"/>
      <c r="AB17" s="27"/>
      <c r="AC17" s="27"/>
    </row>
    <row r="18" spans="1:29" x14ac:dyDescent="0.2">
      <c r="A18" s="23"/>
      <c r="E18" s="50"/>
      <c r="I18" s="80"/>
      <c r="J18" s="24"/>
      <c r="K18" s="22"/>
      <c r="L18" s="24"/>
      <c r="M18" s="15"/>
      <c r="N18" s="24"/>
      <c r="O18" s="22"/>
      <c r="Q18" s="51"/>
      <c r="R18" s="51"/>
      <c r="S18" s="17"/>
      <c r="T18" s="16"/>
      <c r="U18" s="15"/>
      <c r="W18" s="14"/>
      <c r="X18" s="14"/>
      <c r="Y18" s="25"/>
      <c r="Z18" s="25"/>
      <c r="AA18" s="33"/>
      <c r="AC18" s="25"/>
    </row>
    <row r="19" spans="1:29" x14ac:dyDescent="0.2">
      <c r="A19" s="23">
        <v>3</v>
      </c>
      <c r="E19" s="50" t="s">
        <v>53</v>
      </c>
      <c r="I19" s="80"/>
      <c r="J19" s="24"/>
      <c r="K19" s="22"/>
      <c r="L19" s="24"/>
      <c r="M19" s="15"/>
      <c r="N19" s="24"/>
      <c r="O19" s="22"/>
      <c r="Q19" s="51"/>
      <c r="R19" s="51"/>
      <c r="S19" s="17"/>
      <c r="T19" s="16"/>
      <c r="U19" s="15"/>
      <c r="W19" s="14"/>
      <c r="X19" s="14"/>
      <c r="Y19" s="25"/>
      <c r="Z19" s="25"/>
      <c r="AA19" s="33"/>
      <c r="AC19" s="25"/>
    </row>
    <row r="20" spans="1:29" x14ac:dyDescent="0.2">
      <c r="A20" s="23">
        <v>4</v>
      </c>
      <c r="E20" s="52" t="s">
        <v>54</v>
      </c>
      <c r="G20" s="23" t="s">
        <v>52</v>
      </c>
      <c r="I20" s="79">
        <v>0</v>
      </c>
      <c r="K20" s="35">
        <v>3</v>
      </c>
      <c r="M20" s="22">
        <f>K20*I20</f>
        <v>0</v>
      </c>
      <c r="O20" s="35">
        <v>4.75</v>
      </c>
      <c r="Q20" s="51">
        <f>I20*O20</f>
        <v>0</v>
      </c>
      <c r="R20" s="51"/>
      <c r="S20" s="17">
        <f>O20-K20</f>
        <v>1.75</v>
      </c>
      <c r="T20" s="16"/>
      <c r="U20" s="15">
        <f>S20*I20</f>
        <v>0</v>
      </c>
      <c r="W20" s="14"/>
      <c r="X20" s="14"/>
      <c r="Y20" s="25"/>
      <c r="Z20" s="25"/>
      <c r="AA20" s="25"/>
      <c r="AC20" s="25"/>
    </row>
    <row r="21" spans="1:29" x14ac:dyDescent="0.2">
      <c r="A21" s="23">
        <f>MAX(A$16:A20)+1</f>
        <v>5</v>
      </c>
      <c r="E21" s="52" t="s">
        <v>55</v>
      </c>
      <c r="G21" s="23" t="s">
        <v>52</v>
      </c>
      <c r="I21" s="79">
        <v>29.21</v>
      </c>
      <c r="K21" s="35">
        <v>15</v>
      </c>
      <c r="M21" s="22">
        <f t="shared" ref="M21:M23" si="0">K21*I21</f>
        <v>438.15000000000003</v>
      </c>
      <c r="O21" s="35">
        <v>38</v>
      </c>
      <c r="Q21" s="51">
        <f>I21*O21</f>
        <v>1109.98</v>
      </c>
      <c r="R21" s="51"/>
      <c r="S21" s="17">
        <f>O21-K21</f>
        <v>23</v>
      </c>
      <c r="T21" s="16"/>
      <c r="U21" s="15">
        <f t="shared" ref="U21:U22" si="1">S21*I21</f>
        <v>671.83</v>
      </c>
      <c r="W21" s="14"/>
      <c r="X21" s="14"/>
      <c r="Y21" s="25"/>
      <c r="Z21" s="25"/>
      <c r="AA21" s="33"/>
      <c r="AC21" s="25"/>
    </row>
    <row r="22" spans="1:29" x14ac:dyDescent="0.2">
      <c r="A22" s="23">
        <f>MAX(A$16:A21)+1</f>
        <v>6</v>
      </c>
      <c r="E22" s="52" t="s">
        <v>56</v>
      </c>
      <c r="G22" s="23" t="s">
        <v>52</v>
      </c>
      <c r="I22" s="79">
        <v>1.97</v>
      </c>
      <c r="K22" s="35">
        <v>40</v>
      </c>
      <c r="M22" s="22">
        <f t="shared" si="0"/>
        <v>78.8</v>
      </c>
      <c r="O22" s="35">
        <v>104</v>
      </c>
      <c r="Q22" s="51">
        <f>I22*O22</f>
        <v>204.88</v>
      </c>
      <c r="R22" s="51"/>
      <c r="S22" s="17">
        <f>O22-K22</f>
        <v>64</v>
      </c>
      <c r="T22" s="16"/>
      <c r="U22" s="15">
        <f t="shared" si="1"/>
        <v>126.08</v>
      </c>
      <c r="W22" s="14"/>
      <c r="X22" s="14"/>
      <c r="Y22" s="25"/>
      <c r="Z22" s="25"/>
      <c r="AA22" s="33"/>
      <c r="AC22" s="25"/>
    </row>
    <row r="23" spans="1:29" x14ac:dyDescent="0.2">
      <c r="A23" s="23">
        <f>MAX(A$16:A22)+1</f>
        <v>7</v>
      </c>
      <c r="E23" s="52" t="s">
        <v>57</v>
      </c>
      <c r="G23" s="23" t="s">
        <v>52</v>
      </c>
      <c r="I23" s="79">
        <v>10.82</v>
      </c>
      <c r="K23" s="35">
        <v>70</v>
      </c>
      <c r="M23" s="22">
        <f t="shared" si="0"/>
        <v>757.4</v>
      </c>
      <c r="O23" s="35">
        <v>179</v>
      </c>
      <c r="Q23" s="51">
        <f>I23*O23</f>
        <v>1936.78</v>
      </c>
      <c r="R23" s="51"/>
      <c r="S23" s="17">
        <f>O23-K23</f>
        <v>109</v>
      </c>
      <c r="T23" s="16"/>
      <c r="U23" s="15">
        <f>S23*I23</f>
        <v>1179.3800000000001</v>
      </c>
      <c r="W23" s="14"/>
      <c r="X23" s="14"/>
      <c r="Y23" s="25"/>
      <c r="Z23" s="25"/>
      <c r="AA23" s="33"/>
      <c r="AC23" s="25"/>
    </row>
    <row r="24" spans="1:29" x14ac:dyDescent="0.2">
      <c r="A24" s="23"/>
      <c r="E24" s="50"/>
      <c r="I24" s="79"/>
      <c r="K24" s="71"/>
      <c r="M24" s="14"/>
      <c r="Q24" s="51"/>
      <c r="R24" s="51"/>
      <c r="S24" s="17"/>
      <c r="T24" s="16"/>
      <c r="U24" s="15"/>
      <c r="W24" s="14"/>
      <c r="X24" s="14"/>
      <c r="Y24" s="25"/>
      <c r="Z24" s="25"/>
      <c r="AA24" s="33"/>
      <c r="AC24" s="25"/>
    </row>
    <row r="25" spans="1:29" x14ac:dyDescent="0.2">
      <c r="A25" s="23">
        <v>8</v>
      </c>
      <c r="C25" s="47"/>
      <c r="E25" s="53" t="s">
        <v>101</v>
      </c>
      <c r="G25" s="18"/>
      <c r="H25" s="25"/>
      <c r="I25" s="79"/>
      <c r="M25" s="15"/>
      <c r="O25" s="17"/>
      <c r="Q25" s="51"/>
      <c r="R25" s="51"/>
      <c r="S25" s="17"/>
      <c r="T25" s="16"/>
      <c r="U25" s="15"/>
      <c r="Y25" s="25"/>
      <c r="Z25" s="25"/>
    </row>
    <row r="26" spans="1:29" x14ac:dyDescent="0.2">
      <c r="A26" s="23">
        <f>MAX(A$16:A25)+1</f>
        <v>9</v>
      </c>
      <c r="C26" s="50"/>
      <c r="D26" s="50" t="s">
        <v>59</v>
      </c>
      <c r="E26" s="52" t="s">
        <v>102</v>
      </c>
      <c r="F26" s="74">
        <v>0.21951000000000001</v>
      </c>
      <c r="G26" s="23" t="s">
        <v>60</v>
      </c>
      <c r="H26" s="70">
        <v>74203384.766760245</v>
      </c>
      <c r="I26" s="79">
        <v>189863</v>
      </c>
      <c r="K26" s="21">
        <v>6.4250000000000002E-2</v>
      </c>
      <c r="L26" s="24"/>
      <c r="M26" s="15">
        <f>K26*I26</f>
        <v>12198.697750000001</v>
      </c>
      <c r="N26" s="24"/>
      <c r="O26" s="21">
        <v>7.6789999999999997E-2</v>
      </c>
      <c r="Q26" s="51">
        <f>I26*O26</f>
        <v>14579.57977</v>
      </c>
      <c r="R26" s="51"/>
      <c r="S26" s="56">
        <f>O26-K26</f>
        <v>1.2539999999999996E-2</v>
      </c>
      <c r="T26" s="17"/>
      <c r="U26" s="51">
        <f>S26*I26</f>
        <v>2380.8820199999991</v>
      </c>
      <c r="Y26" s="25"/>
      <c r="Z26" s="25"/>
    </row>
    <row r="27" spans="1:29" x14ac:dyDescent="0.2">
      <c r="A27" s="23">
        <f>MAX(A$16:A26)+1</f>
        <v>10</v>
      </c>
      <c r="C27" s="50"/>
      <c r="D27" s="50" t="s">
        <v>61</v>
      </c>
      <c r="E27" s="52" t="s">
        <v>103</v>
      </c>
      <c r="F27" s="74">
        <v>0.16456999999999999</v>
      </c>
      <c r="G27" s="23" t="s">
        <v>60</v>
      </c>
      <c r="H27" s="70">
        <v>10657025.143252332</v>
      </c>
      <c r="I27" s="79">
        <v>42872.413208795355</v>
      </c>
      <c r="K27" s="21">
        <v>0.11978</v>
      </c>
      <c r="M27" s="15">
        <f>K27*I27</f>
        <v>5135.2576541495073</v>
      </c>
      <c r="O27" s="21">
        <v>0.14315</v>
      </c>
      <c r="Q27" s="51">
        <f>I27*O27</f>
        <v>6137.1859508390553</v>
      </c>
      <c r="R27" s="51"/>
      <c r="S27" s="56">
        <f>O27-K27</f>
        <v>2.3370000000000002E-2</v>
      </c>
      <c r="T27" s="17"/>
      <c r="U27" s="51">
        <f>S27*I27</f>
        <v>1001.9282966895476</v>
      </c>
      <c r="W27" s="32"/>
      <c r="X27" s="30"/>
      <c r="Y27" s="31"/>
      <c r="Z27" s="25"/>
      <c r="AC27" s="25"/>
    </row>
    <row r="28" spans="1:29" x14ac:dyDescent="0.2">
      <c r="A28" s="23"/>
      <c r="I28" s="79"/>
      <c r="Y28" s="25"/>
      <c r="Z28" s="25"/>
      <c r="AC28" s="25"/>
    </row>
    <row r="29" spans="1:29" x14ac:dyDescent="0.2">
      <c r="A29" s="23">
        <f>MAX(A$16:A28)+1</f>
        <v>11</v>
      </c>
      <c r="E29" s="57" t="s">
        <v>62</v>
      </c>
      <c r="F29" s="19"/>
      <c r="G29" s="58"/>
      <c r="H29" s="19"/>
      <c r="I29" s="83"/>
      <c r="J29" s="19"/>
      <c r="K29" s="19"/>
      <c r="L29" s="19"/>
      <c r="M29" s="59">
        <f>SUM(M17:M28)</f>
        <v>20393.305404149509</v>
      </c>
      <c r="N29" s="19"/>
      <c r="O29" s="19"/>
      <c r="P29" s="19"/>
      <c r="Q29" s="59">
        <f>SUM(Q17:Q28)</f>
        <v>26152.405720839055</v>
      </c>
      <c r="R29" s="60"/>
      <c r="S29" s="19"/>
      <c r="T29" s="19"/>
      <c r="U29" s="59">
        <f>SUM(U17:U28)</f>
        <v>5759.1003166895462</v>
      </c>
      <c r="Y29" s="25"/>
      <c r="Z29" s="25"/>
    </row>
    <row r="30" spans="1:29" x14ac:dyDescent="0.2">
      <c r="A30" s="23">
        <f>MAX(A$16:A29)+1</f>
        <v>12</v>
      </c>
      <c r="E30" s="61" t="s">
        <v>63</v>
      </c>
      <c r="F30" s="20"/>
      <c r="G30" s="62"/>
      <c r="H30" s="20"/>
      <c r="I30" s="84"/>
      <c r="J30" s="20"/>
      <c r="K30" s="20"/>
      <c r="L30" s="20"/>
      <c r="M30" s="63"/>
      <c r="N30" s="20"/>
      <c r="O30" s="64"/>
      <c r="P30" s="64"/>
      <c r="Q30" s="65">
        <f>Q29/$M29-1</f>
        <v>0.2824015137593987</v>
      </c>
      <c r="R30" s="65"/>
      <c r="S30" s="66"/>
      <c r="T30" s="66"/>
      <c r="U30" s="65">
        <f>(U29+$M29)/$M29-1</f>
        <v>0.2824015137593987</v>
      </c>
      <c r="Y30" s="25"/>
      <c r="Z30" s="25"/>
    </row>
    <row r="31" spans="1:29" x14ac:dyDescent="0.2">
      <c r="A31" s="23"/>
      <c r="I31" s="79"/>
      <c r="Q31" s="51"/>
      <c r="R31" s="51"/>
      <c r="Y31" s="25"/>
      <c r="Z31" s="25"/>
      <c r="AC31" s="25"/>
    </row>
    <row r="32" spans="1:29" x14ac:dyDescent="0.2">
      <c r="A32" s="23"/>
      <c r="E32" s="20"/>
      <c r="I32" s="79"/>
      <c r="M32" s="17"/>
      <c r="U32" s="51"/>
    </row>
    <row r="33" spans="5:21" x14ac:dyDescent="0.2">
      <c r="I33" s="79"/>
      <c r="K33" s="14"/>
      <c r="M33" s="72"/>
      <c r="Q33" s="72"/>
      <c r="R33" s="68"/>
      <c r="U33" s="69"/>
    </row>
    <row r="34" spans="5:21" x14ac:dyDescent="0.2">
      <c r="E34" s="18" t="s">
        <v>64</v>
      </c>
      <c r="I34" s="79"/>
    </row>
    <row r="35" spans="5:21" x14ac:dyDescent="0.2">
      <c r="E35" s="18" t="s">
        <v>65</v>
      </c>
      <c r="I35" s="79"/>
    </row>
    <row r="36" spans="5:21" x14ac:dyDescent="0.2">
      <c r="E36" s="18" t="s">
        <v>66</v>
      </c>
      <c r="I36" s="79"/>
    </row>
    <row r="37" spans="5:21" x14ac:dyDescent="0.2">
      <c r="E37" s="18" t="s">
        <v>67</v>
      </c>
      <c r="G37" s="18"/>
      <c r="I37" s="79"/>
    </row>
    <row r="38" spans="5:21" x14ac:dyDescent="0.2">
      <c r="G38" s="18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5473-7C4C-4A23-ADA0-2E107CC2602B}">
  <sheetPr>
    <pageSetUpPr fitToPage="1"/>
  </sheetPr>
  <dimension ref="A1:AC38"/>
  <sheetViews>
    <sheetView zoomScaleNormal="100" workbookViewId="0">
      <selection activeCell="E14" sqref="E14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x14ac:dyDescent="0.2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Y13" s="25"/>
      <c r="Z13" s="25"/>
    </row>
    <row r="14" spans="1:29" x14ac:dyDescent="0.2">
      <c r="A14" s="23"/>
      <c r="C14" s="47" t="s">
        <v>104</v>
      </c>
      <c r="E14" s="48" t="s">
        <v>105</v>
      </c>
      <c r="W14" s="23"/>
      <c r="X14" s="23"/>
      <c r="Y14" s="26"/>
      <c r="Z14" s="26"/>
      <c r="AA14" s="23"/>
      <c r="AB14" s="23"/>
      <c r="AC14" s="23"/>
    </row>
    <row r="15" spans="1:29" x14ac:dyDescent="0.2">
      <c r="A15" s="23"/>
      <c r="J15" s="24"/>
      <c r="K15" s="24"/>
      <c r="L15" s="24"/>
      <c r="M15" s="24"/>
      <c r="N15" s="24"/>
      <c r="S15" s="24"/>
      <c r="T15" s="24"/>
      <c r="W15" s="27"/>
      <c r="X15" s="27"/>
      <c r="Y15" s="28"/>
      <c r="Z15" s="28"/>
      <c r="AA15" s="27"/>
      <c r="AB15" s="27"/>
      <c r="AC15" s="27"/>
    </row>
    <row r="16" spans="1:29" x14ac:dyDescent="0.2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W16" s="27"/>
      <c r="X16" s="27"/>
      <c r="Y16" s="28"/>
      <c r="Z16" s="28"/>
      <c r="AA16" s="27"/>
      <c r="AB16" s="27"/>
      <c r="AC16" s="27"/>
    </row>
    <row r="17" spans="1:29" x14ac:dyDescent="0.2">
      <c r="A17" s="23">
        <f>MAX(A$16:A16)+1</f>
        <v>2</v>
      </c>
      <c r="E17" s="50" t="s">
        <v>51</v>
      </c>
      <c r="G17" s="23" t="s">
        <v>52</v>
      </c>
      <c r="I17" s="83">
        <v>0</v>
      </c>
      <c r="J17" s="24"/>
      <c r="K17" s="35">
        <v>80</v>
      </c>
      <c r="L17" s="24"/>
      <c r="M17" s="15">
        <f>I17*K17</f>
        <v>0</v>
      </c>
      <c r="N17" s="24"/>
      <c r="O17" s="35">
        <v>100</v>
      </c>
      <c r="Q17" s="51">
        <f>I17*O17</f>
        <v>0</v>
      </c>
      <c r="R17" s="51"/>
      <c r="S17" s="17">
        <f>O17-K17</f>
        <v>20</v>
      </c>
      <c r="T17" s="16"/>
      <c r="U17" s="15">
        <f>S17*I17</f>
        <v>0</v>
      </c>
      <c r="W17" s="27"/>
      <c r="X17" s="27"/>
      <c r="Y17" s="28"/>
      <c r="Z17" s="28"/>
      <c r="AA17" s="27"/>
      <c r="AB17" s="27"/>
      <c r="AC17" s="27"/>
    </row>
    <row r="18" spans="1:29" x14ac:dyDescent="0.2">
      <c r="A18" s="23"/>
      <c r="E18" s="50"/>
      <c r="I18" s="80"/>
      <c r="J18" s="24"/>
      <c r="K18" s="22"/>
      <c r="L18" s="24"/>
      <c r="M18" s="15"/>
      <c r="N18" s="24"/>
      <c r="O18" s="14"/>
      <c r="Q18" s="51"/>
      <c r="R18" s="51"/>
      <c r="S18" s="17"/>
      <c r="T18" s="16"/>
      <c r="U18" s="15"/>
      <c r="W18" s="14"/>
      <c r="X18" s="14"/>
      <c r="Y18" s="25"/>
      <c r="Z18" s="25"/>
      <c r="AA18" s="33"/>
      <c r="AC18" s="25"/>
    </row>
    <row r="19" spans="1:29" x14ac:dyDescent="0.2">
      <c r="A19" s="23">
        <v>3</v>
      </c>
      <c r="E19" s="50" t="s">
        <v>53</v>
      </c>
      <c r="I19" s="80"/>
      <c r="J19" s="24"/>
      <c r="K19" s="22"/>
      <c r="L19" s="24"/>
      <c r="M19" s="15"/>
      <c r="N19" s="24"/>
      <c r="O19" s="14"/>
      <c r="Q19" s="51"/>
      <c r="R19" s="51"/>
      <c r="S19" s="17"/>
      <c r="T19" s="16"/>
      <c r="U19" s="15"/>
      <c r="W19" s="14"/>
      <c r="X19" s="14"/>
      <c r="Y19" s="25"/>
      <c r="Z19" s="25"/>
      <c r="AA19" s="33"/>
      <c r="AC19" s="25"/>
    </row>
    <row r="20" spans="1:29" x14ac:dyDescent="0.2">
      <c r="A20" s="23">
        <v>4</v>
      </c>
      <c r="E20" s="52" t="s">
        <v>54</v>
      </c>
      <c r="G20" s="23" t="s">
        <v>52</v>
      </c>
      <c r="I20" s="83">
        <v>0</v>
      </c>
      <c r="K20" s="35">
        <v>3</v>
      </c>
      <c r="M20" s="22">
        <f>K20*I20</f>
        <v>0</v>
      </c>
      <c r="O20" s="35">
        <v>4.75</v>
      </c>
      <c r="Q20" s="51">
        <f>I20*O20</f>
        <v>0</v>
      </c>
      <c r="R20" s="51"/>
      <c r="S20" s="17">
        <f>O20-K20</f>
        <v>1.75</v>
      </c>
      <c r="T20" s="16"/>
      <c r="U20" s="15">
        <f>S20*I20</f>
        <v>0</v>
      </c>
      <c r="W20" s="14"/>
      <c r="X20" s="14"/>
      <c r="Y20" s="25"/>
      <c r="Z20" s="25"/>
      <c r="AA20" s="25"/>
      <c r="AC20" s="25"/>
    </row>
    <row r="21" spans="1:29" x14ac:dyDescent="0.2">
      <c r="A21" s="23">
        <f>MAX(A$16:A20)+1</f>
        <v>5</v>
      </c>
      <c r="E21" s="52" t="s">
        <v>55</v>
      </c>
      <c r="G21" s="23" t="s">
        <v>52</v>
      </c>
      <c r="I21" s="83">
        <v>0</v>
      </c>
      <c r="K21" s="35">
        <v>15</v>
      </c>
      <c r="M21" s="22">
        <f t="shared" ref="M21:M23" si="0">K21*I21</f>
        <v>0</v>
      </c>
      <c r="O21" s="35">
        <v>38</v>
      </c>
      <c r="Q21" s="51">
        <f>I21*O21</f>
        <v>0</v>
      </c>
      <c r="R21" s="51"/>
      <c r="S21" s="17">
        <f>O21-K21</f>
        <v>23</v>
      </c>
      <c r="T21" s="16"/>
      <c r="U21" s="15">
        <f t="shared" ref="U21:U22" si="1">S21*I21</f>
        <v>0</v>
      </c>
      <c r="W21" s="14"/>
      <c r="X21" s="14"/>
      <c r="Y21" s="25"/>
      <c r="Z21" s="25"/>
      <c r="AA21" s="33"/>
      <c r="AC21" s="25"/>
    </row>
    <row r="22" spans="1:29" x14ac:dyDescent="0.2">
      <c r="A22" s="23">
        <f>MAX(A$16:A21)+1</f>
        <v>6</v>
      </c>
      <c r="E22" s="52" t="s">
        <v>56</v>
      </c>
      <c r="G22" s="23" t="s">
        <v>52</v>
      </c>
      <c r="I22" s="83">
        <v>0</v>
      </c>
      <c r="K22" s="35">
        <v>40</v>
      </c>
      <c r="M22" s="22">
        <f t="shared" si="0"/>
        <v>0</v>
      </c>
      <c r="O22" s="35">
        <v>104</v>
      </c>
      <c r="Q22" s="51">
        <f>I22*O22</f>
        <v>0</v>
      </c>
      <c r="R22" s="51"/>
      <c r="S22" s="17">
        <f>O22-K22</f>
        <v>64</v>
      </c>
      <c r="T22" s="16"/>
      <c r="U22" s="15">
        <f t="shared" si="1"/>
        <v>0</v>
      </c>
      <c r="W22" s="14"/>
      <c r="X22" s="14"/>
      <c r="Y22" s="25"/>
      <c r="Z22" s="25"/>
      <c r="AA22" s="33"/>
      <c r="AC22" s="25"/>
    </row>
    <row r="23" spans="1:29" x14ac:dyDescent="0.2">
      <c r="A23" s="23">
        <f>MAX(A$16:A22)+1</f>
        <v>7</v>
      </c>
      <c r="E23" s="52" t="s">
        <v>57</v>
      </c>
      <c r="G23" s="23" t="s">
        <v>52</v>
      </c>
      <c r="I23" s="83">
        <v>0</v>
      </c>
      <c r="K23" s="35">
        <v>70</v>
      </c>
      <c r="M23" s="22">
        <f t="shared" si="0"/>
        <v>0</v>
      </c>
      <c r="O23" s="35">
        <v>179</v>
      </c>
      <c r="Q23" s="51">
        <f>I23*O23</f>
        <v>0</v>
      </c>
      <c r="R23" s="51"/>
      <c r="S23" s="17">
        <f>O23-K23</f>
        <v>109</v>
      </c>
      <c r="T23" s="16"/>
      <c r="U23" s="15">
        <f>S23*I23</f>
        <v>0</v>
      </c>
      <c r="W23" s="14"/>
      <c r="X23" s="14"/>
      <c r="Y23" s="25"/>
      <c r="Z23" s="25"/>
      <c r="AA23" s="33"/>
      <c r="AC23" s="25"/>
    </row>
    <row r="24" spans="1:29" x14ac:dyDescent="0.2">
      <c r="A24" s="23"/>
      <c r="E24" s="50"/>
      <c r="I24" s="83"/>
      <c r="K24" s="73"/>
      <c r="M24" s="14"/>
      <c r="Q24" s="51"/>
      <c r="R24" s="51"/>
      <c r="S24" s="17"/>
      <c r="T24" s="16"/>
      <c r="U24" s="15"/>
      <c r="W24" s="14"/>
      <c r="X24" s="14"/>
      <c r="Y24" s="25"/>
      <c r="Z24" s="25"/>
      <c r="AA24" s="33"/>
      <c r="AC24" s="25"/>
    </row>
    <row r="25" spans="1:29" x14ac:dyDescent="0.2">
      <c r="A25" s="23">
        <v>8</v>
      </c>
      <c r="E25" s="53" t="s">
        <v>101</v>
      </c>
      <c r="G25" s="18"/>
      <c r="H25" s="25"/>
      <c r="I25" s="79"/>
      <c r="K25" s="22"/>
      <c r="M25" s="15"/>
      <c r="O25" s="17"/>
      <c r="Q25" s="51"/>
      <c r="R25" s="51"/>
      <c r="S25" s="17"/>
      <c r="T25" s="16"/>
      <c r="U25" s="15"/>
      <c r="Y25" s="25"/>
      <c r="Z25" s="25"/>
    </row>
    <row r="26" spans="1:29" x14ac:dyDescent="0.2">
      <c r="A26" s="23">
        <f>MAX(A$16:A25)+1</f>
        <v>9</v>
      </c>
      <c r="C26" s="50"/>
      <c r="D26" s="50" t="s">
        <v>59</v>
      </c>
      <c r="E26" s="52" t="s">
        <v>102</v>
      </c>
      <c r="F26" s="74">
        <v>0.21951000000000001</v>
      </c>
      <c r="G26" s="23" t="s">
        <v>60</v>
      </c>
      <c r="H26" s="70">
        <v>74203384.766760245</v>
      </c>
      <c r="I26" s="83">
        <v>0</v>
      </c>
      <c r="K26" s="21">
        <v>5.3010000000000002E-2</v>
      </c>
      <c r="L26" s="24"/>
      <c r="M26" s="15">
        <f>K26*I26</f>
        <v>0</v>
      </c>
      <c r="N26" s="24"/>
      <c r="O26" s="21">
        <v>7.6399999999999996E-2</v>
      </c>
      <c r="Q26" s="51">
        <f>I26*O26</f>
        <v>0</v>
      </c>
      <c r="R26" s="51"/>
      <c r="S26" s="56">
        <f>O26-K26</f>
        <v>2.3389999999999994E-2</v>
      </c>
      <c r="T26" s="17"/>
      <c r="U26" s="17">
        <f>S26*I26</f>
        <v>0</v>
      </c>
      <c r="Y26" s="25"/>
      <c r="Z26" s="25"/>
    </row>
    <row r="27" spans="1:29" x14ac:dyDescent="0.2">
      <c r="A27" s="23">
        <f>MAX(A$16:A26)+1</f>
        <v>10</v>
      </c>
      <c r="C27" s="50"/>
      <c r="D27" s="50" t="s">
        <v>61</v>
      </c>
      <c r="E27" s="52" t="s">
        <v>103</v>
      </c>
      <c r="F27" s="74">
        <v>0.16456999999999999</v>
      </c>
      <c r="G27" s="23" t="s">
        <v>60</v>
      </c>
      <c r="H27" s="70">
        <v>10657025.143252332</v>
      </c>
      <c r="I27" s="83">
        <v>0</v>
      </c>
      <c r="K27" s="21">
        <v>0.10045999999999999</v>
      </c>
      <c r="M27" s="15">
        <f>K27*I27</f>
        <v>0</v>
      </c>
      <c r="O27" s="21">
        <v>0.14479</v>
      </c>
      <c r="Q27" s="51">
        <f>I27*O27</f>
        <v>0</v>
      </c>
      <c r="R27" s="51"/>
      <c r="S27" s="56">
        <f>O27-K27</f>
        <v>4.4330000000000008E-2</v>
      </c>
      <c r="T27" s="17"/>
      <c r="U27" s="17">
        <f>S27*I27</f>
        <v>0</v>
      </c>
      <c r="W27" s="32"/>
      <c r="X27" s="30"/>
      <c r="Y27" s="31"/>
      <c r="Z27" s="25"/>
      <c r="AC27" s="25"/>
    </row>
    <row r="28" spans="1:29" x14ac:dyDescent="0.2">
      <c r="A28" s="23"/>
      <c r="I28" s="79"/>
      <c r="Y28" s="25"/>
      <c r="Z28" s="25"/>
      <c r="AC28" s="25"/>
    </row>
    <row r="29" spans="1:29" x14ac:dyDescent="0.2">
      <c r="A29" s="23">
        <f>MAX(A$16:A28)+1</f>
        <v>11</v>
      </c>
      <c r="E29" s="57" t="s">
        <v>62</v>
      </c>
      <c r="F29" s="19"/>
      <c r="G29" s="58"/>
      <c r="H29" s="19"/>
      <c r="I29" s="83"/>
      <c r="J29" s="19"/>
      <c r="K29" s="19"/>
      <c r="L29" s="19"/>
      <c r="M29" s="59">
        <f>SUM(M17:M28)</f>
        <v>0</v>
      </c>
      <c r="N29" s="19"/>
      <c r="O29" s="19"/>
      <c r="P29" s="19"/>
      <c r="Q29" s="59">
        <f>SUM(Q17:Q28)</f>
        <v>0</v>
      </c>
      <c r="R29" s="60"/>
      <c r="S29" s="19"/>
      <c r="T29" s="19"/>
      <c r="U29" s="59">
        <f>SUM(U17:U28)</f>
        <v>0</v>
      </c>
      <c r="Y29" s="25"/>
      <c r="Z29" s="25"/>
    </row>
    <row r="30" spans="1:29" x14ac:dyDescent="0.2">
      <c r="A30" s="23">
        <f>MAX(A$16:A29)+1</f>
        <v>12</v>
      </c>
      <c r="E30" s="61" t="s">
        <v>63</v>
      </c>
      <c r="F30" s="20"/>
      <c r="G30" s="62"/>
      <c r="H30" s="20"/>
      <c r="I30" s="84"/>
      <c r="J30" s="20"/>
      <c r="K30" s="20"/>
      <c r="L30" s="20"/>
      <c r="M30" s="63"/>
      <c r="N30" s="20"/>
      <c r="O30" s="64"/>
      <c r="P30" s="64"/>
      <c r="Q30" s="65"/>
      <c r="R30" s="65"/>
      <c r="S30" s="66"/>
      <c r="T30" s="66"/>
      <c r="U30" s="65"/>
      <c r="Y30" s="25"/>
      <c r="Z30" s="25"/>
    </row>
    <row r="31" spans="1:29" x14ac:dyDescent="0.2">
      <c r="A31" s="23"/>
      <c r="I31" s="79"/>
      <c r="Q31" s="51"/>
      <c r="R31" s="51"/>
      <c r="Y31" s="25"/>
      <c r="Z31" s="25"/>
      <c r="AC31" s="25"/>
    </row>
    <row r="32" spans="1:29" x14ac:dyDescent="0.2">
      <c r="A32" s="23"/>
      <c r="E32" s="20"/>
      <c r="I32" s="79"/>
      <c r="M32" s="17"/>
      <c r="U32" s="51"/>
    </row>
    <row r="33" spans="5:21" x14ac:dyDescent="0.2">
      <c r="I33" s="79"/>
      <c r="K33" s="14"/>
      <c r="M33" s="72"/>
      <c r="Q33" s="72"/>
      <c r="R33" s="68"/>
      <c r="U33" s="69"/>
    </row>
    <row r="34" spans="5:21" x14ac:dyDescent="0.2">
      <c r="E34" s="18" t="s">
        <v>64</v>
      </c>
      <c r="I34" s="79"/>
    </row>
    <row r="35" spans="5:21" x14ac:dyDescent="0.2">
      <c r="E35" s="18" t="s">
        <v>65</v>
      </c>
      <c r="I35" s="79"/>
    </row>
    <row r="36" spans="5:21" x14ac:dyDescent="0.2">
      <c r="E36" s="18" t="s">
        <v>66</v>
      </c>
      <c r="I36" s="79"/>
    </row>
    <row r="37" spans="5:21" x14ac:dyDescent="0.2">
      <c r="E37" s="18" t="s">
        <v>67</v>
      </c>
      <c r="G37" s="18"/>
      <c r="I37" s="79"/>
    </row>
    <row r="38" spans="5:21" x14ac:dyDescent="0.2">
      <c r="G38" s="18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86757-A23F-4776-81BB-8AF0966092DD}">
  <sheetPr>
    <pageSetUpPr fitToPage="1"/>
  </sheetPr>
  <dimension ref="A1:AC41"/>
  <sheetViews>
    <sheetView zoomScaleNormal="100" workbookViewId="0">
      <selection activeCell="V26" sqref="V26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x14ac:dyDescent="0.2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Y13" s="25"/>
      <c r="Z13" s="25"/>
    </row>
    <row r="14" spans="1:29" x14ac:dyDescent="0.2">
      <c r="A14" s="23"/>
      <c r="C14" s="47" t="s">
        <v>106</v>
      </c>
      <c r="E14" s="48" t="s">
        <v>107</v>
      </c>
      <c r="W14" s="23"/>
      <c r="X14" s="23"/>
      <c r="Y14" s="26"/>
      <c r="Z14" s="26"/>
      <c r="AA14" s="23"/>
      <c r="AB14" s="23"/>
      <c r="AC14" s="23"/>
    </row>
    <row r="15" spans="1:29" x14ac:dyDescent="0.2">
      <c r="A15" s="23"/>
      <c r="J15" s="24"/>
      <c r="K15" s="24"/>
      <c r="L15" s="24"/>
      <c r="M15" s="24"/>
      <c r="N15" s="24"/>
      <c r="S15" s="24"/>
      <c r="T15" s="24"/>
      <c r="W15" s="27"/>
      <c r="X15" s="27"/>
      <c r="Y15" s="28"/>
      <c r="Z15" s="28"/>
      <c r="AA15" s="27"/>
      <c r="AB15" s="27"/>
      <c r="AC15" s="27"/>
    </row>
    <row r="16" spans="1:29" x14ac:dyDescent="0.2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W16" s="27"/>
      <c r="X16" s="27"/>
      <c r="Y16" s="28"/>
      <c r="Z16" s="28"/>
      <c r="AA16" s="27"/>
      <c r="AB16" s="27"/>
      <c r="AC16" s="27"/>
    </row>
    <row r="17" spans="1:29" x14ac:dyDescent="0.2">
      <c r="A17" s="23">
        <f>MAX(A$16:A16)+1</f>
        <v>2</v>
      </c>
      <c r="E17" s="50" t="s">
        <v>51</v>
      </c>
      <c r="G17" s="23" t="s">
        <v>52</v>
      </c>
      <c r="I17" s="79">
        <v>1352</v>
      </c>
      <c r="J17" s="24"/>
      <c r="K17" s="35">
        <v>6.25</v>
      </c>
      <c r="L17" s="24"/>
      <c r="M17" s="15">
        <f>I17*K17</f>
        <v>8450</v>
      </c>
      <c r="N17" s="24"/>
      <c r="O17" s="35">
        <v>7.65</v>
      </c>
      <c r="Q17" s="51">
        <f>I17*O17</f>
        <v>10342.800000000001</v>
      </c>
      <c r="R17" s="51"/>
      <c r="S17" s="17">
        <f>O17-K17</f>
        <v>1.4000000000000004</v>
      </c>
      <c r="T17" s="16"/>
      <c r="U17" s="15">
        <f>S17*I17</f>
        <v>1892.8000000000004</v>
      </c>
      <c r="W17" s="27"/>
      <c r="X17" s="27"/>
      <c r="Y17" s="28"/>
      <c r="Z17" s="28"/>
      <c r="AA17" s="27"/>
      <c r="AB17" s="27"/>
      <c r="AC17" s="27"/>
    </row>
    <row r="18" spans="1:29" x14ac:dyDescent="0.2">
      <c r="A18" s="23"/>
      <c r="E18" s="50"/>
      <c r="I18" s="80"/>
      <c r="J18" s="24"/>
      <c r="K18" s="22"/>
      <c r="L18" s="24"/>
      <c r="M18" s="15"/>
      <c r="N18" s="24"/>
      <c r="O18" s="22"/>
      <c r="Q18" s="51"/>
      <c r="R18" s="51"/>
      <c r="S18" s="17"/>
      <c r="T18" s="16"/>
      <c r="U18" s="15"/>
      <c r="W18" s="14"/>
      <c r="X18" s="14"/>
      <c r="Y18" s="25"/>
      <c r="Z18" s="25"/>
      <c r="AA18" s="33"/>
      <c r="AC18" s="25"/>
    </row>
    <row r="19" spans="1:29" x14ac:dyDescent="0.2">
      <c r="A19" s="23">
        <v>3</v>
      </c>
      <c r="E19" s="50" t="s">
        <v>53</v>
      </c>
      <c r="I19" s="80"/>
      <c r="J19" s="24"/>
      <c r="K19" s="22"/>
      <c r="L19" s="24"/>
      <c r="M19" s="15"/>
      <c r="N19" s="24"/>
      <c r="O19" s="22"/>
      <c r="Q19" s="51"/>
      <c r="R19" s="51"/>
      <c r="S19" s="17"/>
      <c r="T19" s="16"/>
      <c r="U19" s="15"/>
      <c r="W19" s="14"/>
      <c r="X19" s="14"/>
      <c r="Y19" s="25"/>
      <c r="Z19" s="25"/>
      <c r="AA19" s="33"/>
      <c r="AC19" s="25"/>
    </row>
    <row r="20" spans="1:29" x14ac:dyDescent="0.2">
      <c r="A20" s="23">
        <v>4</v>
      </c>
      <c r="E20" s="52" t="s">
        <v>54</v>
      </c>
      <c r="G20" s="23" t="s">
        <v>52</v>
      </c>
      <c r="I20" s="79">
        <v>977.93</v>
      </c>
      <c r="K20" s="35">
        <v>3</v>
      </c>
      <c r="M20" s="22">
        <f>K20*I20</f>
        <v>2933.79</v>
      </c>
      <c r="O20" s="35">
        <v>4.75</v>
      </c>
      <c r="Q20" s="51">
        <f>I20*O20</f>
        <v>4645.1674999999996</v>
      </c>
      <c r="R20" s="51"/>
      <c r="S20" s="17">
        <f>O20-K20</f>
        <v>1.75</v>
      </c>
      <c r="T20" s="16"/>
      <c r="U20" s="15">
        <f>S20*I20</f>
        <v>1711.3774999999998</v>
      </c>
      <c r="W20" s="14"/>
      <c r="X20" s="14"/>
      <c r="Y20" s="25"/>
      <c r="Z20" s="25"/>
      <c r="AA20" s="25"/>
      <c r="AC20" s="25"/>
    </row>
    <row r="21" spans="1:29" x14ac:dyDescent="0.2">
      <c r="A21" s="23">
        <f>MAX(A$16:A20)+1</f>
        <v>5</v>
      </c>
      <c r="E21" s="52" t="s">
        <v>55</v>
      </c>
      <c r="G21" s="23" t="s">
        <v>52</v>
      </c>
      <c r="I21" s="79">
        <v>279.83999999999997</v>
      </c>
      <c r="K21" s="35">
        <v>15</v>
      </c>
      <c r="M21" s="22">
        <f t="shared" ref="M21:M23" si="0">K21*I21</f>
        <v>4197.5999999999995</v>
      </c>
      <c r="O21" s="35">
        <v>38</v>
      </c>
      <c r="Q21" s="51">
        <f>I21*O21</f>
        <v>10633.919999999998</v>
      </c>
      <c r="R21" s="51"/>
      <c r="S21" s="17">
        <f>O21-K21</f>
        <v>23</v>
      </c>
      <c r="T21" s="16"/>
      <c r="U21" s="15">
        <f t="shared" ref="U21:U22" si="1">S21*I21</f>
        <v>6436.32</v>
      </c>
      <c r="W21" s="14"/>
      <c r="X21" s="14"/>
      <c r="Y21" s="25"/>
      <c r="Z21" s="25"/>
      <c r="AA21" s="33"/>
      <c r="AC21" s="25"/>
    </row>
    <row r="22" spans="1:29" x14ac:dyDescent="0.2">
      <c r="A22" s="23">
        <f>MAX(A$16:A21)+1</f>
        <v>6</v>
      </c>
      <c r="E22" s="52" t="s">
        <v>56</v>
      </c>
      <c r="G22" s="23" t="s">
        <v>52</v>
      </c>
      <c r="I22" s="79">
        <v>94.23</v>
      </c>
      <c r="K22" s="35">
        <v>40</v>
      </c>
      <c r="M22" s="22">
        <f t="shared" si="0"/>
        <v>3769.2000000000003</v>
      </c>
      <c r="O22" s="35">
        <v>104</v>
      </c>
      <c r="Q22" s="51">
        <f>I22*O22</f>
        <v>9799.92</v>
      </c>
      <c r="R22" s="51"/>
      <c r="S22" s="17">
        <f>O22-K22</f>
        <v>64</v>
      </c>
      <c r="T22" s="16"/>
      <c r="U22" s="15">
        <f t="shared" si="1"/>
        <v>6030.72</v>
      </c>
      <c r="W22" s="14"/>
      <c r="X22" s="14"/>
      <c r="Y22" s="25"/>
      <c r="Z22" s="25"/>
      <c r="AA22" s="33"/>
      <c r="AC22" s="25"/>
    </row>
    <row r="23" spans="1:29" x14ac:dyDescent="0.2">
      <c r="A23" s="23">
        <f>MAX(A$16:A22)+1</f>
        <v>7</v>
      </c>
      <c r="E23" s="52" t="s">
        <v>57</v>
      </c>
      <c r="G23" s="23" t="s">
        <v>52</v>
      </c>
      <c r="I23" s="79">
        <v>0</v>
      </c>
      <c r="K23" s="35">
        <v>70</v>
      </c>
      <c r="M23" s="22">
        <f t="shared" si="0"/>
        <v>0</v>
      </c>
      <c r="O23" s="35">
        <v>179</v>
      </c>
      <c r="Q23" s="51">
        <f>I23*O23</f>
        <v>0</v>
      </c>
      <c r="R23" s="51"/>
      <c r="S23" s="17">
        <f>O23-K23</f>
        <v>109</v>
      </c>
      <c r="T23" s="16"/>
      <c r="U23" s="15">
        <f>S23*I23</f>
        <v>0</v>
      </c>
      <c r="W23" s="14"/>
      <c r="X23" s="14"/>
      <c r="Y23" s="25"/>
      <c r="Z23" s="25"/>
      <c r="AA23" s="33"/>
      <c r="AC23" s="25"/>
    </row>
    <row r="24" spans="1:29" x14ac:dyDescent="0.2">
      <c r="A24" s="23"/>
      <c r="E24" s="50"/>
      <c r="I24" s="79"/>
      <c r="K24" s="73"/>
      <c r="M24" s="22"/>
      <c r="O24" s="22"/>
      <c r="Q24" s="51"/>
      <c r="R24" s="51"/>
      <c r="S24" s="17"/>
      <c r="T24" s="16"/>
      <c r="U24" s="15"/>
      <c r="W24" s="14"/>
      <c r="X24" s="14"/>
      <c r="Y24" s="25"/>
      <c r="Z24" s="25"/>
      <c r="AA24" s="33"/>
      <c r="AC24" s="25"/>
    </row>
    <row r="25" spans="1:29" x14ac:dyDescent="0.2">
      <c r="A25" s="23">
        <f>MAX(A$16:A24)+1</f>
        <v>8</v>
      </c>
      <c r="E25" s="50" t="s">
        <v>108</v>
      </c>
      <c r="G25" s="23" t="s">
        <v>52</v>
      </c>
      <c r="I25" s="79">
        <f>I17</f>
        <v>1352</v>
      </c>
      <c r="K25" s="35">
        <v>16</v>
      </c>
      <c r="M25" s="22">
        <f>I25*K25</f>
        <v>21632</v>
      </c>
      <c r="O25" s="35">
        <v>20</v>
      </c>
      <c r="Q25" s="51">
        <f>I25*O25</f>
        <v>27040</v>
      </c>
      <c r="R25" s="51"/>
      <c r="S25" s="17">
        <f>O25-K25</f>
        <v>4</v>
      </c>
      <c r="T25" s="16"/>
      <c r="U25" s="15">
        <f>S25*I25</f>
        <v>5408</v>
      </c>
      <c r="W25" s="14"/>
      <c r="X25" s="14"/>
      <c r="Y25" s="25"/>
      <c r="Z25" s="25"/>
      <c r="AA25" s="33"/>
      <c r="AC25" s="25"/>
    </row>
    <row r="26" spans="1:29" x14ac:dyDescent="0.2">
      <c r="A26" s="23"/>
      <c r="E26" s="50"/>
      <c r="I26" s="82"/>
      <c r="K26" s="22"/>
      <c r="M26" s="34"/>
      <c r="O26" s="22"/>
      <c r="Q26" s="51"/>
      <c r="R26" s="51"/>
      <c r="S26" s="17"/>
      <c r="T26" s="16"/>
      <c r="U26" s="15"/>
      <c r="W26" s="14"/>
      <c r="X26" s="14"/>
      <c r="Y26" s="25"/>
      <c r="Z26" s="25"/>
      <c r="AA26" s="33"/>
      <c r="AC26" s="25"/>
    </row>
    <row r="27" spans="1:29" x14ac:dyDescent="0.2">
      <c r="A27" s="23">
        <f>MAX(A$16:A26)+1</f>
        <v>9</v>
      </c>
      <c r="E27" s="53" t="s">
        <v>58</v>
      </c>
      <c r="G27" s="18"/>
      <c r="H27" s="25"/>
      <c r="I27" s="79"/>
      <c r="K27" s="22"/>
      <c r="M27" s="34"/>
      <c r="O27" s="22"/>
      <c r="Q27" s="51"/>
      <c r="R27" s="51"/>
      <c r="S27" s="17"/>
      <c r="T27" s="16"/>
      <c r="U27" s="15"/>
      <c r="Y27" s="25"/>
      <c r="Z27" s="25"/>
    </row>
    <row r="28" spans="1:29" x14ac:dyDescent="0.2">
      <c r="A28" s="23">
        <f>MAX(A$16:A27)+1</f>
        <v>10</v>
      </c>
      <c r="C28" s="50"/>
      <c r="E28" s="52" t="s">
        <v>59</v>
      </c>
      <c r="F28" s="74">
        <v>0.21951000000000001</v>
      </c>
      <c r="G28" s="23" t="s">
        <v>60</v>
      </c>
      <c r="H28" s="70">
        <v>74203384.766760245</v>
      </c>
      <c r="I28" s="79">
        <v>144810.22449025765</v>
      </c>
      <c r="K28" s="21">
        <v>0.21951000000000001</v>
      </c>
      <c r="L28" s="24"/>
      <c r="M28" s="34">
        <f>K28*I28</f>
        <v>31787.292377856458</v>
      </c>
      <c r="N28" s="24"/>
      <c r="O28" s="21">
        <v>0.23280999999999999</v>
      </c>
      <c r="Q28" s="51">
        <f>I28*O28</f>
        <v>33713.268363576884</v>
      </c>
      <c r="R28" s="51"/>
      <c r="S28" s="56">
        <f>O28-K28</f>
        <v>1.3299999999999979E-2</v>
      </c>
      <c r="T28" s="17"/>
      <c r="U28" s="51">
        <f>S28*I28</f>
        <v>1925.9759857204235</v>
      </c>
      <c r="Y28" s="25"/>
      <c r="Z28" s="25"/>
    </row>
    <row r="29" spans="1:29" x14ac:dyDescent="0.2">
      <c r="A29" s="23">
        <f>MAX(A$16:A28)+1</f>
        <v>11</v>
      </c>
      <c r="C29" s="50"/>
      <c r="E29" s="52" t="s">
        <v>61</v>
      </c>
      <c r="F29" s="74">
        <v>0.16456999999999999</v>
      </c>
      <c r="G29" s="23" t="s">
        <v>60</v>
      </c>
      <c r="H29" s="70">
        <v>10657025.143252332</v>
      </c>
      <c r="I29" s="79">
        <v>361264.53151498176</v>
      </c>
      <c r="K29" s="21">
        <v>0.16456999999999999</v>
      </c>
      <c r="M29" s="34">
        <f>K29*I29</f>
        <v>59453.303951420545</v>
      </c>
      <c r="O29" s="21">
        <v>0.23280999999999999</v>
      </c>
      <c r="Q29" s="51">
        <f>I29*O29</f>
        <v>84105.995582002899</v>
      </c>
      <c r="R29" s="51"/>
      <c r="S29" s="56">
        <f>O29-K29</f>
        <v>6.8239999999999995E-2</v>
      </c>
      <c r="T29" s="17"/>
      <c r="U29" s="51">
        <f>S29*I29</f>
        <v>24652.691630582354</v>
      </c>
      <c r="W29" s="32"/>
      <c r="X29" s="30"/>
      <c r="Y29" s="31"/>
      <c r="Z29" s="25"/>
      <c r="AC29" s="25"/>
    </row>
    <row r="30" spans="1:29" x14ac:dyDescent="0.2">
      <c r="A30" s="23"/>
      <c r="I30" s="79"/>
      <c r="Y30" s="25"/>
      <c r="Z30" s="25"/>
      <c r="AC30" s="25"/>
    </row>
    <row r="31" spans="1:29" x14ac:dyDescent="0.2">
      <c r="A31" s="23">
        <f>MAX(A$16:A30)+1</f>
        <v>12</v>
      </c>
      <c r="E31" s="57" t="s">
        <v>62</v>
      </c>
      <c r="F31" s="19"/>
      <c r="G31" s="58"/>
      <c r="H31" s="19"/>
      <c r="I31" s="83"/>
      <c r="J31" s="19"/>
      <c r="K31" s="19"/>
      <c r="L31" s="19"/>
      <c r="M31" s="59">
        <f>SUM(M17:M30)</f>
        <v>132223.186329277</v>
      </c>
      <c r="N31" s="19"/>
      <c r="O31" s="19"/>
      <c r="P31" s="19"/>
      <c r="Q31" s="59">
        <f>SUM(Q17:Q30)</f>
        <v>180281.07144557976</v>
      </c>
      <c r="R31" s="60"/>
      <c r="S31" s="19"/>
      <c r="T31" s="19"/>
      <c r="U31" s="59">
        <f>SUM(U17:U30)</f>
        <v>48057.885116302772</v>
      </c>
      <c r="Y31" s="25"/>
      <c r="Z31" s="25"/>
    </row>
    <row r="32" spans="1:29" x14ac:dyDescent="0.2">
      <c r="A32" s="23">
        <f>MAX(A$16:A31)+1</f>
        <v>13</v>
      </c>
      <c r="E32" s="61" t="s">
        <v>63</v>
      </c>
      <c r="F32" s="20"/>
      <c r="G32" s="62"/>
      <c r="H32" s="20"/>
      <c r="I32" s="84"/>
      <c r="J32" s="20"/>
      <c r="K32" s="20"/>
      <c r="L32" s="20"/>
      <c r="M32" s="63"/>
      <c r="N32" s="20"/>
      <c r="O32" s="64"/>
      <c r="P32" s="64"/>
      <c r="Q32" s="65">
        <f>Q31/$M31-1</f>
        <v>0.36346034648282965</v>
      </c>
      <c r="R32" s="65"/>
      <c r="S32" s="66"/>
      <c r="T32" s="66"/>
      <c r="U32" s="65">
        <f>(U31+$M31)/$M31-1</f>
        <v>0.36346034648282965</v>
      </c>
      <c r="Y32" s="25"/>
      <c r="Z32" s="25"/>
    </row>
    <row r="33" spans="1:29" x14ac:dyDescent="0.2">
      <c r="A33" s="23"/>
      <c r="I33" s="79"/>
      <c r="Q33" s="51"/>
      <c r="R33" s="51"/>
      <c r="Y33" s="25"/>
      <c r="Z33" s="25"/>
      <c r="AC33" s="25"/>
    </row>
    <row r="34" spans="1:29" x14ac:dyDescent="0.2">
      <c r="A34" s="23"/>
      <c r="E34" s="20"/>
      <c r="I34" s="79"/>
      <c r="M34" s="17"/>
      <c r="U34" s="51"/>
    </row>
    <row r="35" spans="1:29" x14ac:dyDescent="0.2">
      <c r="I35" s="79"/>
      <c r="K35" s="14"/>
      <c r="M35" s="72"/>
      <c r="Q35" s="72"/>
      <c r="R35" s="68"/>
      <c r="U35" s="69"/>
    </row>
    <row r="36" spans="1:29" x14ac:dyDescent="0.2">
      <c r="E36" s="18" t="s">
        <v>64</v>
      </c>
      <c r="I36" s="79"/>
    </row>
    <row r="37" spans="1:29" x14ac:dyDescent="0.2">
      <c r="E37" s="18" t="s">
        <v>65</v>
      </c>
      <c r="I37" s="79"/>
    </row>
    <row r="38" spans="1:29" x14ac:dyDescent="0.2">
      <c r="E38" s="18" t="s">
        <v>109</v>
      </c>
    </row>
    <row r="39" spans="1:29" x14ac:dyDescent="0.2">
      <c r="E39" s="18" t="s">
        <v>67</v>
      </c>
    </row>
    <row r="40" spans="1:29" x14ac:dyDescent="0.2">
      <c r="G40" s="18"/>
    </row>
    <row r="41" spans="1:29" x14ac:dyDescent="0.2">
      <c r="G41" s="18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2D3C-80BA-4888-BA0C-3CD1614BA340}">
  <sheetPr>
    <pageSetUpPr fitToPage="1"/>
  </sheetPr>
  <dimension ref="A1:AC39"/>
  <sheetViews>
    <sheetView zoomScaleNormal="100" workbookViewId="0">
      <selection activeCell="U27" sqref="U27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x14ac:dyDescent="0.2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Y13" s="25"/>
      <c r="Z13" s="25"/>
    </row>
    <row r="14" spans="1:29" x14ac:dyDescent="0.2">
      <c r="A14" s="23"/>
      <c r="C14" s="47" t="s">
        <v>110</v>
      </c>
      <c r="E14" s="48" t="s">
        <v>111</v>
      </c>
      <c r="W14" s="23"/>
      <c r="X14" s="23"/>
      <c r="Y14" s="26"/>
      <c r="Z14" s="26"/>
      <c r="AA14" s="23"/>
      <c r="AB14" s="23"/>
      <c r="AC14" s="23"/>
    </row>
    <row r="15" spans="1:29" x14ac:dyDescent="0.2">
      <c r="A15" s="23"/>
      <c r="J15" s="24"/>
      <c r="K15" s="24"/>
      <c r="L15" s="24"/>
      <c r="M15" s="24"/>
      <c r="N15" s="24"/>
      <c r="S15" s="24"/>
      <c r="T15" s="24"/>
      <c r="W15" s="27"/>
      <c r="X15" s="27"/>
      <c r="Y15" s="28"/>
      <c r="Z15" s="28"/>
      <c r="AA15" s="27"/>
      <c r="AB15" s="27"/>
      <c r="AC15" s="27"/>
    </row>
    <row r="16" spans="1:29" x14ac:dyDescent="0.2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W16" s="27"/>
      <c r="X16" s="27"/>
      <c r="Y16" s="28"/>
      <c r="Z16" s="28"/>
      <c r="AA16" s="27"/>
      <c r="AB16" s="27"/>
      <c r="AC16" s="27"/>
    </row>
    <row r="17" spans="1:29" x14ac:dyDescent="0.2">
      <c r="A17" s="23">
        <f>MAX(A$16:A16)+1</f>
        <v>2</v>
      </c>
      <c r="E17" s="50" t="s">
        <v>51</v>
      </c>
      <c r="G17" s="23" t="s">
        <v>52</v>
      </c>
      <c r="I17" s="79">
        <v>4386</v>
      </c>
      <c r="J17" s="24"/>
      <c r="K17" s="35">
        <v>42.5</v>
      </c>
      <c r="L17" s="24"/>
      <c r="M17" s="34">
        <f>I17*K17</f>
        <v>186405</v>
      </c>
      <c r="N17" s="24"/>
      <c r="O17" s="35">
        <v>52</v>
      </c>
      <c r="Q17" s="51">
        <f>I17*O17</f>
        <v>228072</v>
      </c>
      <c r="R17" s="51"/>
      <c r="S17" s="17">
        <f>O17-K17</f>
        <v>9.5</v>
      </c>
      <c r="T17" s="16"/>
      <c r="U17" s="15">
        <f>S17*I17</f>
        <v>41667</v>
      </c>
      <c r="W17" s="27"/>
      <c r="X17" s="27"/>
      <c r="Y17" s="28"/>
      <c r="Z17" s="28"/>
      <c r="AA17" s="27"/>
      <c r="AB17" s="27"/>
      <c r="AC17" s="27"/>
    </row>
    <row r="18" spans="1:29" x14ac:dyDescent="0.2">
      <c r="A18" s="23"/>
      <c r="E18" s="50"/>
      <c r="I18" s="80"/>
      <c r="J18" s="24"/>
      <c r="K18" s="22"/>
      <c r="L18" s="24"/>
      <c r="M18" s="34"/>
      <c r="N18" s="24"/>
      <c r="O18" s="22"/>
      <c r="Q18" s="51"/>
      <c r="R18" s="51"/>
      <c r="S18" s="17"/>
      <c r="T18" s="16"/>
      <c r="U18" s="15"/>
      <c r="W18" s="14"/>
      <c r="X18" s="14"/>
      <c r="Y18" s="25"/>
      <c r="Z18" s="25"/>
      <c r="AA18" s="33"/>
      <c r="AC18" s="25"/>
    </row>
    <row r="19" spans="1:29" x14ac:dyDescent="0.2">
      <c r="A19" s="23">
        <v>3</v>
      </c>
      <c r="E19" s="50" t="s">
        <v>53</v>
      </c>
      <c r="I19" s="80"/>
      <c r="J19" s="24"/>
      <c r="K19" s="22"/>
      <c r="L19" s="24"/>
      <c r="M19" s="34"/>
      <c r="N19" s="24"/>
      <c r="O19" s="22"/>
      <c r="Q19" s="51"/>
      <c r="R19" s="51"/>
      <c r="S19" s="17"/>
      <c r="T19" s="16"/>
      <c r="U19" s="15"/>
      <c r="W19" s="14"/>
      <c r="X19" s="14"/>
      <c r="Y19" s="25"/>
      <c r="Z19" s="25"/>
      <c r="AA19" s="33"/>
      <c r="AC19" s="25"/>
    </row>
    <row r="20" spans="1:29" x14ac:dyDescent="0.2">
      <c r="A20" s="23">
        <v>4</v>
      </c>
      <c r="E20" s="52" t="s">
        <v>54</v>
      </c>
      <c r="G20" s="23" t="s">
        <v>52</v>
      </c>
      <c r="I20" s="79">
        <v>723.86</v>
      </c>
      <c r="K20" s="35">
        <v>3</v>
      </c>
      <c r="M20" s="22">
        <f>K20*I20</f>
        <v>2171.58</v>
      </c>
      <c r="O20" s="35">
        <v>4.75</v>
      </c>
      <c r="Q20" s="51">
        <f>I20*O20</f>
        <v>3438.335</v>
      </c>
      <c r="R20" s="51"/>
      <c r="S20" s="17">
        <f>O20-K20</f>
        <v>1.75</v>
      </c>
      <c r="T20" s="16"/>
      <c r="U20" s="15">
        <f>S20*I20</f>
        <v>1266.7550000000001</v>
      </c>
      <c r="W20" s="14"/>
      <c r="X20" s="14"/>
      <c r="Y20" s="25"/>
      <c r="Z20" s="25"/>
      <c r="AA20" s="25"/>
      <c r="AC20" s="25"/>
    </row>
    <row r="21" spans="1:29" x14ac:dyDescent="0.2">
      <c r="A21" s="23">
        <f>MAX(A$16:A20)+1</f>
        <v>5</v>
      </c>
      <c r="E21" s="52" t="s">
        <v>55</v>
      </c>
      <c r="G21" s="23" t="s">
        <v>52</v>
      </c>
      <c r="I21" s="79">
        <v>1942.7</v>
      </c>
      <c r="K21" s="35">
        <v>15</v>
      </c>
      <c r="M21" s="22">
        <f t="shared" ref="M21:M25" si="0">K21*I21</f>
        <v>29140.5</v>
      </c>
      <c r="O21" s="35">
        <v>38</v>
      </c>
      <c r="Q21" s="51">
        <f>I21*O21</f>
        <v>73822.600000000006</v>
      </c>
      <c r="R21" s="51"/>
      <c r="S21" s="17">
        <f>O21-K21</f>
        <v>23</v>
      </c>
      <c r="T21" s="16"/>
      <c r="U21" s="15">
        <f>S21*I21</f>
        <v>44682.1</v>
      </c>
      <c r="W21" s="14"/>
      <c r="X21" s="14"/>
      <c r="Y21" s="25"/>
      <c r="Z21" s="25"/>
      <c r="AA21" s="33"/>
      <c r="AC21" s="25"/>
    </row>
    <row r="22" spans="1:29" x14ac:dyDescent="0.2">
      <c r="A22" s="23">
        <f>MAX(A$16:A21)+1</f>
        <v>6</v>
      </c>
      <c r="E22" s="52" t="s">
        <v>56</v>
      </c>
      <c r="G22" s="23" t="s">
        <v>52</v>
      </c>
      <c r="I22" s="79">
        <v>1651.8</v>
      </c>
      <c r="K22" s="35">
        <v>40</v>
      </c>
      <c r="M22" s="22">
        <f t="shared" si="0"/>
        <v>66072</v>
      </c>
      <c r="O22" s="35">
        <v>104</v>
      </c>
      <c r="Q22" s="51">
        <f>I22*O22</f>
        <v>171787.19999999998</v>
      </c>
      <c r="R22" s="51"/>
      <c r="S22" s="17">
        <f>O22-K22</f>
        <v>64</v>
      </c>
      <c r="T22" s="16"/>
      <c r="U22" s="15">
        <f>S22*I22</f>
        <v>105715.2</v>
      </c>
      <c r="W22" s="14"/>
      <c r="X22" s="14"/>
      <c r="Y22" s="25"/>
      <c r="Z22" s="25"/>
      <c r="AA22" s="33"/>
      <c r="AC22" s="25"/>
    </row>
    <row r="23" spans="1:29" x14ac:dyDescent="0.2">
      <c r="A23" s="23">
        <f>MAX(A$16:A22)+1</f>
        <v>7</v>
      </c>
      <c r="E23" s="52" t="s">
        <v>57</v>
      </c>
      <c r="G23" s="23" t="s">
        <v>52</v>
      </c>
      <c r="I23" s="79">
        <v>67.64</v>
      </c>
      <c r="K23" s="35">
        <v>70</v>
      </c>
      <c r="M23" s="22">
        <f t="shared" si="0"/>
        <v>4734.8</v>
      </c>
      <c r="O23" s="35">
        <v>179</v>
      </c>
      <c r="Q23" s="51">
        <f>I23*O23</f>
        <v>12107.56</v>
      </c>
      <c r="R23" s="51"/>
      <c r="S23" s="17">
        <f>O23-K23</f>
        <v>109</v>
      </c>
      <c r="T23" s="16"/>
      <c r="U23" s="15">
        <f>S23*I23</f>
        <v>7372.76</v>
      </c>
      <c r="W23" s="14"/>
      <c r="X23" s="14"/>
      <c r="Y23" s="25"/>
      <c r="Z23" s="25"/>
      <c r="AA23" s="33"/>
      <c r="AC23" s="25"/>
    </row>
    <row r="24" spans="1:29" x14ac:dyDescent="0.2">
      <c r="A24" s="23"/>
      <c r="E24" s="50"/>
      <c r="I24" s="79"/>
      <c r="K24" s="73"/>
      <c r="M24" s="22"/>
      <c r="O24" s="22"/>
      <c r="Q24" s="51"/>
      <c r="R24" s="51"/>
      <c r="S24" s="17"/>
      <c r="T24" s="16"/>
      <c r="U24" s="15"/>
      <c r="W24" s="14"/>
      <c r="X24" s="14"/>
      <c r="Y24" s="25"/>
      <c r="Z24" s="25"/>
      <c r="AA24" s="33"/>
      <c r="AC24" s="25"/>
    </row>
    <row r="25" spans="1:29" x14ac:dyDescent="0.2">
      <c r="A25" s="23">
        <f>MAX(A$16:A24)+1</f>
        <v>8</v>
      </c>
      <c r="E25" s="50" t="s">
        <v>108</v>
      </c>
      <c r="G25" s="23" t="s">
        <v>52</v>
      </c>
      <c r="I25" s="79">
        <f>I17</f>
        <v>4386</v>
      </c>
      <c r="K25" s="35">
        <v>16</v>
      </c>
      <c r="M25" s="22">
        <f t="shared" si="0"/>
        <v>70176</v>
      </c>
      <c r="O25" s="35">
        <v>20</v>
      </c>
      <c r="Q25" s="51">
        <f>I25*O25</f>
        <v>87720</v>
      </c>
      <c r="R25" s="51"/>
      <c r="S25" s="17">
        <f>O25-K25</f>
        <v>4</v>
      </c>
      <c r="T25" s="16"/>
      <c r="U25" s="15">
        <f>S25*I25</f>
        <v>17544</v>
      </c>
      <c r="W25" s="14"/>
      <c r="X25" s="14"/>
      <c r="Y25" s="25"/>
      <c r="Z25" s="25"/>
      <c r="AA25" s="33"/>
      <c r="AC25" s="25"/>
    </row>
    <row r="26" spans="1:29" x14ac:dyDescent="0.2">
      <c r="A26" s="23"/>
      <c r="E26" s="50"/>
      <c r="I26" s="79"/>
      <c r="K26" s="73"/>
      <c r="M26" s="22"/>
      <c r="O26" s="35"/>
      <c r="Q26" s="51"/>
      <c r="R26" s="51"/>
      <c r="S26" s="17"/>
      <c r="T26" s="16"/>
      <c r="U26" s="15"/>
      <c r="W26" s="14"/>
      <c r="X26" s="14"/>
      <c r="Y26" s="25"/>
      <c r="Z26" s="25"/>
      <c r="AA26" s="33"/>
      <c r="AC26" s="25"/>
    </row>
    <row r="27" spans="1:29" x14ac:dyDescent="0.2">
      <c r="A27" s="23">
        <f>MAX(A$16:A26)+1</f>
        <v>9</v>
      </c>
      <c r="C27" s="50"/>
      <c r="D27" s="50" t="s">
        <v>59</v>
      </c>
      <c r="E27" s="50" t="s">
        <v>75</v>
      </c>
      <c r="F27" s="74">
        <v>0.21951000000000001</v>
      </c>
      <c r="G27" s="23" t="s">
        <v>60</v>
      </c>
      <c r="H27" s="70">
        <v>74203384.766760245</v>
      </c>
      <c r="I27" s="79">
        <v>13256085.903286709</v>
      </c>
      <c r="K27" s="21">
        <v>9.708E-2</v>
      </c>
      <c r="L27" s="24"/>
      <c r="M27" s="15">
        <f>K27*I27</f>
        <v>1286900.8194910737</v>
      </c>
      <c r="N27" s="24"/>
      <c r="O27" s="21">
        <v>0.11882999999999999</v>
      </c>
      <c r="Q27" s="51">
        <f>I27*O27</f>
        <v>1575220.6878875594</v>
      </c>
      <c r="R27" s="51"/>
      <c r="S27" s="56">
        <f>O27-K27</f>
        <v>2.1749999999999992E-2</v>
      </c>
      <c r="T27" s="17"/>
      <c r="U27" s="51">
        <f>S27*I27</f>
        <v>288319.86839648581</v>
      </c>
      <c r="Y27" s="25"/>
      <c r="Z27" s="25"/>
    </row>
    <row r="28" spans="1:29" x14ac:dyDescent="0.2">
      <c r="A28" s="23"/>
      <c r="I28" s="79"/>
      <c r="Y28" s="25"/>
      <c r="Z28" s="25"/>
      <c r="AC28" s="25"/>
    </row>
    <row r="29" spans="1:29" x14ac:dyDescent="0.2">
      <c r="A29" s="23">
        <f>MAX(A$16:A28)+1</f>
        <v>10</v>
      </c>
      <c r="E29" s="57" t="s">
        <v>62</v>
      </c>
      <c r="F29" s="19"/>
      <c r="G29" s="58"/>
      <c r="H29" s="19"/>
      <c r="I29" s="83"/>
      <c r="J29" s="19"/>
      <c r="K29" s="19"/>
      <c r="L29" s="19"/>
      <c r="M29" s="59">
        <f>SUM(M17:M28)</f>
        <v>1645600.6994910736</v>
      </c>
      <c r="N29" s="19"/>
      <c r="O29" s="19"/>
      <c r="P29" s="19"/>
      <c r="Q29" s="59">
        <f>SUM(Q17:Q28)</f>
        <v>2152168.3828875595</v>
      </c>
      <c r="R29" s="60"/>
      <c r="S29" s="19"/>
      <c r="T29" s="19"/>
      <c r="U29" s="59">
        <f>SUM(U17:U28)</f>
        <v>506567.68339648581</v>
      </c>
      <c r="Y29" s="25"/>
      <c r="Z29" s="25"/>
    </row>
    <row r="30" spans="1:29" x14ac:dyDescent="0.2">
      <c r="A30" s="23">
        <f>MAX(A$16:A29)+1</f>
        <v>11</v>
      </c>
      <c r="E30" s="61" t="s">
        <v>63</v>
      </c>
      <c r="F30" s="20"/>
      <c r="G30" s="62"/>
      <c r="H30" s="20"/>
      <c r="I30" s="84"/>
      <c r="J30" s="20"/>
      <c r="K30" s="20"/>
      <c r="L30" s="20"/>
      <c r="M30" s="63"/>
      <c r="N30" s="20"/>
      <c r="O30" s="64"/>
      <c r="P30" s="64"/>
      <c r="Q30" s="65">
        <f>Q29/$M29-1</f>
        <v>0.30783147063145355</v>
      </c>
      <c r="R30" s="65"/>
      <c r="S30" s="66"/>
      <c r="T30" s="66"/>
      <c r="U30" s="65">
        <f>(U29+$M29)/$M29-1</f>
        <v>0.30783147063145355</v>
      </c>
      <c r="Y30" s="25"/>
      <c r="Z30" s="25"/>
    </row>
    <row r="31" spans="1:29" x14ac:dyDescent="0.2">
      <c r="A31" s="23"/>
      <c r="I31" s="79"/>
      <c r="Q31" s="51"/>
      <c r="R31" s="51"/>
      <c r="Y31" s="25"/>
      <c r="Z31" s="25"/>
      <c r="AC31" s="25"/>
    </row>
    <row r="32" spans="1:29" x14ac:dyDescent="0.2">
      <c r="A32" s="23"/>
      <c r="E32" s="20"/>
      <c r="I32" s="79"/>
      <c r="M32" s="17"/>
      <c r="U32" s="51"/>
    </row>
    <row r="33" spans="5:21" x14ac:dyDescent="0.2">
      <c r="I33" s="79"/>
      <c r="K33" s="14"/>
      <c r="M33" s="72"/>
      <c r="Q33" s="72"/>
      <c r="R33" s="68"/>
      <c r="U33" s="69"/>
    </row>
    <row r="34" spans="5:21" x14ac:dyDescent="0.2">
      <c r="E34" s="18" t="s">
        <v>64</v>
      </c>
      <c r="I34" s="79"/>
    </row>
    <row r="35" spans="5:21" x14ac:dyDescent="0.2">
      <c r="E35" s="18" t="s">
        <v>65</v>
      </c>
      <c r="I35" s="79"/>
    </row>
    <row r="36" spans="5:21" x14ac:dyDescent="0.2">
      <c r="E36" s="18" t="s">
        <v>96</v>
      </c>
      <c r="I36" s="79"/>
    </row>
    <row r="37" spans="5:21" x14ac:dyDescent="0.2">
      <c r="E37" s="18" t="s">
        <v>67</v>
      </c>
      <c r="I37" s="79"/>
    </row>
    <row r="38" spans="5:21" x14ac:dyDescent="0.2">
      <c r="G38" s="18"/>
    </row>
    <row r="39" spans="5:21" x14ac:dyDescent="0.2">
      <c r="G39" s="18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668C3-994B-47D8-90CA-A3BA11AB60C5}">
  <sheetPr>
    <pageSetUpPr fitToPage="1"/>
  </sheetPr>
  <dimension ref="A1:AC37"/>
  <sheetViews>
    <sheetView zoomScaleNormal="100" workbookViewId="0">
      <selection activeCell="E14" sqref="E14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ht="15.75" x14ac:dyDescent="0.25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V13" s="2"/>
      <c r="W13" s="2"/>
      <c r="X13" s="2"/>
      <c r="Y13" s="6"/>
      <c r="Z13" s="6"/>
      <c r="AA13" s="2"/>
      <c r="AB13" s="2"/>
      <c r="AC13" s="2"/>
    </row>
    <row r="14" spans="1:29" ht="15.75" x14ac:dyDescent="0.25">
      <c r="A14" s="23"/>
      <c r="C14" s="47" t="s">
        <v>112</v>
      </c>
      <c r="E14" s="48" t="s">
        <v>113</v>
      </c>
      <c r="V14" s="2"/>
      <c r="W14" s="1"/>
      <c r="X14" s="1"/>
      <c r="Y14" s="8"/>
      <c r="Z14" s="8"/>
      <c r="AA14" s="1"/>
      <c r="AB14" s="1"/>
      <c r="AC14" s="1"/>
    </row>
    <row r="15" spans="1:29" ht="15.75" x14ac:dyDescent="0.25">
      <c r="A15" s="23"/>
      <c r="J15" s="24"/>
      <c r="K15" s="24"/>
      <c r="L15" s="24"/>
      <c r="M15" s="24"/>
      <c r="N15" s="24"/>
      <c r="S15" s="24"/>
      <c r="T15" s="24"/>
      <c r="V15" s="2"/>
      <c r="W15" s="4"/>
      <c r="X15" s="4"/>
      <c r="Y15" s="9"/>
      <c r="Z15" s="9"/>
      <c r="AA15" s="4"/>
      <c r="AB15" s="4"/>
      <c r="AC15" s="4"/>
    </row>
    <row r="16" spans="1:29" ht="15.75" x14ac:dyDescent="0.25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V16" s="2"/>
      <c r="W16" s="4"/>
      <c r="X16" s="4"/>
      <c r="Y16" s="9"/>
      <c r="Z16" s="9"/>
      <c r="AA16" s="4"/>
      <c r="AB16" s="4"/>
      <c r="AC16" s="4"/>
    </row>
    <row r="17" spans="1:29" ht="15.75" x14ac:dyDescent="0.25">
      <c r="A17" s="23">
        <f>MAX(A$16:A16)+1</f>
        <v>2</v>
      </c>
      <c r="E17" s="50" t="s">
        <v>51</v>
      </c>
      <c r="G17" s="23" t="s">
        <v>52</v>
      </c>
      <c r="I17" s="83"/>
      <c r="J17" s="24"/>
      <c r="K17" s="71"/>
      <c r="L17" s="24"/>
      <c r="M17" s="15">
        <f>I17*K17</f>
        <v>0</v>
      </c>
      <c r="N17" s="24"/>
      <c r="Q17" s="51">
        <f>I17*O17</f>
        <v>0</v>
      </c>
      <c r="R17" s="51"/>
      <c r="S17" s="17">
        <f>O17-K17</f>
        <v>0</v>
      </c>
      <c r="T17" s="16"/>
      <c r="U17" s="15">
        <f>S17*I17</f>
        <v>0</v>
      </c>
      <c r="V17" s="2"/>
      <c r="W17" s="4"/>
      <c r="X17" s="4"/>
      <c r="Y17" s="9"/>
      <c r="Z17" s="9"/>
      <c r="AA17" s="4"/>
      <c r="AB17" s="4"/>
      <c r="AC17" s="4"/>
    </row>
    <row r="18" spans="1:29" ht="15.75" x14ac:dyDescent="0.25">
      <c r="A18" s="23"/>
      <c r="I18" s="83"/>
      <c r="J18" s="24"/>
      <c r="K18" s="71"/>
      <c r="L18" s="24"/>
      <c r="M18" s="15"/>
      <c r="N18" s="24"/>
      <c r="Q18" s="51"/>
      <c r="R18" s="51"/>
      <c r="S18" s="17"/>
      <c r="T18" s="16"/>
      <c r="U18" s="15"/>
      <c r="V18" s="2"/>
      <c r="W18" s="4"/>
      <c r="X18" s="4"/>
      <c r="Y18" s="9"/>
      <c r="Z18" s="9"/>
      <c r="AA18" s="4"/>
      <c r="AB18" s="4"/>
      <c r="AC18" s="4"/>
    </row>
    <row r="19" spans="1:29" ht="15.75" x14ac:dyDescent="0.25">
      <c r="A19" s="23">
        <f>MAX(A$16:A18)+1</f>
        <v>3</v>
      </c>
      <c r="E19" s="50" t="s">
        <v>114</v>
      </c>
      <c r="G19" s="23" t="s">
        <v>52</v>
      </c>
      <c r="I19" s="83"/>
      <c r="J19" s="24"/>
      <c r="K19" s="71"/>
      <c r="L19" s="24"/>
      <c r="M19" s="15">
        <f>I19*K19</f>
        <v>0</v>
      </c>
      <c r="N19" s="24"/>
      <c r="Q19" s="51">
        <f>I19*O19</f>
        <v>0</v>
      </c>
      <c r="R19" s="51"/>
      <c r="S19" s="17">
        <f>O19-K19</f>
        <v>0</v>
      </c>
      <c r="T19" s="16"/>
      <c r="U19" s="15">
        <f>S19*I19</f>
        <v>0</v>
      </c>
      <c r="V19" s="2"/>
      <c r="W19" s="4"/>
      <c r="X19" s="4"/>
      <c r="Y19" s="9"/>
      <c r="Z19" s="9"/>
      <c r="AA19" s="4"/>
      <c r="AB19" s="4"/>
      <c r="AC19" s="4"/>
    </row>
    <row r="20" spans="1:29" ht="15.75" x14ac:dyDescent="0.25">
      <c r="A20" s="23">
        <f>MAX(A$16:A19)+1</f>
        <v>4</v>
      </c>
      <c r="E20" s="50" t="s">
        <v>115</v>
      </c>
      <c r="G20" s="23" t="s">
        <v>52</v>
      </c>
      <c r="I20" s="83"/>
      <c r="J20" s="24"/>
      <c r="K20" s="71"/>
      <c r="L20" s="24"/>
      <c r="M20" s="15">
        <f>I20*K20</f>
        <v>0</v>
      </c>
      <c r="N20" s="24"/>
      <c r="Q20" s="51">
        <f>I20*O20</f>
        <v>0</v>
      </c>
      <c r="R20" s="51"/>
      <c r="S20" s="17">
        <f>O20-K20</f>
        <v>0</v>
      </c>
      <c r="T20" s="16"/>
      <c r="U20" s="15">
        <f>S20*I20</f>
        <v>0</v>
      </c>
      <c r="V20" s="2"/>
      <c r="W20" s="4"/>
      <c r="X20" s="4"/>
      <c r="Y20" s="9"/>
      <c r="Z20" s="9"/>
      <c r="AA20" s="4"/>
      <c r="AB20" s="4"/>
      <c r="AC20" s="4"/>
    </row>
    <row r="21" spans="1:29" ht="15.75" x14ac:dyDescent="0.25">
      <c r="A21" s="23">
        <f>MAX(A$16:A20)+1</f>
        <v>5</v>
      </c>
      <c r="E21" s="50" t="s">
        <v>116</v>
      </c>
      <c r="G21" s="23" t="s">
        <v>60</v>
      </c>
      <c r="I21" s="83"/>
      <c r="J21" s="24"/>
      <c r="K21" s="71"/>
      <c r="L21" s="24"/>
      <c r="M21" s="15">
        <f>I21*K21</f>
        <v>0</v>
      </c>
      <c r="N21" s="24"/>
      <c r="Q21" s="51">
        <f>I21*O21</f>
        <v>0</v>
      </c>
      <c r="R21" s="51"/>
      <c r="S21" s="17">
        <f>O21-K21</f>
        <v>0</v>
      </c>
      <c r="T21" s="16"/>
      <c r="U21" s="15">
        <f>S21*I21</f>
        <v>0</v>
      </c>
      <c r="V21" s="2"/>
      <c r="W21" s="4"/>
      <c r="X21" s="4"/>
      <c r="Y21" s="9"/>
      <c r="Z21" s="9"/>
      <c r="AA21" s="4"/>
      <c r="AB21" s="4"/>
      <c r="AC21" s="4"/>
    </row>
    <row r="22" spans="1:29" ht="15.75" x14ac:dyDescent="0.25">
      <c r="A22" s="23"/>
      <c r="C22" s="2"/>
      <c r="D22" s="2"/>
      <c r="E22" s="2"/>
      <c r="F22" s="54"/>
      <c r="G22" s="12"/>
      <c r="H22" s="55"/>
      <c r="I22" s="79"/>
      <c r="V22" s="2"/>
      <c r="W22" s="13"/>
      <c r="X22" s="12"/>
      <c r="Y22" s="7"/>
      <c r="Z22" s="6"/>
      <c r="AA22" s="2"/>
      <c r="AB22" s="2"/>
      <c r="AC22" s="6"/>
    </row>
    <row r="23" spans="1:29" ht="15.75" x14ac:dyDescent="0.25">
      <c r="A23" s="23">
        <f>MAX(A$16:A22)+1</f>
        <v>6</v>
      </c>
      <c r="E23" s="57" t="s">
        <v>62</v>
      </c>
      <c r="F23" s="19"/>
      <c r="G23" s="58"/>
      <c r="H23" s="19"/>
      <c r="I23" s="83"/>
      <c r="J23" s="19"/>
      <c r="K23" s="19"/>
      <c r="L23" s="19"/>
      <c r="M23" s="59">
        <f>SUM(M17:M22)</f>
        <v>0</v>
      </c>
      <c r="N23" s="19"/>
      <c r="O23" s="19"/>
      <c r="P23" s="19"/>
      <c r="Q23" s="59">
        <f>SUM(Q17:Q22)</f>
        <v>0</v>
      </c>
      <c r="R23" s="60"/>
      <c r="S23" s="19"/>
      <c r="T23" s="19"/>
      <c r="U23" s="59">
        <f>SUM(U17:U22)</f>
        <v>0</v>
      </c>
      <c r="V23" s="2"/>
      <c r="W23" s="2"/>
      <c r="X23" s="2"/>
      <c r="Y23" s="6"/>
      <c r="Z23" s="6"/>
      <c r="AA23" s="2"/>
      <c r="AB23" s="2"/>
      <c r="AC23" s="2"/>
    </row>
    <row r="24" spans="1:29" ht="15.75" x14ac:dyDescent="0.25">
      <c r="A24" s="23">
        <f>MAX(A$16:A23)+1</f>
        <v>7</v>
      </c>
      <c r="E24" s="61" t="s">
        <v>63</v>
      </c>
      <c r="F24" s="20"/>
      <c r="G24" s="62"/>
      <c r="H24" s="20"/>
      <c r="I24" s="84"/>
      <c r="J24" s="20"/>
      <c r="K24" s="20"/>
      <c r="L24" s="20"/>
      <c r="M24" s="63"/>
      <c r="N24" s="20"/>
      <c r="O24" s="64"/>
      <c r="P24" s="64"/>
      <c r="Q24" s="65"/>
      <c r="R24" s="65"/>
      <c r="S24" s="66"/>
      <c r="T24" s="66"/>
      <c r="U24" s="65"/>
      <c r="V24" s="2"/>
      <c r="W24" s="2"/>
      <c r="X24" s="2"/>
      <c r="Y24" s="6"/>
      <c r="Z24" s="6"/>
      <c r="AA24" s="2"/>
      <c r="AB24" s="2"/>
      <c r="AC24" s="2"/>
    </row>
    <row r="25" spans="1:29" x14ac:dyDescent="0.2">
      <c r="I25" s="79"/>
      <c r="K25" s="14"/>
      <c r="M25" s="72"/>
      <c r="Q25" s="72"/>
      <c r="R25" s="68"/>
      <c r="U25" s="69"/>
    </row>
    <row r="26" spans="1:29" x14ac:dyDescent="0.2">
      <c r="I26" s="79"/>
    </row>
    <row r="27" spans="1:29" x14ac:dyDescent="0.2">
      <c r="I27" s="79"/>
    </row>
    <row r="28" spans="1:29" x14ac:dyDescent="0.2">
      <c r="I28" s="79"/>
    </row>
    <row r="29" spans="1:29" x14ac:dyDescent="0.2">
      <c r="I29" s="79"/>
    </row>
    <row r="30" spans="1:29" x14ac:dyDescent="0.2">
      <c r="E30" s="98"/>
      <c r="F30" s="98"/>
      <c r="G30" s="98"/>
      <c r="H30" s="98"/>
      <c r="I30" s="99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</row>
    <row r="31" spans="1:29" x14ac:dyDescent="0.2">
      <c r="E31" s="98"/>
      <c r="F31" s="98"/>
      <c r="G31" s="98"/>
      <c r="H31" s="98"/>
      <c r="I31" s="99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</row>
    <row r="32" spans="1:29" x14ac:dyDescent="0.2">
      <c r="I32" s="79"/>
    </row>
    <row r="33" spans="9:9" x14ac:dyDescent="0.2">
      <c r="I33" s="79"/>
    </row>
    <row r="34" spans="9:9" x14ac:dyDescent="0.2">
      <c r="I34" s="79"/>
    </row>
    <row r="35" spans="9:9" x14ac:dyDescent="0.2">
      <c r="I35" s="79"/>
    </row>
    <row r="36" spans="9:9" x14ac:dyDescent="0.2">
      <c r="I36" s="79"/>
    </row>
    <row r="37" spans="9:9" x14ac:dyDescent="0.2">
      <c r="I37" s="79"/>
    </row>
  </sheetData>
  <mergeCells count="11">
    <mergeCell ref="G10:I10"/>
    <mergeCell ref="E30:U31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AC38-84D8-4E6E-8FAE-FD5AD476795E}">
  <sheetPr>
    <pageSetUpPr fitToPage="1"/>
  </sheetPr>
  <dimension ref="A1:AC38"/>
  <sheetViews>
    <sheetView zoomScaleNormal="100" workbookViewId="0">
      <selection activeCell="U27" sqref="U27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ht="15.6" customHeight="1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ht="15.75" x14ac:dyDescent="0.25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V13" s="2"/>
      <c r="W13" s="2"/>
      <c r="X13" s="2"/>
      <c r="Y13" s="6"/>
      <c r="Z13" s="6"/>
      <c r="AA13" s="2"/>
      <c r="AB13" s="2"/>
      <c r="AC13" s="2"/>
    </row>
    <row r="14" spans="1:29" ht="15.75" x14ac:dyDescent="0.25">
      <c r="A14" s="23"/>
      <c r="C14" s="47" t="s">
        <v>48</v>
      </c>
      <c r="E14" s="48" t="s">
        <v>49</v>
      </c>
      <c r="V14" s="2"/>
      <c r="W14" s="1"/>
      <c r="X14" s="1"/>
      <c r="Y14" s="8"/>
      <c r="Z14" s="8"/>
      <c r="AA14" s="1"/>
      <c r="AB14" s="1"/>
      <c r="AC14" s="1"/>
    </row>
    <row r="15" spans="1:29" ht="15.75" x14ac:dyDescent="0.25">
      <c r="A15" s="23"/>
      <c r="J15" s="24"/>
      <c r="K15" s="24"/>
      <c r="L15" s="24"/>
      <c r="M15" s="24"/>
      <c r="N15" s="24"/>
      <c r="S15" s="24"/>
      <c r="T15" s="24"/>
      <c r="V15" s="2"/>
      <c r="W15" s="4"/>
      <c r="X15" s="4"/>
      <c r="Y15" s="9"/>
      <c r="Z15" s="9"/>
      <c r="AA15" s="4"/>
      <c r="AB15" s="4"/>
      <c r="AC15" s="4"/>
    </row>
    <row r="16" spans="1:29" ht="12.6" customHeight="1" x14ac:dyDescent="0.25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V16" s="2"/>
      <c r="W16" s="4"/>
      <c r="X16" s="4"/>
      <c r="Y16" s="9"/>
      <c r="Z16" s="9"/>
      <c r="AA16" s="4"/>
      <c r="AB16" s="4"/>
      <c r="AC16" s="4"/>
    </row>
    <row r="17" spans="1:29" ht="12.6" customHeight="1" x14ac:dyDescent="0.25">
      <c r="A17" s="23">
        <f>MAX(A$16:A16)+1</f>
        <v>2</v>
      </c>
      <c r="E17" s="50" t="s">
        <v>51</v>
      </c>
      <c r="G17" s="23" t="s">
        <v>52</v>
      </c>
      <c r="I17" s="79">
        <v>1341995</v>
      </c>
      <c r="J17" s="24"/>
      <c r="K17" s="35">
        <v>6.25</v>
      </c>
      <c r="L17" s="35"/>
      <c r="M17" s="15">
        <f>I17*K17</f>
        <v>8387468.75</v>
      </c>
      <c r="N17" s="24"/>
      <c r="O17" s="35">
        <v>7.65</v>
      </c>
      <c r="Q17" s="51">
        <f>I17*O17</f>
        <v>10266261.75</v>
      </c>
      <c r="R17" s="51"/>
      <c r="S17" s="17">
        <f>O17-K17</f>
        <v>1.4000000000000004</v>
      </c>
      <c r="T17" s="16"/>
      <c r="U17" s="15">
        <f>S17*I17</f>
        <v>1878793.0000000005</v>
      </c>
      <c r="V17" s="2"/>
      <c r="W17" s="4"/>
      <c r="X17" s="4"/>
      <c r="Y17" s="9"/>
      <c r="Z17" s="9"/>
      <c r="AA17" s="4"/>
      <c r="AB17" s="4"/>
      <c r="AC17" s="4"/>
    </row>
    <row r="18" spans="1:29" ht="12.6" customHeight="1" x14ac:dyDescent="0.25">
      <c r="A18" s="23"/>
      <c r="E18" s="50"/>
      <c r="I18" s="81"/>
      <c r="J18" s="24"/>
      <c r="K18" s="35"/>
      <c r="L18" s="24"/>
      <c r="M18" s="15"/>
      <c r="N18" s="24"/>
      <c r="O18" s="37"/>
      <c r="Q18" s="51"/>
      <c r="R18" s="51"/>
      <c r="S18" s="17"/>
      <c r="T18" s="16"/>
      <c r="U18" s="15"/>
      <c r="V18" s="2"/>
      <c r="W18" s="10"/>
      <c r="X18" s="10"/>
      <c r="Y18" s="6"/>
      <c r="Z18" s="6"/>
      <c r="AA18" s="11"/>
      <c r="AB18" s="2"/>
      <c r="AC18" s="6"/>
    </row>
    <row r="19" spans="1:29" ht="12.6" customHeight="1" x14ac:dyDescent="0.25">
      <c r="A19" s="23">
        <v>3</v>
      </c>
      <c r="E19" s="50" t="s">
        <v>53</v>
      </c>
      <c r="I19" s="80"/>
      <c r="J19" s="24"/>
      <c r="K19" s="35"/>
      <c r="L19" s="24"/>
      <c r="M19" s="15"/>
      <c r="N19" s="24"/>
      <c r="O19" s="37"/>
      <c r="Q19" s="51"/>
      <c r="R19" s="51"/>
      <c r="S19" s="17"/>
      <c r="T19" s="16"/>
      <c r="U19" s="15"/>
      <c r="V19" s="2"/>
      <c r="W19" s="10"/>
      <c r="X19" s="10"/>
      <c r="Y19" s="6"/>
      <c r="Z19" s="6"/>
      <c r="AA19" s="11"/>
      <c r="AB19" s="2"/>
      <c r="AC19" s="6"/>
    </row>
    <row r="20" spans="1:29" ht="12.6" customHeight="1" x14ac:dyDescent="0.25">
      <c r="A20" s="23">
        <v>4</v>
      </c>
      <c r="E20" s="52" t="s">
        <v>54</v>
      </c>
      <c r="G20" s="23" t="s">
        <v>52</v>
      </c>
      <c r="I20" s="79">
        <v>1333223.07</v>
      </c>
      <c r="K20" s="35">
        <v>3</v>
      </c>
      <c r="M20" s="29">
        <f>K20*I20</f>
        <v>3999669.21</v>
      </c>
      <c r="O20" s="35">
        <v>4.75</v>
      </c>
      <c r="Q20" s="51">
        <f>I20*O20</f>
        <v>6332809.5825000005</v>
      </c>
      <c r="R20" s="51"/>
      <c r="S20" s="17">
        <f>O20-K20</f>
        <v>1.75</v>
      </c>
      <c r="T20" s="16"/>
      <c r="U20" s="15">
        <f>S20*I20</f>
        <v>2333140.3725000001</v>
      </c>
      <c r="V20" s="2"/>
      <c r="W20" s="10"/>
      <c r="X20" s="10"/>
      <c r="Y20" s="6"/>
      <c r="Z20" s="6"/>
      <c r="AA20" s="6"/>
      <c r="AB20" s="2"/>
      <c r="AC20" s="6"/>
    </row>
    <row r="21" spans="1:29" ht="12.6" customHeight="1" x14ac:dyDescent="0.25">
      <c r="A21" s="23">
        <f>MAX(A$16:A20)+1</f>
        <v>5</v>
      </c>
      <c r="E21" s="52" t="s">
        <v>55</v>
      </c>
      <c r="G21" s="23" t="s">
        <v>52</v>
      </c>
      <c r="I21" s="79">
        <v>8197.18</v>
      </c>
      <c r="K21" s="35">
        <v>15</v>
      </c>
      <c r="M21" s="29">
        <f>K21*I21</f>
        <v>122957.70000000001</v>
      </c>
      <c r="O21" s="35">
        <v>38</v>
      </c>
      <c r="Q21" s="51">
        <f>I21*O21</f>
        <v>311492.84000000003</v>
      </c>
      <c r="R21" s="51"/>
      <c r="S21" s="17">
        <f t="shared" ref="S21:S23" si="0">O21-K21</f>
        <v>23</v>
      </c>
      <c r="T21" s="16"/>
      <c r="U21" s="15">
        <f>S21*I21</f>
        <v>188535.14</v>
      </c>
      <c r="V21" s="2"/>
      <c r="W21" s="10"/>
      <c r="X21" s="10"/>
      <c r="Y21" s="6"/>
      <c r="Z21" s="6"/>
      <c r="AA21" s="11"/>
      <c r="AB21" s="2"/>
      <c r="AC21" s="6"/>
    </row>
    <row r="22" spans="1:29" ht="12.6" customHeight="1" x14ac:dyDescent="0.25">
      <c r="A22" s="23">
        <f>MAX(A$16:A21)+1</f>
        <v>6</v>
      </c>
      <c r="E22" s="52" t="s">
        <v>56</v>
      </c>
      <c r="G22" s="23" t="s">
        <v>52</v>
      </c>
      <c r="I22" s="79">
        <v>574.75</v>
      </c>
      <c r="K22" s="35">
        <v>40</v>
      </c>
      <c r="M22" s="29">
        <f>K22*I22</f>
        <v>22990</v>
      </c>
      <c r="O22" s="35">
        <v>104</v>
      </c>
      <c r="Q22" s="51">
        <f>I22*O22</f>
        <v>59774</v>
      </c>
      <c r="R22" s="51"/>
      <c r="S22" s="17">
        <f t="shared" si="0"/>
        <v>64</v>
      </c>
      <c r="T22" s="16"/>
      <c r="U22" s="15">
        <f>S22*I22</f>
        <v>36784</v>
      </c>
      <c r="V22" s="2"/>
      <c r="W22" s="10"/>
      <c r="X22" s="10"/>
      <c r="Y22" s="6"/>
      <c r="Z22" s="6"/>
      <c r="AA22" s="11"/>
      <c r="AB22" s="2"/>
      <c r="AC22" s="6"/>
    </row>
    <row r="23" spans="1:29" ht="12.6" customHeight="1" x14ac:dyDescent="0.25">
      <c r="A23" s="23">
        <f>MAX(A$16:A22)+1</f>
        <v>7</v>
      </c>
      <c r="E23" s="52" t="s">
        <v>57</v>
      </c>
      <c r="G23" s="23" t="s">
        <v>52</v>
      </c>
      <c r="I23" s="79">
        <v>0</v>
      </c>
      <c r="K23" s="35">
        <v>70</v>
      </c>
      <c r="M23" s="29">
        <f>K23*I23</f>
        <v>0</v>
      </c>
      <c r="O23" s="35">
        <v>179</v>
      </c>
      <c r="Q23" s="51">
        <f>I23*O23</f>
        <v>0</v>
      </c>
      <c r="R23" s="51"/>
      <c r="S23" s="17">
        <f t="shared" si="0"/>
        <v>109</v>
      </c>
      <c r="T23" s="16"/>
      <c r="U23" s="15">
        <f>S23*I23</f>
        <v>0</v>
      </c>
      <c r="V23" s="2"/>
      <c r="W23" s="10"/>
      <c r="X23" s="10"/>
      <c r="Y23" s="6"/>
      <c r="Z23" s="6"/>
      <c r="AA23" s="11"/>
      <c r="AB23" s="2"/>
      <c r="AC23" s="6"/>
    </row>
    <row r="24" spans="1:29" ht="12.6" customHeight="1" x14ac:dyDescent="0.25">
      <c r="A24" s="23"/>
      <c r="E24" s="50"/>
      <c r="I24" s="82"/>
      <c r="M24" s="15"/>
      <c r="O24" s="35"/>
      <c r="Q24" s="51"/>
      <c r="R24" s="51"/>
      <c r="S24" s="17"/>
      <c r="T24" s="16"/>
      <c r="U24" s="15"/>
      <c r="V24" s="2"/>
      <c r="W24" s="10"/>
      <c r="X24" s="10"/>
      <c r="Y24" s="6"/>
      <c r="Z24" s="6"/>
      <c r="AA24" s="11"/>
      <c r="AB24" s="2"/>
      <c r="AC24" s="6"/>
    </row>
    <row r="25" spans="1:29" ht="12.6" customHeight="1" x14ac:dyDescent="0.25">
      <c r="A25" s="23">
        <v>8</v>
      </c>
      <c r="D25" s="2"/>
      <c r="E25" s="53" t="s">
        <v>58</v>
      </c>
      <c r="F25" s="2"/>
      <c r="G25" s="2"/>
      <c r="H25" s="6"/>
      <c r="I25" s="79"/>
      <c r="M25" s="15"/>
      <c r="O25" s="35"/>
      <c r="Q25" s="51"/>
      <c r="R25" s="51"/>
      <c r="S25" s="17"/>
      <c r="T25" s="16"/>
      <c r="U25" s="15"/>
      <c r="V25" s="2"/>
      <c r="W25" s="2"/>
      <c r="X25" s="2"/>
      <c r="Y25" s="6"/>
      <c r="Z25" s="6"/>
      <c r="AA25" s="2"/>
      <c r="AB25" s="2"/>
      <c r="AC25" s="2"/>
    </row>
    <row r="26" spans="1:29" ht="12.6" customHeight="1" x14ac:dyDescent="0.25">
      <c r="A26" s="23">
        <f>MAX(A$16:A25)+1</f>
        <v>9</v>
      </c>
      <c r="C26" s="50"/>
      <c r="E26" s="52" t="s">
        <v>59</v>
      </c>
      <c r="F26" s="54">
        <v>0.21951000000000001</v>
      </c>
      <c r="G26" s="23" t="s">
        <v>60</v>
      </c>
      <c r="H26" s="55">
        <v>74203384.766760245</v>
      </c>
      <c r="I26" s="79">
        <v>74203384.766760245</v>
      </c>
      <c r="K26" s="21">
        <v>0.21951000000000001</v>
      </c>
      <c r="L26" s="24"/>
      <c r="M26" s="15">
        <f>K26*I26</f>
        <v>16288384.990151541</v>
      </c>
      <c r="N26" s="24"/>
      <c r="O26" s="21">
        <v>0.23280999999999999</v>
      </c>
      <c r="Q26" s="51">
        <f>I26*O26</f>
        <v>17275290.007549454</v>
      </c>
      <c r="R26" s="51"/>
      <c r="S26" s="56">
        <f>O26-K26</f>
        <v>1.3299999999999979E-2</v>
      </c>
      <c r="T26" s="17"/>
      <c r="U26" s="51">
        <f>S26*I26</f>
        <v>986905.01739790966</v>
      </c>
      <c r="V26" s="2"/>
      <c r="W26" s="2"/>
      <c r="X26" s="2"/>
      <c r="Y26" s="6"/>
      <c r="Z26" s="6"/>
      <c r="AA26" s="2"/>
      <c r="AB26" s="2"/>
      <c r="AC26" s="2"/>
    </row>
    <row r="27" spans="1:29" ht="12.6" customHeight="1" x14ac:dyDescent="0.25">
      <c r="A27" s="23">
        <f>MAX(A$16:A26)+1</f>
        <v>10</v>
      </c>
      <c r="C27" s="50"/>
      <c r="E27" s="52" t="s">
        <v>61</v>
      </c>
      <c r="F27" s="54">
        <v>0.16456999999999999</v>
      </c>
      <c r="G27" s="23" t="s">
        <v>60</v>
      </c>
      <c r="H27" s="55">
        <v>10657025.143252332</v>
      </c>
      <c r="I27" s="79">
        <v>10657025.143252332</v>
      </c>
      <c r="K27" s="21">
        <v>0.16456999999999999</v>
      </c>
      <c r="M27" s="15">
        <f>K27*I27</f>
        <v>1753826.6278250362</v>
      </c>
      <c r="O27" s="21">
        <v>0.23280999999999999</v>
      </c>
      <c r="Q27" s="51">
        <f>I27*O27</f>
        <v>2481062.023600575</v>
      </c>
      <c r="R27" s="51"/>
      <c r="S27" s="56">
        <f>O27-K27</f>
        <v>6.8239999999999995E-2</v>
      </c>
      <c r="T27" s="17"/>
      <c r="U27" s="51">
        <f>S27*I27</f>
        <v>727235.3957755391</v>
      </c>
      <c r="V27" s="2"/>
      <c r="W27" s="13"/>
      <c r="X27" s="12"/>
      <c r="Y27" s="7"/>
      <c r="Z27" s="6"/>
      <c r="AA27" s="2"/>
      <c r="AB27" s="2"/>
      <c r="AC27" s="6"/>
    </row>
    <row r="28" spans="1:29" ht="12.6" customHeight="1" x14ac:dyDescent="0.25">
      <c r="A28" s="23"/>
      <c r="I28" s="79"/>
      <c r="V28" s="2"/>
      <c r="W28" s="2"/>
      <c r="X28" s="2"/>
      <c r="Y28" s="6"/>
      <c r="Z28" s="6"/>
      <c r="AA28" s="2"/>
      <c r="AB28" s="2"/>
      <c r="AC28" s="6"/>
    </row>
    <row r="29" spans="1:29" ht="12.6" customHeight="1" x14ac:dyDescent="0.25">
      <c r="A29" s="23">
        <f>MAX(A$16:A28)+1</f>
        <v>11</v>
      </c>
      <c r="E29" s="57" t="s">
        <v>62</v>
      </c>
      <c r="F29" s="19"/>
      <c r="G29" s="58"/>
      <c r="H29" s="19"/>
      <c r="I29" s="83"/>
      <c r="J29" s="19"/>
      <c r="K29" s="19"/>
      <c r="L29" s="19"/>
      <c r="M29" s="59">
        <f>SUM(M17:M28)</f>
        <v>30575297.27797658</v>
      </c>
      <c r="N29" s="19"/>
      <c r="O29" s="19"/>
      <c r="P29" s="19"/>
      <c r="Q29" s="59">
        <f>SUM(Q17:Q28)</f>
        <v>36726690.203650028</v>
      </c>
      <c r="R29" s="60"/>
      <c r="S29" s="19"/>
      <c r="T29" s="19"/>
      <c r="U29" s="59">
        <f>SUM(U17:U28)</f>
        <v>6151392.9256734485</v>
      </c>
      <c r="V29" s="2"/>
      <c r="W29" s="2"/>
      <c r="X29" s="2"/>
      <c r="Y29" s="6"/>
      <c r="Z29" s="6"/>
      <c r="AA29" s="2"/>
      <c r="AB29" s="2"/>
      <c r="AC29" s="2"/>
    </row>
    <row r="30" spans="1:29" ht="12.6" customHeight="1" x14ac:dyDescent="0.25">
      <c r="A30" s="23">
        <f>MAX(A$16:A29)+1</f>
        <v>12</v>
      </c>
      <c r="E30" s="61" t="s">
        <v>63</v>
      </c>
      <c r="F30" s="20"/>
      <c r="G30" s="62"/>
      <c r="H30" s="20"/>
      <c r="I30" s="84"/>
      <c r="J30" s="20"/>
      <c r="K30" s="20"/>
      <c r="L30" s="20"/>
      <c r="M30" s="63"/>
      <c r="N30" s="20"/>
      <c r="O30" s="64"/>
      <c r="P30" s="64"/>
      <c r="Q30" s="65">
        <f>Q29/$M29-1</f>
        <v>0.20118832761453809</v>
      </c>
      <c r="R30" s="65"/>
      <c r="S30" s="66"/>
      <c r="T30" s="66"/>
      <c r="U30" s="65">
        <f>(U29+$M29)/$M29-1</f>
        <v>0.20118832761453809</v>
      </c>
      <c r="V30" s="2"/>
      <c r="W30" s="2"/>
      <c r="X30" s="2"/>
      <c r="Y30" s="6"/>
      <c r="Z30" s="6"/>
      <c r="AA30" s="2"/>
      <c r="AB30" s="2"/>
      <c r="AC30" s="2"/>
    </row>
    <row r="31" spans="1:29" ht="12.6" customHeight="1" x14ac:dyDescent="0.25">
      <c r="A31" s="23"/>
      <c r="I31" s="79"/>
      <c r="M31" s="17"/>
      <c r="Q31" s="17"/>
      <c r="R31" s="51"/>
      <c r="V31" s="2"/>
      <c r="W31" s="2"/>
      <c r="X31" s="2"/>
      <c r="Y31" s="6"/>
      <c r="Z31" s="6"/>
      <c r="AA31" s="2"/>
      <c r="AB31" s="2"/>
      <c r="AC31" s="6"/>
    </row>
    <row r="32" spans="1:29" ht="12.6" customHeight="1" x14ac:dyDescent="0.25">
      <c r="A32" s="23"/>
      <c r="I32" s="79"/>
      <c r="M32" s="17"/>
      <c r="Q32" s="17"/>
      <c r="R32" s="51"/>
      <c r="V32" s="2"/>
      <c r="W32" s="2"/>
      <c r="X32" s="2"/>
      <c r="Y32" s="6"/>
      <c r="Z32" s="6"/>
      <c r="AA32" s="2"/>
      <c r="AB32" s="2"/>
      <c r="AC32" s="6"/>
    </row>
    <row r="33" spans="5:21" x14ac:dyDescent="0.2">
      <c r="I33" s="79"/>
      <c r="K33" s="14"/>
      <c r="M33" s="67"/>
      <c r="Q33" s="67"/>
      <c r="R33" s="68"/>
      <c r="U33" s="69"/>
    </row>
    <row r="34" spans="5:21" x14ac:dyDescent="0.2">
      <c r="E34" s="18" t="s">
        <v>64</v>
      </c>
      <c r="I34" s="79"/>
    </row>
    <row r="35" spans="5:21" x14ac:dyDescent="0.2">
      <c r="E35" s="18" t="s">
        <v>65</v>
      </c>
      <c r="I35" s="79"/>
    </row>
    <row r="36" spans="5:21" x14ac:dyDescent="0.2">
      <c r="E36" s="18" t="s">
        <v>66</v>
      </c>
      <c r="I36" s="79"/>
    </row>
    <row r="37" spans="5:21" x14ac:dyDescent="0.2">
      <c r="E37" s="18" t="s">
        <v>67</v>
      </c>
      <c r="G37" s="18"/>
      <c r="I37" s="79"/>
    </row>
    <row r="38" spans="5:21" x14ac:dyDescent="0.2">
      <c r="G38" s="18"/>
    </row>
  </sheetData>
  <mergeCells count="10">
    <mergeCell ref="G10:I10"/>
    <mergeCell ref="K9:M9"/>
    <mergeCell ref="O9:Q9"/>
    <mergeCell ref="S9:U9"/>
    <mergeCell ref="A7:U7"/>
    <mergeCell ref="A1:U1"/>
    <mergeCell ref="A2:U2"/>
    <mergeCell ref="A3:U3"/>
    <mergeCell ref="A4:U4"/>
    <mergeCell ref="A5:U5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42-80C9-488E-AD3E-CF263558DBDE}">
  <sheetPr>
    <pageSetUpPr fitToPage="1"/>
  </sheetPr>
  <dimension ref="A1:AC41"/>
  <sheetViews>
    <sheetView zoomScaleNormal="100" workbookViewId="0">
      <selection activeCell="E14" sqref="E14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x14ac:dyDescent="0.2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Y13" s="25"/>
      <c r="Z13" s="25"/>
    </row>
    <row r="14" spans="1:29" x14ac:dyDescent="0.2">
      <c r="A14" s="23"/>
      <c r="C14" s="47" t="s">
        <v>68</v>
      </c>
      <c r="E14" s="48" t="s">
        <v>69</v>
      </c>
      <c r="W14" s="23"/>
      <c r="X14" s="23"/>
      <c r="Y14" s="26"/>
      <c r="Z14" s="26"/>
      <c r="AA14" s="23"/>
      <c r="AB14" s="23"/>
      <c r="AC14" s="23"/>
    </row>
    <row r="15" spans="1:29" x14ac:dyDescent="0.2">
      <c r="A15" s="23"/>
      <c r="J15" s="24"/>
      <c r="K15" s="24"/>
      <c r="L15" s="24"/>
      <c r="M15" s="24"/>
      <c r="N15" s="24"/>
      <c r="S15" s="24"/>
      <c r="T15" s="24"/>
      <c r="W15" s="27"/>
      <c r="X15" s="27"/>
      <c r="Y15" s="28"/>
      <c r="Z15" s="28"/>
      <c r="AA15" s="27"/>
      <c r="AB15" s="27"/>
      <c r="AC15" s="27"/>
    </row>
    <row r="16" spans="1:29" x14ac:dyDescent="0.2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W16" s="27"/>
      <c r="X16" s="27"/>
      <c r="Y16" s="28"/>
      <c r="Z16" s="28"/>
      <c r="AA16" s="27"/>
      <c r="AB16" s="27"/>
      <c r="AC16" s="27"/>
    </row>
    <row r="17" spans="1:29" x14ac:dyDescent="0.2">
      <c r="A17" s="23">
        <f>MAX(A$16:A16)+1</f>
        <v>2</v>
      </c>
      <c r="E17" s="50" t="s">
        <v>51</v>
      </c>
      <c r="G17" s="23" t="s">
        <v>52</v>
      </c>
      <c r="I17" s="85">
        <v>0</v>
      </c>
      <c r="J17" s="24"/>
      <c r="K17" s="35">
        <v>6.25</v>
      </c>
      <c r="L17" s="24"/>
      <c r="M17" s="34">
        <f>I17*K17</f>
        <v>0</v>
      </c>
      <c r="N17" s="24"/>
      <c r="O17" s="35">
        <v>7.65</v>
      </c>
      <c r="Q17" s="51">
        <f>I17*O17</f>
        <v>0</v>
      </c>
      <c r="R17" s="51"/>
      <c r="S17" s="17">
        <f>O17-K17</f>
        <v>1.4000000000000004</v>
      </c>
      <c r="T17" s="16"/>
      <c r="U17" s="15">
        <f>S17*I17</f>
        <v>0</v>
      </c>
      <c r="W17" s="27"/>
      <c r="X17" s="27"/>
      <c r="Y17" s="28"/>
      <c r="Z17" s="28"/>
      <c r="AA17" s="27"/>
      <c r="AB17" s="27"/>
      <c r="AC17" s="27"/>
    </row>
    <row r="18" spans="1:29" x14ac:dyDescent="0.2">
      <c r="A18" s="23"/>
      <c r="E18" s="50"/>
      <c r="I18" s="86"/>
      <c r="J18" s="24"/>
      <c r="K18" s="22"/>
      <c r="L18" s="24"/>
      <c r="M18" s="34"/>
      <c r="N18" s="24"/>
      <c r="O18" s="14"/>
      <c r="Q18" s="51"/>
      <c r="R18" s="51"/>
      <c r="S18" s="17"/>
      <c r="T18" s="16"/>
      <c r="U18" s="15"/>
      <c r="W18" s="14"/>
      <c r="X18" s="14"/>
      <c r="Y18" s="25"/>
      <c r="Z18" s="25"/>
      <c r="AA18" s="33"/>
      <c r="AC18" s="25"/>
    </row>
    <row r="19" spans="1:29" x14ac:dyDescent="0.2">
      <c r="A19" s="23">
        <v>3</v>
      </c>
      <c r="E19" s="50" t="s">
        <v>53</v>
      </c>
      <c r="I19" s="86"/>
      <c r="J19" s="24"/>
      <c r="K19" s="22"/>
      <c r="L19" s="24"/>
      <c r="M19" s="34"/>
      <c r="N19" s="24"/>
      <c r="O19" s="14"/>
      <c r="Q19" s="51"/>
      <c r="R19" s="51"/>
      <c r="S19" s="17"/>
      <c r="T19" s="16"/>
      <c r="U19" s="15"/>
      <c r="W19" s="14"/>
      <c r="X19" s="14"/>
      <c r="Y19" s="25"/>
      <c r="Z19" s="25"/>
      <c r="AA19" s="33"/>
      <c r="AC19" s="25"/>
    </row>
    <row r="20" spans="1:29" x14ac:dyDescent="0.2">
      <c r="A20" s="23">
        <v>4</v>
      </c>
      <c r="E20" s="52" t="s">
        <v>54</v>
      </c>
      <c r="G20" s="41"/>
      <c r="H20" s="41"/>
      <c r="I20" s="87"/>
      <c r="J20" s="41"/>
      <c r="K20" s="35">
        <v>3</v>
      </c>
      <c r="L20" s="41"/>
      <c r="M20" s="41"/>
      <c r="N20" s="41"/>
      <c r="O20" s="35">
        <v>4.75</v>
      </c>
      <c r="P20" s="41"/>
      <c r="Q20" s="41"/>
      <c r="R20" s="41"/>
      <c r="S20" s="41"/>
      <c r="T20" s="41"/>
      <c r="U20" s="41"/>
      <c r="W20" s="14"/>
      <c r="X20" s="14"/>
      <c r="Y20" s="25"/>
      <c r="Z20" s="25"/>
      <c r="AA20" s="25"/>
      <c r="AC20" s="25"/>
    </row>
    <row r="21" spans="1:29" x14ac:dyDescent="0.2">
      <c r="A21" s="23">
        <f>MAX(A$16:A20)+1</f>
        <v>5</v>
      </c>
      <c r="E21" s="52" t="s">
        <v>55</v>
      </c>
      <c r="G21" s="23" t="s">
        <v>52</v>
      </c>
      <c r="I21" s="85">
        <v>0</v>
      </c>
      <c r="K21" s="35">
        <v>15</v>
      </c>
      <c r="M21" s="22">
        <f t="shared" ref="M21:M23" si="0">K21*I21</f>
        <v>0</v>
      </c>
      <c r="O21" s="35">
        <v>38</v>
      </c>
      <c r="Q21" s="51">
        <f>I21*O21</f>
        <v>0</v>
      </c>
      <c r="R21" s="51"/>
      <c r="S21" s="17">
        <f>O21-K21</f>
        <v>23</v>
      </c>
      <c r="T21" s="16"/>
      <c r="U21" s="15">
        <f t="shared" ref="U21:U22" si="1">S21*I21</f>
        <v>0</v>
      </c>
      <c r="W21" s="14"/>
      <c r="X21" s="14"/>
      <c r="Y21" s="25"/>
      <c r="Z21" s="25"/>
      <c r="AA21" s="33"/>
      <c r="AC21" s="25"/>
    </row>
    <row r="22" spans="1:29" x14ac:dyDescent="0.2">
      <c r="A22" s="23">
        <f>MAX(A$16:A21)+1</f>
        <v>6</v>
      </c>
      <c r="E22" s="52" t="s">
        <v>56</v>
      </c>
      <c r="G22" s="23" t="s">
        <v>52</v>
      </c>
      <c r="I22" s="85">
        <v>0</v>
      </c>
      <c r="K22" s="35">
        <v>40</v>
      </c>
      <c r="M22" s="22">
        <f t="shared" si="0"/>
        <v>0</v>
      </c>
      <c r="O22" s="35">
        <v>104</v>
      </c>
      <c r="Q22" s="51">
        <f>I22*O22</f>
        <v>0</v>
      </c>
      <c r="R22" s="51"/>
      <c r="S22" s="17">
        <f>O22-K22</f>
        <v>64</v>
      </c>
      <c r="T22" s="16"/>
      <c r="U22" s="15">
        <f t="shared" si="1"/>
        <v>0</v>
      </c>
      <c r="W22" s="14"/>
      <c r="X22" s="14"/>
      <c r="Y22" s="25"/>
      <c r="Z22" s="25"/>
      <c r="AA22" s="33"/>
      <c r="AC22" s="25"/>
    </row>
    <row r="23" spans="1:29" x14ac:dyDescent="0.2">
      <c r="A23" s="23">
        <f>MAX(A$16:A22)+1</f>
        <v>7</v>
      </c>
      <c r="E23" s="52" t="s">
        <v>57</v>
      </c>
      <c r="G23" s="23" t="s">
        <v>52</v>
      </c>
      <c r="I23" s="85">
        <v>0</v>
      </c>
      <c r="K23" s="35">
        <v>70</v>
      </c>
      <c r="M23" s="22">
        <f t="shared" si="0"/>
        <v>0</v>
      </c>
      <c r="O23" s="35">
        <v>179</v>
      </c>
      <c r="Q23" s="51">
        <f>I23*O23</f>
        <v>0</v>
      </c>
      <c r="R23" s="51"/>
      <c r="S23" s="17">
        <f>O23-K23</f>
        <v>109</v>
      </c>
      <c r="T23" s="16"/>
      <c r="U23" s="15">
        <f>S23*I23</f>
        <v>0</v>
      </c>
      <c r="W23" s="14"/>
      <c r="X23" s="14"/>
      <c r="Y23" s="25"/>
      <c r="Z23" s="25"/>
      <c r="AA23" s="33"/>
      <c r="AC23" s="25"/>
    </row>
    <row r="24" spans="1:29" x14ac:dyDescent="0.2">
      <c r="A24" s="23"/>
      <c r="E24" s="50"/>
      <c r="I24" s="86"/>
      <c r="K24" s="22"/>
      <c r="M24" s="34"/>
      <c r="O24" s="17"/>
      <c r="Q24" s="51"/>
      <c r="R24" s="51"/>
      <c r="S24" s="17"/>
      <c r="T24" s="16"/>
      <c r="U24" s="15"/>
      <c r="W24" s="14"/>
      <c r="X24" s="14"/>
      <c r="Y24" s="25"/>
      <c r="Z24" s="25"/>
      <c r="AA24" s="33"/>
      <c r="AC24" s="25"/>
    </row>
    <row r="25" spans="1:29" x14ac:dyDescent="0.2">
      <c r="A25" s="23">
        <f>MAX(A$16:A24)+1</f>
        <v>8</v>
      </c>
      <c r="E25" s="50" t="s">
        <v>70</v>
      </c>
      <c r="G25" s="23" t="s">
        <v>52</v>
      </c>
      <c r="I25" s="85">
        <f>+I17</f>
        <v>0</v>
      </c>
      <c r="K25" s="35">
        <v>40</v>
      </c>
      <c r="M25" s="34">
        <f>I25*K25</f>
        <v>0</v>
      </c>
      <c r="O25" s="35">
        <v>60</v>
      </c>
      <c r="Q25" s="51">
        <f>I25*O25</f>
        <v>0</v>
      </c>
      <c r="R25" s="51"/>
      <c r="S25" s="17">
        <f>O25-K25</f>
        <v>20</v>
      </c>
      <c r="T25" s="16"/>
      <c r="U25" s="15"/>
      <c r="W25" s="14"/>
      <c r="X25" s="14"/>
      <c r="Y25" s="25"/>
      <c r="Z25" s="25"/>
      <c r="AA25" s="33"/>
      <c r="AC25" s="25"/>
    </row>
    <row r="26" spans="1:29" x14ac:dyDescent="0.2">
      <c r="A26" s="23"/>
      <c r="E26" s="50"/>
      <c r="I26" s="86"/>
      <c r="K26" s="73"/>
      <c r="M26" s="34"/>
      <c r="O26" s="17"/>
      <c r="Q26" s="51"/>
      <c r="R26" s="51"/>
      <c r="S26" s="17"/>
      <c r="T26" s="16"/>
      <c r="U26" s="15"/>
      <c r="W26" s="14"/>
      <c r="X26" s="14"/>
      <c r="Y26" s="25"/>
      <c r="Z26" s="25"/>
      <c r="AA26" s="33"/>
      <c r="AC26" s="25"/>
    </row>
    <row r="27" spans="1:29" x14ac:dyDescent="0.2">
      <c r="A27" s="23">
        <f>MAX(A$16:A25)+1</f>
        <v>9</v>
      </c>
      <c r="E27" s="50" t="s">
        <v>71</v>
      </c>
      <c r="G27" s="23" t="s">
        <v>52</v>
      </c>
      <c r="I27" s="85">
        <f>+I17</f>
        <v>0</v>
      </c>
      <c r="K27" s="35">
        <v>35</v>
      </c>
      <c r="M27" s="34">
        <f>I27*K27</f>
        <v>0</v>
      </c>
      <c r="O27" s="35">
        <v>50</v>
      </c>
      <c r="Q27" s="51">
        <f>I27*O27</f>
        <v>0</v>
      </c>
      <c r="R27" s="51"/>
      <c r="S27" s="17">
        <f>O27-K27</f>
        <v>15</v>
      </c>
      <c r="T27" s="16"/>
      <c r="U27" s="15"/>
      <c r="W27" s="14"/>
      <c r="X27" s="14"/>
      <c r="Y27" s="25"/>
      <c r="Z27" s="25"/>
      <c r="AA27" s="33"/>
      <c r="AC27" s="25"/>
    </row>
    <row r="28" spans="1:29" x14ac:dyDescent="0.2">
      <c r="A28" s="23"/>
      <c r="E28" s="50"/>
      <c r="I28" s="80"/>
      <c r="K28" s="22"/>
      <c r="M28" s="34"/>
      <c r="O28" s="17"/>
      <c r="Q28" s="51"/>
      <c r="R28" s="51"/>
      <c r="S28" s="17"/>
      <c r="T28" s="16"/>
      <c r="U28" s="15"/>
      <c r="W28" s="14"/>
      <c r="X28" s="14"/>
      <c r="Y28" s="25"/>
      <c r="Z28" s="25"/>
      <c r="AA28" s="33"/>
      <c r="AC28" s="25"/>
    </row>
    <row r="29" spans="1:29" x14ac:dyDescent="0.2">
      <c r="A29" s="23">
        <v>10</v>
      </c>
      <c r="E29" s="53" t="s">
        <v>58</v>
      </c>
      <c r="G29" s="18"/>
      <c r="H29" s="25"/>
      <c r="I29" s="79"/>
      <c r="K29" s="22"/>
      <c r="M29" s="34"/>
      <c r="O29" s="17"/>
      <c r="Q29" s="51"/>
      <c r="R29" s="51"/>
      <c r="S29" s="17"/>
      <c r="T29" s="16"/>
      <c r="U29" s="15"/>
      <c r="Y29" s="25"/>
      <c r="Z29" s="25"/>
    </row>
    <row r="30" spans="1:29" x14ac:dyDescent="0.2">
      <c r="A30" s="23">
        <f>MAX(A$16:A29)+1</f>
        <v>11</v>
      </c>
      <c r="C30" s="50"/>
      <c r="E30" s="52" t="s">
        <v>59</v>
      </c>
      <c r="F30" s="74">
        <v>0.21951000000000001</v>
      </c>
      <c r="G30" s="23" t="s">
        <v>60</v>
      </c>
      <c r="H30" s="70">
        <v>74203384.766760245</v>
      </c>
      <c r="I30" s="83">
        <v>0</v>
      </c>
      <c r="K30" s="21">
        <v>0.21951000000000001</v>
      </c>
      <c r="L30" s="24"/>
      <c r="M30" s="34">
        <f>K30*I30</f>
        <v>0</v>
      </c>
      <c r="N30" s="24"/>
      <c r="O30" s="21">
        <v>0.23280999999999999</v>
      </c>
      <c r="Q30" s="51">
        <f>I30*O30</f>
        <v>0</v>
      </c>
      <c r="R30" s="51"/>
      <c r="S30" s="56">
        <f>O30-K30</f>
        <v>1.3299999999999979E-2</v>
      </c>
      <c r="T30" s="17"/>
      <c r="U30" s="17">
        <f>S30*I30</f>
        <v>0</v>
      </c>
      <c r="Y30" s="25"/>
      <c r="Z30" s="25"/>
    </row>
    <row r="31" spans="1:29" x14ac:dyDescent="0.2">
      <c r="A31" s="23">
        <f>MAX(A$16:A30)+1</f>
        <v>12</v>
      </c>
      <c r="C31" s="50"/>
      <c r="E31" s="52" t="s">
        <v>61</v>
      </c>
      <c r="F31" s="74">
        <v>0.16456999999999999</v>
      </c>
      <c r="G31" s="23" t="s">
        <v>60</v>
      </c>
      <c r="H31" s="70">
        <v>10657025.143252332</v>
      </c>
      <c r="I31" s="83">
        <v>0</v>
      </c>
      <c r="K31" s="21">
        <v>0.16456999999999999</v>
      </c>
      <c r="M31" s="34">
        <f>K31*I31</f>
        <v>0</v>
      </c>
      <c r="O31" s="21">
        <v>0.23280999999999999</v>
      </c>
      <c r="Q31" s="51">
        <f>I31*O31</f>
        <v>0</v>
      </c>
      <c r="R31" s="51"/>
      <c r="S31" s="56">
        <f>O31-K31</f>
        <v>6.8239999999999995E-2</v>
      </c>
      <c r="T31" s="17"/>
      <c r="U31" s="17">
        <f>S31*I31</f>
        <v>0</v>
      </c>
      <c r="W31" s="32"/>
      <c r="X31" s="30"/>
      <c r="Y31" s="31"/>
      <c r="Z31" s="25"/>
      <c r="AC31" s="25"/>
    </row>
    <row r="32" spans="1:29" x14ac:dyDescent="0.2">
      <c r="A32" s="23"/>
      <c r="F32" s="74"/>
      <c r="G32" s="30"/>
      <c r="H32" s="70"/>
      <c r="I32" s="79"/>
      <c r="W32" s="32"/>
      <c r="X32" s="30"/>
      <c r="Y32" s="31"/>
      <c r="Z32" s="25"/>
      <c r="AC32" s="25"/>
    </row>
    <row r="33" spans="1:29" x14ac:dyDescent="0.2">
      <c r="A33" s="23">
        <f>MAX(A$16:A32)+1</f>
        <v>13</v>
      </c>
      <c r="E33" s="57" t="s">
        <v>62</v>
      </c>
      <c r="F33" s="19"/>
      <c r="G33" s="58"/>
      <c r="H33" s="19"/>
      <c r="I33" s="83"/>
      <c r="J33" s="19"/>
      <c r="K33" s="19"/>
      <c r="L33" s="19"/>
      <c r="M33" s="59">
        <f>SUM(M17:M32)</f>
        <v>0</v>
      </c>
      <c r="N33" s="19"/>
      <c r="O33" s="19"/>
      <c r="P33" s="19"/>
      <c r="Q33" s="59">
        <f>SUM(Q17:Q32)</f>
        <v>0</v>
      </c>
      <c r="R33" s="60"/>
      <c r="S33" s="19"/>
      <c r="T33" s="19"/>
      <c r="U33" s="59">
        <f>SUM(U17:U32)</f>
        <v>0</v>
      </c>
      <c r="Y33" s="25"/>
      <c r="Z33" s="25"/>
    </row>
    <row r="34" spans="1:29" x14ac:dyDescent="0.2">
      <c r="A34" s="23">
        <f>MAX(A$16:A33)+1</f>
        <v>14</v>
      </c>
      <c r="E34" s="61" t="s">
        <v>63</v>
      </c>
      <c r="F34" s="20"/>
      <c r="G34" s="62"/>
      <c r="H34" s="20"/>
      <c r="I34" s="84"/>
      <c r="J34" s="20"/>
      <c r="K34" s="20"/>
      <c r="L34" s="20"/>
      <c r="M34" s="63"/>
      <c r="N34" s="20"/>
      <c r="O34" s="64"/>
      <c r="P34" s="64"/>
      <c r="Q34" s="65"/>
      <c r="R34" s="65"/>
      <c r="S34" s="66"/>
      <c r="T34" s="66"/>
      <c r="U34" s="65"/>
      <c r="Y34" s="25"/>
      <c r="Z34" s="25"/>
    </row>
    <row r="35" spans="1:29" x14ac:dyDescent="0.2">
      <c r="A35" s="23"/>
      <c r="I35" s="79"/>
      <c r="Q35" s="51"/>
      <c r="R35" s="51"/>
      <c r="Y35" s="25"/>
      <c r="Z35" s="25"/>
      <c r="AC35" s="25"/>
    </row>
    <row r="36" spans="1:29" x14ac:dyDescent="0.2">
      <c r="A36" s="23"/>
      <c r="I36" s="79"/>
      <c r="Q36" s="51"/>
      <c r="R36" s="51"/>
      <c r="Y36" s="25"/>
      <c r="Z36" s="25"/>
      <c r="AC36" s="25"/>
    </row>
    <row r="37" spans="1:29" x14ac:dyDescent="0.2">
      <c r="I37" s="79"/>
      <c r="K37" s="14"/>
      <c r="M37" s="72"/>
      <c r="Q37" s="72"/>
      <c r="R37" s="68"/>
      <c r="U37" s="69"/>
    </row>
    <row r="38" spans="1:29" x14ac:dyDescent="0.2">
      <c r="E38" s="18" t="s">
        <v>64</v>
      </c>
    </row>
    <row r="39" spans="1:29" x14ac:dyDescent="0.2">
      <c r="E39" s="18" t="s">
        <v>65</v>
      </c>
    </row>
    <row r="40" spans="1:29" x14ac:dyDescent="0.2">
      <c r="E40" s="18" t="s">
        <v>72</v>
      </c>
    </row>
    <row r="41" spans="1:29" x14ac:dyDescent="0.2">
      <c r="E41" s="18" t="s">
        <v>67</v>
      </c>
      <c r="G41" s="18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3B37-1375-43CB-852E-4ACB4F98333E}">
  <sheetPr>
    <pageSetUpPr fitToPage="1"/>
  </sheetPr>
  <dimension ref="A1:AC37"/>
  <sheetViews>
    <sheetView zoomScaleNormal="100" workbookViewId="0">
      <selection activeCell="U25" sqref="U25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x14ac:dyDescent="0.2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Y13" s="25"/>
      <c r="Z13" s="25"/>
    </row>
    <row r="14" spans="1:29" x14ac:dyDescent="0.2">
      <c r="A14" s="23"/>
      <c r="C14" s="47" t="s">
        <v>73</v>
      </c>
      <c r="E14" s="48" t="s">
        <v>74</v>
      </c>
      <c r="W14" s="23"/>
      <c r="X14" s="23"/>
      <c r="Y14" s="26"/>
      <c r="Z14" s="26"/>
      <c r="AA14" s="23"/>
      <c r="AB14" s="23"/>
      <c r="AC14" s="23"/>
    </row>
    <row r="15" spans="1:29" x14ac:dyDescent="0.2">
      <c r="A15" s="23"/>
      <c r="J15" s="24"/>
      <c r="K15" s="24"/>
      <c r="L15" s="24"/>
      <c r="M15" s="24"/>
      <c r="N15" s="24"/>
      <c r="S15" s="24"/>
      <c r="T15" s="24"/>
      <c r="W15" s="27"/>
      <c r="X15" s="27"/>
      <c r="Y15" s="28"/>
      <c r="Z15" s="28"/>
      <c r="AA15" s="27"/>
      <c r="AB15" s="27"/>
      <c r="AC15" s="27"/>
    </row>
    <row r="16" spans="1:29" x14ac:dyDescent="0.2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W16" s="27"/>
      <c r="X16" s="27"/>
      <c r="Y16" s="28"/>
      <c r="Z16" s="28"/>
      <c r="AA16" s="27"/>
      <c r="AB16" s="27"/>
      <c r="AC16" s="27"/>
    </row>
    <row r="17" spans="1:29" x14ac:dyDescent="0.2">
      <c r="A17" s="23">
        <f>MAX(A$16:A16)+1</f>
        <v>2</v>
      </c>
      <c r="E17" s="50" t="s">
        <v>51</v>
      </c>
      <c r="G17" s="23" t="s">
        <v>52</v>
      </c>
      <c r="I17" s="79">
        <v>18090</v>
      </c>
      <c r="J17" s="24"/>
      <c r="K17" s="35">
        <v>42.5</v>
      </c>
      <c r="L17" s="24"/>
      <c r="M17" s="15">
        <f>I17*K17</f>
        <v>768825</v>
      </c>
      <c r="N17" s="24"/>
      <c r="O17" s="35">
        <v>52</v>
      </c>
      <c r="Q17" s="51">
        <f>I17*O17</f>
        <v>940680</v>
      </c>
      <c r="R17" s="51"/>
      <c r="S17" s="17">
        <f>O17-K17</f>
        <v>9.5</v>
      </c>
      <c r="T17" s="16"/>
      <c r="U17" s="15">
        <f>S17*I17</f>
        <v>171855</v>
      </c>
      <c r="W17" s="27"/>
      <c r="X17" s="27"/>
      <c r="Y17" s="28"/>
      <c r="Z17" s="28"/>
      <c r="AA17" s="27"/>
      <c r="AB17" s="27"/>
      <c r="AC17" s="27"/>
    </row>
    <row r="18" spans="1:29" x14ac:dyDescent="0.2">
      <c r="A18" s="23"/>
      <c r="E18" s="50"/>
      <c r="I18" s="80"/>
      <c r="J18" s="24"/>
      <c r="K18" s="22"/>
      <c r="L18" s="24"/>
      <c r="M18" s="15"/>
      <c r="N18" s="24"/>
      <c r="O18" s="22"/>
      <c r="Q18" s="51"/>
      <c r="R18" s="51"/>
      <c r="S18" s="17"/>
      <c r="T18" s="16"/>
      <c r="U18" s="15"/>
      <c r="W18" s="14"/>
      <c r="X18" s="14"/>
      <c r="Y18" s="25"/>
      <c r="Z18" s="25"/>
      <c r="AA18" s="33"/>
      <c r="AC18" s="25"/>
    </row>
    <row r="19" spans="1:29" x14ac:dyDescent="0.2">
      <c r="A19" s="23">
        <v>3</v>
      </c>
      <c r="E19" s="50" t="s">
        <v>53</v>
      </c>
      <c r="I19" s="80"/>
      <c r="J19" s="24"/>
      <c r="K19" s="22"/>
      <c r="L19" s="24"/>
      <c r="M19" s="15"/>
      <c r="N19" s="24"/>
      <c r="O19" s="22"/>
      <c r="Q19" s="51"/>
      <c r="R19" s="51"/>
      <c r="S19" s="17"/>
      <c r="T19" s="16"/>
      <c r="U19" s="15"/>
      <c r="W19" s="14"/>
      <c r="X19" s="14"/>
      <c r="Y19" s="25"/>
      <c r="Z19" s="25"/>
      <c r="AA19" s="33"/>
      <c r="AC19" s="25"/>
    </row>
    <row r="20" spans="1:29" x14ac:dyDescent="0.2">
      <c r="A20" s="23">
        <v>4</v>
      </c>
      <c r="E20" s="52" t="s">
        <v>54</v>
      </c>
      <c r="G20" s="23" t="s">
        <v>52</v>
      </c>
      <c r="I20" s="79">
        <v>6344.7</v>
      </c>
      <c r="K20" s="35">
        <v>3</v>
      </c>
      <c r="M20" s="22">
        <f>K20*I20</f>
        <v>19034.099999999999</v>
      </c>
      <c r="O20" s="35">
        <v>4.75</v>
      </c>
      <c r="Q20" s="51">
        <f>I20*O20</f>
        <v>30137.325000000001</v>
      </c>
      <c r="R20" s="51"/>
      <c r="S20" s="17">
        <f>O20-K20</f>
        <v>1.75</v>
      </c>
      <c r="T20" s="16"/>
      <c r="U20" s="15">
        <f>S20*I20</f>
        <v>11103.225</v>
      </c>
      <c r="W20" s="14"/>
      <c r="X20" s="14"/>
      <c r="Y20" s="25"/>
      <c r="Z20" s="25"/>
      <c r="AA20" s="25"/>
      <c r="AC20" s="25"/>
    </row>
    <row r="21" spans="1:29" x14ac:dyDescent="0.2">
      <c r="A21" s="23">
        <f>MAX(A$16:A20)+1</f>
        <v>5</v>
      </c>
      <c r="E21" s="52" t="s">
        <v>55</v>
      </c>
      <c r="G21" s="23" t="s">
        <v>52</v>
      </c>
      <c r="I21" s="79">
        <v>9448.17</v>
      </c>
      <c r="K21" s="35">
        <v>15</v>
      </c>
      <c r="M21" s="22">
        <f>K21*I21</f>
        <v>141722.54999999999</v>
      </c>
      <c r="O21" s="35">
        <v>38</v>
      </c>
      <c r="Q21" s="51">
        <f>I21*O21</f>
        <v>359030.46</v>
      </c>
      <c r="R21" s="51"/>
      <c r="S21" s="17">
        <f t="shared" ref="S21:S23" si="0">O21-K21</f>
        <v>23</v>
      </c>
      <c r="T21" s="16"/>
      <c r="U21" s="15">
        <f t="shared" ref="U21:U22" si="1">S21*I21</f>
        <v>217307.91</v>
      </c>
      <c r="W21" s="14"/>
      <c r="X21" s="14"/>
      <c r="Y21" s="25"/>
      <c r="Z21" s="25"/>
      <c r="AA21" s="33"/>
      <c r="AC21" s="25"/>
    </row>
    <row r="22" spans="1:29" x14ac:dyDescent="0.2">
      <c r="A22" s="23">
        <f>MAX(A$16:A21)+1</f>
        <v>6</v>
      </c>
      <c r="E22" s="52" t="s">
        <v>56</v>
      </c>
      <c r="G22" s="23" t="s">
        <v>52</v>
      </c>
      <c r="I22" s="79">
        <v>2237.7399999999998</v>
      </c>
      <c r="K22" s="35">
        <v>40</v>
      </c>
      <c r="M22" s="22">
        <f>K22*I22</f>
        <v>89509.599999999991</v>
      </c>
      <c r="O22" s="35">
        <v>104</v>
      </c>
      <c r="Q22" s="51">
        <f>I22*O22</f>
        <v>232724.95999999996</v>
      </c>
      <c r="R22" s="51"/>
      <c r="S22" s="17">
        <f t="shared" si="0"/>
        <v>64</v>
      </c>
      <c r="T22" s="16"/>
      <c r="U22" s="15">
        <f t="shared" si="1"/>
        <v>143215.35999999999</v>
      </c>
      <c r="W22" s="14"/>
      <c r="X22" s="14"/>
      <c r="Y22" s="25"/>
      <c r="Z22" s="25"/>
      <c r="AA22" s="33"/>
      <c r="AC22" s="25"/>
    </row>
    <row r="23" spans="1:29" x14ac:dyDescent="0.2">
      <c r="A23" s="23">
        <f>MAX(A$16:A22)+1</f>
        <v>7</v>
      </c>
      <c r="E23" s="52" t="s">
        <v>57</v>
      </c>
      <c r="G23" s="23" t="s">
        <v>52</v>
      </c>
      <c r="I23" s="79">
        <v>59.39</v>
      </c>
      <c r="K23" s="35">
        <v>70</v>
      </c>
      <c r="M23" s="22">
        <f>K23*I23</f>
        <v>4157.3</v>
      </c>
      <c r="O23" s="35">
        <v>179</v>
      </c>
      <c r="Q23" s="51">
        <f>I23*O23</f>
        <v>10630.81</v>
      </c>
      <c r="R23" s="51"/>
      <c r="S23" s="17">
        <f t="shared" si="0"/>
        <v>109</v>
      </c>
      <c r="T23" s="16"/>
      <c r="U23" s="15">
        <f>S23*I23</f>
        <v>6473.51</v>
      </c>
      <c r="W23" s="14"/>
      <c r="X23" s="14"/>
      <c r="Y23" s="25"/>
      <c r="Z23" s="25"/>
      <c r="AA23" s="33"/>
      <c r="AC23" s="25"/>
    </row>
    <row r="24" spans="1:29" x14ac:dyDescent="0.2">
      <c r="A24" s="23"/>
      <c r="E24" s="50"/>
      <c r="I24" s="82"/>
      <c r="K24" s="22"/>
      <c r="M24" s="15"/>
      <c r="O24" s="22"/>
      <c r="Q24" s="51"/>
      <c r="R24" s="51"/>
      <c r="S24" s="17"/>
      <c r="T24" s="16"/>
      <c r="U24" s="15"/>
      <c r="W24" s="14"/>
      <c r="X24" s="14"/>
      <c r="Y24" s="25"/>
      <c r="Z24" s="25"/>
      <c r="AA24" s="33"/>
      <c r="AC24" s="25"/>
    </row>
    <row r="25" spans="1:29" x14ac:dyDescent="0.2">
      <c r="A25" s="23">
        <f>MAX(A$16:A24)+1</f>
        <v>8</v>
      </c>
      <c r="C25" s="50"/>
      <c r="D25" s="50" t="s">
        <v>59</v>
      </c>
      <c r="E25" s="50" t="s">
        <v>75</v>
      </c>
      <c r="F25" s="74">
        <v>0.21951000000000001</v>
      </c>
      <c r="G25" s="23" t="s">
        <v>60</v>
      </c>
      <c r="H25" s="70">
        <v>74203384.766760245</v>
      </c>
      <c r="I25" s="79">
        <v>24729388.318746865</v>
      </c>
      <c r="K25" s="21">
        <v>9.708E-2</v>
      </c>
      <c r="L25" s="24"/>
      <c r="M25" s="15">
        <f>K25*I25</f>
        <v>2400729.0179839456</v>
      </c>
      <c r="N25" s="24"/>
      <c r="O25" s="21">
        <v>0.11882999999999999</v>
      </c>
      <c r="Q25" s="51">
        <f>I25*O25</f>
        <v>2938593.2139166896</v>
      </c>
      <c r="R25" s="51"/>
      <c r="S25" s="56">
        <f>O25-K25</f>
        <v>2.1749999999999992E-2</v>
      </c>
      <c r="T25" s="17"/>
      <c r="U25" s="51">
        <f>S25*I25</f>
        <v>537864.19593274407</v>
      </c>
      <c r="Y25" s="25"/>
      <c r="Z25" s="25"/>
    </row>
    <row r="26" spans="1:29" x14ac:dyDescent="0.2">
      <c r="A26" s="23"/>
      <c r="I26" s="79"/>
      <c r="Y26" s="25"/>
      <c r="Z26" s="25"/>
      <c r="AC26" s="25"/>
    </row>
    <row r="27" spans="1:29" x14ac:dyDescent="0.2">
      <c r="A27" s="23">
        <f>MAX(A$16:A26)+1</f>
        <v>9</v>
      </c>
      <c r="E27" s="57" t="s">
        <v>62</v>
      </c>
      <c r="F27" s="19"/>
      <c r="G27" s="58"/>
      <c r="H27" s="19"/>
      <c r="I27" s="83"/>
      <c r="J27" s="19"/>
      <c r="K27" s="19"/>
      <c r="L27" s="19"/>
      <c r="M27" s="59">
        <f>SUM(M17:M26)</f>
        <v>3423977.5679839454</v>
      </c>
      <c r="N27" s="19"/>
      <c r="O27" s="19"/>
      <c r="P27" s="19"/>
      <c r="Q27" s="59">
        <f>SUM(Q17:Q26)</f>
        <v>4511796.7689166898</v>
      </c>
      <c r="R27" s="60"/>
      <c r="S27" s="19"/>
      <c r="T27" s="19"/>
      <c r="U27" s="59">
        <f>SUM(U17:U26)</f>
        <v>1087819.200932744</v>
      </c>
      <c r="Y27" s="25"/>
      <c r="Z27" s="25"/>
    </row>
    <row r="28" spans="1:29" x14ac:dyDescent="0.2">
      <c r="A28" s="23">
        <v>10</v>
      </c>
      <c r="E28" s="61" t="s">
        <v>63</v>
      </c>
      <c r="F28" s="20"/>
      <c r="G28" s="62"/>
      <c r="H28" s="20"/>
      <c r="I28" s="84"/>
      <c r="J28" s="20"/>
      <c r="K28" s="20"/>
      <c r="L28" s="20"/>
      <c r="M28" s="63"/>
      <c r="N28" s="20"/>
      <c r="O28" s="64"/>
      <c r="P28" s="64"/>
      <c r="Q28" s="65">
        <f>Q27/$M27-1</f>
        <v>0.31770628730294437</v>
      </c>
      <c r="R28" s="65"/>
      <c r="S28" s="66"/>
      <c r="T28" s="66"/>
      <c r="U28" s="65">
        <f>(U27+$M27)/$M27-1</f>
        <v>0.31770628730294415</v>
      </c>
      <c r="Y28" s="25"/>
      <c r="Z28" s="25"/>
    </row>
    <row r="29" spans="1:29" x14ac:dyDescent="0.2">
      <c r="A29" s="23"/>
      <c r="I29" s="79"/>
      <c r="Q29" s="51"/>
      <c r="R29" s="51"/>
      <c r="Y29" s="25"/>
      <c r="Z29" s="25"/>
      <c r="AC29" s="25"/>
    </row>
    <row r="30" spans="1:29" x14ac:dyDescent="0.2">
      <c r="A30" s="23"/>
      <c r="E30" s="20"/>
      <c r="I30" s="79"/>
      <c r="M30" s="17"/>
      <c r="U30" s="51"/>
    </row>
    <row r="31" spans="1:29" x14ac:dyDescent="0.2">
      <c r="I31" s="79"/>
      <c r="K31" s="14"/>
      <c r="M31" s="72"/>
      <c r="Q31" s="72"/>
      <c r="R31" s="68"/>
      <c r="U31" s="69"/>
    </row>
    <row r="32" spans="1:29" x14ac:dyDescent="0.2">
      <c r="E32" s="18" t="s">
        <v>64</v>
      </c>
      <c r="I32" s="79"/>
    </row>
    <row r="33" spans="5:9" x14ac:dyDescent="0.2">
      <c r="E33" s="18" t="s">
        <v>65</v>
      </c>
      <c r="I33" s="79"/>
    </row>
    <row r="34" spans="5:9" x14ac:dyDescent="0.2">
      <c r="E34" s="18" t="s">
        <v>76</v>
      </c>
      <c r="I34" s="79"/>
    </row>
    <row r="35" spans="5:9" x14ac:dyDescent="0.2">
      <c r="E35" s="18" t="s">
        <v>67</v>
      </c>
      <c r="G35" s="18"/>
      <c r="I35" s="79"/>
    </row>
    <row r="36" spans="5:9" x14ac:dyDescent="0.2">
      <c r="G36" s="18"/>
      <c r="I36" s="79"/>
    </row>
    <row r="37" spans="5:9" x14ac:dyDescent="0.2">
      <c r="I37" s="79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88897-3833-4320-BD40-503D58663649}">
  <sheetPr>
    <pageSetUpPr fitToPage="1"/>
  </sheetPr>
  <dimension ref="A1:AC41"/>
  <sheetViews>
    <sheetView zoomScaleNormal="100" workbookViewId="0">
      <selection activeCell="U29" sqref="U29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x14ac:dyDescent="0.2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Y13" s="25"/>
      <c r="Z13" s="25"/>
    </row>
    <row r="14" spans="1:29" x14ac:dyDescent="0.2">
      <c r="A14" s="23"/>
      <c r="C14" s="47" t="s">
        <v>77</v>
      </c>
      <c r="E14" s="48" t="s">
        <v>78</v>
      </c>
      <c r="W14" s="23"/>
      <c r="X14" s="23"/>
      <c r="Y14" s="26"/>
      <c r="Z14" s="26"/>
      <c r="AA14" s="23"/>
      <c r="AB14" s="23"/>
      <c r="AC14" s="23"/>
    </row>
    <row r="15" spans="1:29" x14ac:dyDescent="0.2">
      <c r="A15" s="23"/>
      <c r="J15" s="24"/>
      <c r="K15" s="24"/>
      <c r="L15" s="24"/>
      <c r="M15" s="24"/>
      <c r="N15" s="24"/>
      <c r="S15" s="24"/>
      <c r="T15" s="24"/>
      <c r="W15" s="27"/>
      <c r="X15" s="27"/>
      <c r="Y15" s="28"/>
      <c r="Z15" s="28"/>
      <c r="AA15" s="27"/>
      <c r="AB15" s="27"/>
      <c r="AC15" s="27"/>
    </row>
    <row r="16" spans="1:29" x14ac:dyDescent="0.2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W16" s="27"/>
      <c r="X16" s="27"/>
      <c r="Y16" s="28"/>
      <c r="Z16" s="28"/>
      <c r="AA16" s="27"/>
      <c r="AB16" s="27"/>
      <c r="AC16" s="27"/>
    </row>
    <row r="17" spans="1:29" x14ac:dyDescent="0.2">
      <c r="A17" s="23">
        <f>MAX(A$16:A16)+1</f>
        <v>2</v>
      </c>
      <c r="E17" s="50" t="s">
        <v>51</v>
      </c>
      <c r="G17" s="23" t="s">
        <v>52</v>
      </c>
      <c r="I17" s="79">
        <v>994.01</v>
      </c>
      <c r="J17" s="24"/>
      <c r="K17" s="35">
        <v>42.5</v>
      </c>
      <c r="L17" s="34"/>
      <c r="M17" s="34">
        <f>I17*K17</f>
        <v>42245.425000000003</v>
      </c>
      <c r="N17" s="24"/>
      <c r="O17" s="35">
        <v>52</v>
      </c>
      <c r="Q17" s="51">
        <f>I17*O17</f>
        <v>51688.52</v>
      </c>
      <c r="R17" s="51"/>
      <c r="S17" s="17">
        <f>O17-K17</f>
        <v>9.5</v>
      </c>
      <c r="T17" s="16"/>
      <c r="U17" s="15">
        <f>S17*I17</f>
        <v>9443.0949999999993</v>
      </c>
      <c r="W17" s="27"/>
      <c r="X17" s="27"/>
      <c r="Y17" s="28"/>
      <c r="Z17" s="28"/>
      <c r="AA17" s="27"/>
      <c r="AB17" s="27"/>
      <c r="AC17" s="27"/>
    </row>
    <row r="18" spans="1:29" x14ac:dyDescent="0.2">
      <c r="A18" s="23"/>
      <c r="E18" s="50"/>
      <c r="I18" s="80"/>
      <c r="J18" s="24"/>
      <c r="K18" s="22"/>
      <c r="L18" s="34"/>
      <c r="M18" s="34"/>
      <c r="N18" s="24"/>
      <c r="O18" s="22"/>
      <c r="Q18" s="51"/>
      <c r="R18" s="51"/>
      <c r="S18" s="17"/>
      <c r="T18" s="16"/>
      <c r="U18" s="15"/>
      <c r="W18" s="14"/>
      <c r="X18" s="14"/>
      <c r="Y18" s="25"/>
      <c r="Z18" s="25"/>
      <c r="AA18" s="33"/>
      <c r="AC18" s="25"/>
    </row>
    <row r="19" spans="1:29" x14ac:dyDescent="0.2">
      <c r="A19" s="23">
        <v>3</v>
      </c>
      <c r="E19" s="50" t="s">
        <v>53</v>
      </c>
      <c r="I19" s="80"/>
      <c r="J19" s="24"/>
      <c r="K19" s="22"/>
      <c r="L19" s="34"/>
      <c r="M19" s="34"/>
      <c r="N19" s="24"/>
      <c r="O19" s="22"/>
      <c r="Q19" s="51"/>
      <c r="R19" s="51"/>
      <c r="S19" s="17"/>
      <c r="T19" s="16"/>
      <c r="U19" s="15"/>
      <c r="W19" s="14"/>
      <c r="X19" s="14"/>
      <c r="Y19" s="25"/>
      <c r="Z19" s="25"/>
      <c r="AA19" s="33"/>
      <c r="AC19" s="25"/>
    </row>
    <row r="20" spans="1:29" x14ac:dyDescent="0.2">
      <c r="A20" s="23">
        <v>4</v>
      </c>
      <c r="E20" s="52" t="s">
        <v>54</v>
      </c>
      <c r="G20" s="23" t="s">
        <v>52</v>
      </c>
      <c r="I20" s="79">
        <v>0</v>
      </c>
      <c r="K20" s="35">
        <v>3</v>
      </c>
      <c r="L20" s="22"/>
      <c r="M20" s="22">
        <f>K20*I20</f>
        <v>0</v>
      </c>
      <c r="O20" s="35">
        <v>4.75</v>
      </c>
      <c r="Q20" s="51">
        <f>I20*O20</f>
        <v>0</v>
      </c>
      <c r="R20" s="51"/>
      <c r="S20" s="17">
        <f>O20-K20</f>
        <v>1.75</v>
      </c>
      <c r="T20" s="16"/>
      <c r="U20" s="15">
        <f>S20*I20</f>
        <v>0</v>
      </c>
      <c r="W20" s="14"/>
      <c r="X20" s="14"/>
      <c r="Y20" s="25"/>
      <c r="Z20" s="25"/>
      <c r="AA20" s="25"/>
      <c r="AC20" s="25"/>
    </row>
    <row r="21" spans="1:29" x14ac:dyDescent="0.2">
      <c r="A21" s="23">
        <f>MAX(A$16:A20)+1</f>
        <v>5</v>
      </c>
      <c r="E21" s="52" t="s">
        <v>55</v>
      </c>
      <c r="G21" s="23" t="s">
        <v>52</v>
      </c>
      <c r="I21" s="79">
        <v>334.96</v>
      </c>
      <c r="K21" s="35">
        <v>15</v>
      </c>
      <c r="L21" s="22"/>
      <c r="M21" s="22">
        <f t="shared" ref="M21:M23" si="0">K21*I21</f>
        <v>5024.3999999999996</v>
      </c>
      <c r="O21" s="35">
        <v>38</v>
      </c>
      <c r="Q21" s="51">
        <f>I21*O21</f>
        <v>12728.48</v>
      </c>
      <c r="R21" s="51"/>
      <c r="S21" s="17">
        <f>O21-K21</f>
        <v>23</v>
      </c>
      <c r="T21" s="16"/>
      <c r="U21" s="15">
        <f t="shared" ref="U21:U22" si="1">S21*I21</f>
        <v>7704.08</v>
      </c>
      <c r="W21" s="14"/>
      <c r="X21" s="14"/>
      <c r="Y21" s="25"/>
      <c r="Z21" s="25"/>
      <c r="AA21" s="33"/>
      <c r="AC21" s="25"/>
    </row>
    <row r="22" spans="1:29" x14ac:dyDescent="0.2">
      <c r="A22" s="23">
        <f>MAX(A$16:A21)+1</f>
        <v>6</v>
      </c>
      <c r="E22" s="52" t="s">
        <v>56</v>
      </c>
      <c r="G22" s="23" t="s">
        <v>52</v>
      </c>
      <c r="I22" s="79">
        <v>540.48</v>
      </c>
      <c r="K22" s="35">
        <v>40</v>
      </c>
      <c r="L22" s="22"/>
      <c r="M22" s="22">
        <f t="shared" si="0"/>
        <v>21619.200000000001</v>
      </c>
      <c r="O22" s="35">
        <v>104</v>
      </c>
      <c r="Q22" s="51">
        <f>I22*O22</f>
        <v>56209.919999999998</v>
      </c>
      <c r="R22" s="51"/>
      <c r="S22" s="17">
        <f>O22-K22</f>
        <v>64</v>
      </c>
      <c r="T22" s="16"/>
      <c r="U22" s="15">
        <f t="shared" si="1"/>
        <v>34590.720000000001</v>
      </c>
      <c r="W22" s="14"/>
      <c r="X22" s="14"/>
      <c r="Y22" s="25"/>
      <c r="Z22" s="25"/>
      <c r="AA22" s="33"/>
      <c r="AC22" s="25"/>
    </row>
    <row r="23" spans="1:29" x14ac:dyDescent="0.2">
      <c r="A23" s="23">
        <f>MAX(A$16:A22)+1</f>
        <v>7</v>
      </c>
      <c r="E23" s="52" t="s">
        <v>57</v>
      </c>
      <c r="G23" s="23" t="s">
        <v>52</v>
      </c>
      <c r="I23" s="79">
        <v>118.57</v>
      </c>
      <c r="K23" s="35">
        <v>70</v>
      </c>
      <c r="L23" s="22"/>
      <c r="M23" s="22">
        <f t="shared" si="0"/>
        <v>8299.9</v>
      </c>
      <c r="O23" s="35">
        <v>179</v>
      </c>
      <c r="Q23" s="51">
        <f>I23*O23</f>
        <v>21224.03</v>
      </c>
      <c r="R23" s="51"/>
      <c r="S23" s="17">
        <f>O23-K23</f>
        <v>109</v>
      </c>
      <c r="T23" s="16"/>
      <c r="U23" s="15">
        <f>S23*I23</f>
        <v>12924.13</v>
      </c>
      <c r="W23" s="14"/>
      <c r="X23" s="14"/>
      <c r="Y23" s="25"/>
      <c r="Z23" s="25"/>
      <c r="AA23" s="33"/>
      <c r="AC23" s="25"/>
    </row>
    <row r="24" spans="1:29" x14ac:dyDescent="0.2">
      <c r="A24" s="23"/>
      <c r="E24" s="50"/>
      <c r="I24" s="79"/>
      <c r="K24" s="73"/>
      <c r="L24" s="22"/>
      <c r="M24" s="22"/>
      <c r="O24" s="22"/>
      <c r="Q24" s="51"/>
      <c r="R24" s="51"/>
      <c r="S24" s="17"/>
      <c r="T24" s="16"/>
      <c r="U24" s="15"/>
      <c r="W24" s="14"/>
      <c r="X24" s="14"/>
      <c r="Y24" s="25"/>
      <c r="Z24" s="25"/>
      <c r="AA24" s="33"/>
      <c r="AC24" s="25"/>
    </row>
    <row r="25" spans="1:29" x14ac:dyDescent="0.2">
      <c r="A25" s="23">
        <f>MAX(A$16:A24)+1</f>
        <v>8</v>
      </c>
      <c r="E25" s="50" t="s">
        <v>70</v>
      </c>
      <c r="G25" s="23" t="s">
        <v>52</v>
      </c>
      <c r="I25" s="79">
        <f>I17</f>
        <v>994.01</v>
      </c>
      <c r="K25" s="35">
        <v>40</v>
      </c>
      <c r="L25" s="22"/>
      <c r="M25" s="22">
        <f>K25*I25</f>
        <v>39760.400000000001</v>
      </c>
      <c r="O25" s="35">
        <v>60</v>
      </c>
      <c r="Q25" s="51">
        <f>I25*O25</f>
        <v>59640.6</v>
      </c>
      <c r="R25" s="51"/>
      <c r="S25" s="17">
        <f>O25-K25</f>
        <v>20</v>
      </c>
      <c r="T25" s="16"/>
      <c r="U25" s="15">
        <f>S25*I25</f>
        <v>19880.2</v>
      </c>
      <c r="W25" s="14"/>
      <c r="X25" s="14"/>
      <c r="Y25" s="25"/>
      <c r="Z25" s="25"/>
      <c r="AA25" s="33"/>
      <c r="AC25" s="25"/>
    </row>
    <row r="26" spans="1:29" x14ac:dyDescent="0.2">
      <c r="A26" s="23"/>
      <c r="E26" s="50"/>
      <c r="I26" s="79"/>
      <c r="K26" s="73"/>
      <c r="L26" s="22"/>
      <c r="M26" s="22"/>
      <c r="O26" s="35"/>
      <c r="Q26" s="51"/>
      <c r="R26" s="51"/>
      <c r="S26" s="17"/>
      <c r="T26" s="16"/>
      <c r="U26" s="15"/>
      <c r="W26" s="14"/>
      <c r="X26" s="14"/>
      <c r="Y26" s="25"/>
      <c r="Z26" s="25"/>
      <c r="AA26" s="33"/>
      <c r="AC26" s="25"/>
    </row>
    <row r="27" spans="1:29" x14ac:dyDescent="0.2">
      <c r="A27" s="23">
        <f>MAX(A$16:A25)+1</f>
        <v>9</v>
      </c>
      <c r="E27" s="50" t="s">
        <v>71</v>
      </c>
      <c r="G27" s="23" t="s">
        <v>52</v>
      </c>
      <c r="I27" s="79">
        <f>I17</f>
        <v>994.01</v>
      </c>
      <c r="K27" s="35">
        <v>35</v>
      </c>
      <c r="L27" s="22"/>
      <c r="M27" s="22">
        <f>K27*I27</f>
        <v>34790.35</v>
      </c>
      <c r="O27" s="35">
        <v>50</v>
      </c>
      <c r="Q27" s="51">
        <f>I27*O27</f>
        <v>49700.5</v>
      </c>
      <c r="R27" s="51"/>
      <c r="S27" s="17">
        <f>O27-K27</f>
        <v>15</v>
      </c>
      <c r="T27" s="16"/>
      <c r="U27" s="15">
        <f>S27*I27</f>
        <v>14910.15</v>
      </c>
      <c r="W27" s="14"/>
      <c r="X27" s="14"/>
      <c r="Y27" s="25"/>
      <c r="Z27" s="25"/>
      <c r="AA27" s="33"/>
      <c r="AC27" s="25"/>
    </row>
    <row r="28" spans="1:29" x14ac:dyDescent="0.2">
      <c r="A28" s="23"/>
      <c r="E28" s="50"/>
      <c r="I28" s="82"/>
      <c r="K28" s="22"/>
      <c r="L28" s="22"/>
      <c r="M28" s="34"/>
      <c r="O28" s="17"/>
      <c r="Q28" s="51"/>
      <c r="R28" s="51"/>
      <c r="S28" s="17"/>
      <c r="T28" s="16"/>
      <c r="U28" s="15"/>
      <c r="W28" s="14"/>
      <c r="X28" s="14"/>
      <c r="Y28" s="25"/>
      <c r="Z28" s="25"/>
      <c r="AA28" s="33"/>
      <c r="AC28" s="25"/>
    </row>
    <row r="29" spans="1:29" x14ac:dyDescent="0.2">
      <c r="A29" s="23">
        <v>10</v>
      </c>
      <c r="C29" s="50"/>
      <c r="D29" s="50" t="s">
        <v>59</v>
      </c>
      <c r="E29" s="50" t="s">
        <v>75</v>
      </c>
      <c r="F29" s="74">
        <v>0.21951000000000001</v>
      </c>
      <c r="G29" s="23" t="s">
        <v>60</v>
      </c>
      <c r="H29" s="70">
        <v>74203384.766760245</v>
      </c>
      <c r="I29" s="79">
        <v>9831822.1198205762</v>
      </c>
      <c r="K29" s="21">
        <v>9.708E-2</v>
      </c>
      <c r="L29" s="34"/>
      <c r="M29" s="34">
        <f>K29*I29</f>
        <v>954473.29139218153</v>
      </c>
      <c r="N29" s="24"/>
      <c r="O29" s="21">
        <v>0.11882999999999999</v>
      </c>
      <c r="Q29" s="51">
        <f>I29*O29</f>
        <v>1168315.422498279</v>
      </c>
      <c r="R29" s="51"/>
      <c r="S29" s="56">
        <f>O29-K29</f>
        <v>2.1749999999999992E-2</v>
      </c>
      <c r="T29" s="17"/>
      <c r="U29" s="51">
        <f>S29*I29</f>
        <v>213842.13110609745</v>
      </c>
      <c r="Y29" s="25"/>
      <c r="Z29" s="25"/>
    </row>
    <row r="30" spans="1:29" x14ac:dyDescent="0.2">
      <c r="A30" s="23"/>
      <c r="I30" s="79"/>
      <c r="Y30" s="25"/>
      <c r="Z30" s="25"/>
      <c r="AC30" s="25"/>
    </row>
    <row r="31" spans="1:29" x14ac:dyDescent="0.2">
      <c r="A31" s="23">
        <f>MAX(A$16:A30)+1</f>
        <v>11</v>
      </c>
      <c r="E31" s="57" t="s">
        <v>62</v>
      </c>
      <c r="F31" s="19"/>
      <c r="G31" s="58"/>
      <c r="H31" s="19"/>
      <c r="I31" s="83"/>
      <c r="J31" s="19"/>
      <c r="K31" s="19"/>
      <c r="L31" s="19"/>
      <c r="M31" s="59">
        <f>SUM(M17:M30)</f>
        <v>1106212.9663921816</v>
      </c>
      <c r="N31" s="19"/>
      <c r="O31" s="19"/>
      <c r="P31" s="19"/>
      <c r="Q31" s="59">
        <f>SUM(Q17:Q30)</f>
        <v>1419507.4724982791</v>
      </c>
      <c r="R31" s="60"/>
      <c r="S31" s="19"/>
      <c r="T31" s="19"/>
      <c r="U31" s="59">
        <f>SUM(U17:U30)</f>
        <v>313294.50610609748</v>
      </c>
      <c r="Y31" s="25"/>
      <c r="Z31" s="25"/>
    </row>
    <row r="32" spans="1:29" x14ac:dyDescent="0.2">
      <c r="A32" s="23">
        <f>MAX(A$16:A31)+1</f>
        <v>12</v>
      </c>
      <c r="E32" s="61" t="s">
        <v>63</v>
      </c>
      <c r="F32" s="20"/>
      <c r="G32" s="62"/>
      <c r="H32" s="20"/>
      <c r="I32" s="84"/>
      <c r="J32" s="20"/>
      <c r="K32" s="20"/>
      <c r="L32" s="20"/>
      <c r="M32" s="63"/>
      <c r="N32" s="20"/>
      <c r="O32" s="64"/>
      <c r="P32" s="64"/>
      <c r="Q32" s="65">
        <f>Q31/$M31-1</f>
        <v>0.28321355437360363</v>
      </c>
      <c r="R32" s="65"/>
      <c r="S32" s="66"/>
      <c r="T32" s="66"/>
      <c r="U32" s="65">
        <f>(U31+$M31)/$M31-1</f>
        <v>0.28321355437360363</v>
      </c>
      <c r="Y32" s="25"/>
      <c r="Z32" s="25"/>
    </row>
    <row r="33" spans="1:29" x14ac:dyDescent="0.2">
      <c r="A33" s="23"/>
      <c r="I33" s="79"/>
      <c r="Q33" s="51"/>
      <c r="R33" s="51"/>
      <c r="Y33" s="25"/>
      <c r="Z33" s="25"/>
      <c r="AC33" s="25"/>
    </row>
    <row r="34" spans="1:29" x14ac:dyDescent="0.2">
      <c r="A34" s="23"/>
      <c r="E34" s="20"/>
      <c r="I34" s="79"/>
      <c r="M34" s="17"/>
      <c r="U34" s="51"/>
    </row>
    <row r="35" spans="1:29" x14ac:dyDescent="0.2">
      <c r="I35" s="79"/>
      <c r="K35" s="14"/>
      <c r="M35" s="72"/>
      <c r="Q35" s="72"/>
      <c r="R35" s="68"/>
      <c r="U35" s="69"/>
    </row>
    <row r="36" spans="1:29" x14ac:dyDescent="0.2">
      <c r="E36" s="18" t="s">
        <v>64</v>
      </c>
      <c r="I36" s="79"/>
    </row>
    <row r="37" spans="1:29" x14ac:dyDescent="0.2">
      <c r="E37" s="18" t="s">
        <v>65</v>
      </c>
      <c r="I37" s="79"/>
    </row>
    <row r="38" spans="1:29" x14ac:dyDescent="0.2">
      <c r="E38" s="18" t="s">
        <v>66</v>
      </c>
    </row>
    <row r="39" spans="1:29" x14ac:dyDescent="0.2">
      <c r="E39" s="18" t="s">
        <v>67</v>
      </c>
    </row>
    <row r="40" spans="1:29" x14ac:dyDescent="0.2">
      <c r="G40" s="18"/>
    </row>
    <row r="41" spans="1:29" x14ac:dyDescent="0.2">
      <c r="G41" s="18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3B66-3B1C-4DDB-93ED-1309D11B2EB4}">
  <sheetPr>
    <pageSetUpPr fitToPage="1"/>
  </sheetPr>
  <dimension ref="A1:AC41"/>
  <sheetViews>
    <sheetView zoomScaleNormal="100" workbookViewId="0">
      <selection activeCell="E14" sqref="E14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x14ac:dyDescent="0.2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Y13" s="25"/>
      <c r="Z13" s="25"/>
    </row>
    <row r="14" spans="1:29" x14ac:dyDescent="0.2">
      <c r="A14" s="23"/>
      <c r="C14" s="47" t="s">
        <v>79</v>
      </c>
      <c r="E14" s="48" t="s">
        <v>80</v>
      </c>
      <c r="W14" s="23"/>
      <c r="X14" s="23"/>
      <c r="Y14" s="26"/>
      <c r="Z14" s="26"/>
      <c r="AA14" s="23"/>
      <c r="AB14" s="23"/>
      <c r="AC14" s="23"/>
    </row>
    <row r="15" spans="1:29" x14ac:dyDescent="0.2">
      <c r="A15" s="23"/>
      <c r="J15" s="24"/>
      <c r="K15" s="24"/>
      <c r="L15" s="24"/>
      <c r="M15" s="24"/>
      <c r="N15" s="24"/>
      <c r="S15" s="24"/>
      <c r="T15" s="24"/>
      <c r="W15" s="27"/>
      <c r="X15" s="27"/>
      <c r="Y15" s="28"/>
      <c r="Z15" s="28"/>
      <c r="AA15" s="27"/>
      <c r="AB15" s="27"/>
      <c r="AC15" s="27"/>
    </row>
    <row r="16" spans="1:29" x14ac:dyDescent="0.2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W16" s="27"/>
      <c r="X16" s="27"/>
      <c r="Y16" s="28"/>
      <c r="Z16" s="28"/>
      <c r="AA16" s="27"/>
      <c r="AB16" s="27"/>
      <c r="AC16" s="27"/>
    </row>
    <row r="17" spans="1:29" x14ac:dyDescent="0.2">
      <c r="A17" s="23">
        <f>MAX(A$16:A16)+1</f>
        <v>2</v>
      </c>
      <c r="E17" s="50" t="s">
        <v>51</v>
      </c>
      <c r="G17" s="23" t="s">
        <v>52</v>
      </c>
      <c r="I17" s="83">
        <v>0</v>
      </c>
      <c r="J17" s="24"/>
      <c r="K17" s="35">
        <v>80</v>
      </c>
      <c r="L17" s="24"/>
      <c r="M17" s="15">
        <f>I17*K17</f>
        <v>0</v>
      </c>
      <c r="N17" s="24"/>
      <c r="O17" s="35">
        <v>100</v>
      </c>
      <c r="Q17" s="51">
        <f>I17*O17</f>
        <v>0</v>
      </c>
      <c r="R17" s="51"/>
      <c r="S17" s="17">
        <f>O17-K17</f>
        <v>20</v>
      </c>
      <c r="T17" s="16"/>
      <c r="U17" s="15">
        <f>S17*I17</f>
        <v>0</v>
      </c>
      <c r="W17" s="27"/>
      <c r="X17" s="27"/>
      <c r="Y17" s="28"/>
      <c r="Z17" s="28"/>
      <c r="AA17" s="27"/>
      <c r="AB17" s="27"/>
      <c r="AC17" s="27"/>
    </row>
    <row r="18" spans="1:29" x14ac:dyDescent="0.2">
      <c r="A18" s="23"/>
      <c r="E18" s="50"/>
      <c r="I18" s="80"/>
      <c r="J18" s="24"/>
      <c r="K18" s="22"/>
      <c r="L18" s="24"/>
      <c r="M18" s="15"/>
      <c r="N18" s="24"/>
      <c r="O18" s="14"/>
      <c r="Q18" s="51"/>
      <c r="R18" s="51"/>
      <c r="S18" s="17"/>
      <c r="T18" s="16"/>
      <c r="U18" s="15"/>
      <c r="W18" s="14"/>
      <c r="X18" s="14"/>
      <c r="Y18" s="25"/>
      <c r="Z18" s="25"/>
      <c r="AA18" s="33"/>
      <c r="AC18" s="25"/>
    </row>
    <row r="19" spans="1:29" x14ac:dyDescent="0.2">
      <c r="A19" s="23">
        <v>3</v>
      </c>
      <c r="E19" s="50" t="s">
        <v>53</v>
      </c>
      <c r="I19" s="80"/>
      <c r="J19" s="24"/>
      <c r="K19" s="22"/>
      <c r="L19" s="24"/>
      <c r="M19" s="15"/>
      <c r="N19" s="24"/>
      <c r="O19" s="14"/>
      <c r="Q19" s="51"/>
      <c r="R19" s="51"/>
      <c r="S19" s="17"/>
      <c r="T19" s="16"/>
      <c r="U19" s="15"/>
      <c r="W19" s="14"/>
      <c r="X19" s="14"/>
      <c r="Y19" s="25"/>
      <c r="Z19" s="25"/>
      <c r="AA19" s="33"/>
      <c r="AC19" s="25"/>
    </row>
    <row r="20" spans="1:29" x14ac:dyDescent="0.2">
      <c r="A20" s="23">
        <v>4</v>
      </c>
      <c r="E20" s="52" t="s">
        <v>54</v>
      </c>
      <c r="G20" s="23" t="s">
        <v>52</v>
      </c>
      <c r="I20" s="83">
        <v>0</v>
      </c>
      <c r="K20" s="35">
        <v>3</v>
      </c>
      <c r="M20" s="22">
        <f>K20*I20</f>
        <v>0</v>
      </c>
      <c r="O20" s="35">
        <v>4.75</v>
      </c>
      <c r="Q20" s="51">
        <f>I20*O20</f>
        <v>0</v>
      </c>
      <c r="R20" s="51"/>
      <c r="S20" s="17">
        <f>O20-K20</f>
        <v>1.75</v>
      </c>
      <c r="T20" s="16"/>
      <c r="U20" s="15">
        <f>S20*I20</f>
        <v>0</v>
      </c>
      <c r="W20" s="14"/>
      <c r="X20" s="14"/>
      <c r="Y20" s="25"/>
      <c r="Z20" s="25"/>
      <c r="AA20" s="25"/>
      <c r="AC20" s="25"/>
    </row>
    <row r="21" spans="1:29" x14ac:dyDescent="0.2">
      <c r="A21" s="23">
        <f>MAX(A$16:A20)+1</f>
        <v>5</v>
      </c>
      <c r="E21" s="52" t="s">
        <v>55</v>
      </c>
      <c r="G21" s="23" t="s">
        <v>52</v>
      </c>
      <c r="I21" s="83">
        <v>0</v>
      </c>
      <c r="K21" s="35">
        <v>15</v>
      </c>
      <c r="M21" s="22">
        <f t="shared" ref="M21:M23" si="0">K21*I21</f>
        <v>0</v>
      </c>
      <c r="O21" s="35">
        <v>38</v>
      </c>
      <c r="Q21" s="51">
        <f>I21*O21</f>
        <v>0</v>
      </c>
      <c r="R21" s="51"/>
      <c r="S21" s="17">
        <f>O21-K21</f>
        <v>23</v>
      </c>
      <c r="T21" s="16"/>
      <c r="U21" s="15">
        <f t="shared" ref="U21:U22" si="1">S21*I21</f>
        <v>0</v>
      </c>
      <c r="W21" s="14"/>
      <c r="X21" s="14"/>
      <c r="Y21" s="25"/>
      <c r="Z21" s="25"/>
      <c r="AA21" s="33"/>
      <c r="AC21" s="25"/>
    </row>
    <row r="22" spans="1:29" x14ac:dyDescent="0.2">
      <c r="A22" s="23">
        <f>MAX(A$16:A21)+1</f>
        <v>6</v>
      </c>
      <c r="E22" s="52" t="s">
        <v>56</v>
      </c>
      <c r="G22" s="23" t="s">
        <v>52</v>
      </c>
      <c r="I22" s="83">
        <v>0</v>
      </c>
      <c r="K22" s="35">
        <v>40</v>
      </c>
      <c r="M22" s="22">
        <f t="shared" si="0"/>
        <v>0</v>
      </c>
      <c r="O22" s="35">
        <v>104</v>
      </c>
      <c r="Q22" s="51">
        <f>I22*O22</f>
        <v>0</v>
      </c>
      <c r="R22" s="51"/>
      <c r="S22" s="17">
        <f>O22-K22</f>
        <v>64</v>
      </c>
      <c r="T22" s="16"/>
      <c r="U22" s="15">
        <f t="shared" si="1"/>
        <v>0</v>
      </c>
      <c r="W22" s="14"/>
      <c r="X22" s="14"/>
      <c r="Y22" s="25"/>
      <c r="Z22" s="25"/>
      <c r="AA22" s="33"/>
      <c r="AC22" s="25"/>
    </row>
    <row r="23" spans="1:29" x14ac:dyDescent="0.2">
      <c r="A23" s="23">
        <f>MAX(A$16:A22)+1</f>
        <v>7</v>
      </c>
      <c r="E23" s="52" t="s">
        <v>57</v>
      </c>
      <c r="G23" s="23" t="s">
        <v>52</v>
      </c>
      <c r="I23" s="83">
        <v>0</v>
      </c>
      <c r="K23" s="35">
        <v>70</v>
      </c>
      <c r="M23" s="22">
        <f t="shared" si="0"/>
        <v>0</v>
      </c>
      <c r="O23" s="35">
        <v>179</v>
      </c>
      <c r="Q23" s="51">
        <f>I23*O23</f>
        <v>0</v>
      </c>
      <c r="R23" s="51"/>
      <c r="S23" s="17">
        <f>O23-K23</f>
        <v>109</v>
      </c>
      <c r="T23" s="16"/>
      <c r="U23" s="15">
        <f>S23*I23</f>
        <v>0</v>
      </c>
      <c r="W23" s="14"/>
      <c r="X23" s="14"/>
      <c r="Y23" s="25"/>
      <c r="Z23" s="25"/>
      <c r="AA23" s="33"/>
      <c r="AC23" s="25"/>
    </row>
    <row r="24" spans="1:29" x14ac:dyDescent="0.2">
      <c r="A24" s="23"/>
      <c r="E24" s="50"/>
      <c r="I24" s="83"/>
      <c r="K24" s="73"/>
      <c r="M24" s="22"/>
      <c r="Q24" s="51"/>
      <c r="R24" s="51"/>
      <c r="S24" s="17"/>
      <c r="T24" s="16"/>
      <c r="U24" s="15"/>
      <c r="W24" s="14"/>
      <c r="X24" s="14"/>
      <c r="Y24" s="25"/>
      <c r="Z24" s="25"/>
      <c r="AA24" s="33"/>
      <c r="AC24" s="25"/>
    </row>
    <row r="25" spans="1:29" x14ac:dyDescent="0.2">
      <c r="A25" s="23">
        <f>MAX(A$16:A24)+1</f>
        <v>8</v>
      </c>
      <c r="E25" s="50" t="s">
        <v>81</v>
      </c>
      <c r="G25" s="23" t="s">
        <v>52</v>
      </c>
      <c r="I25" s="83">
        <f>+I17</f>
        <v>0</v>
      </c>
      <c r="K25" s="35">
        <v>35</v>
      </c>
      <c r="M25" s="22">
        <f>K25*I25</f>
        <v>0</v>
      </c>
      <c r="O25" s="35">
        <v>50</v>
      </c>
      <c r="Q25" s="51"/>
      <c r="R25" s="51"/>
      <c r="S25" s="17">
        <f>O25-K25</f>
        <v>15</v>
      </c>
      <c r="T25" s="16"/>
      <c r="U25" s="15"/>
      <c r="W25" s="14"/>
      <c r="X25" s="14"/>
      <c r="Y25" s="25"/>
      <c r="Z25" s="25"/>
      <c r="AA25" s="33"/>
      <c r="AC25" s="25"/>
    </row>
    <row r="26" spans="1:29" x14ac:dyDescent="0.2">
      <c r="A26" s="23"/>
      <c r="E26" s="50"/>
      <c r="I26" s="83"/>
      <c r="K26" s="73"/>
      <c r="M26" s="14"/>
      <c r="Q26" s="51"/>
      <c r="R26" s="51"/>
      <c r="S26" s="17"/>
      <c r="T26" s="16"/>
      <c r="U26" s="15"/>
      <c r="W26" s="14"/>
      <c r="X26" s="14"/>
      <c r="Y26" s="25"/>
      <c r="Z26" s="25"/>
      <c r="AA26" s="33"/>
      <c r="AC26" s="25"/>
    </row>
    <row r="27" spans="1:29" x14ac:dyDescent="0.2">
      <c r="A27" s="23">
        <f>MAX(A$16:A26)+1</f>
        <v>9</v>
      </c>
      <c r="E27" s="53" t="s">
        <v>82</v>
      </c>
      <c r="G27" s="18"/>
      <c r="H27" s="25"/>
      <c r="I27" s="79"/>
      <c r="K27" s="22"/>
      <c r="M27" s="15"/>
      <c r="O27" s="17"/>
      <c r="Q27" s="51"/>
      <c r="R27" s="51"/>
      <c r="S27" s="17"/>
      <c r="T27" s="16"/>
      <c r="U27" s="15"/>
      <c r="Y27" s="25"/>
      <c r="Z27" s="25"/>
    </row>
    <row r="28" spans="1:29" x14ac:dyDescent="0.2">
      <c r="A28" s="23">
        <f>MAX(A$16:A27)+1</f>
        <v>10</v>
      </c>
      <c r="C28" s="50"/>
      <c r="D28" s="50" t="s">
        <v>59</v>
      </c>
      <c r="E28" s="52" t="s">
        <v>83</v>
      </c>
      <c r="F28" s="74">
        <v>0.21951000000000001</v>
      </c>
      <c r="G28" s="23" t="s">
        <v>60</v>
      </c>
      <c r="H28" s="70">
        <v>74203384.766760245</v>
      </c>
      <c r="I28" s="83">
        <v>0</v>
      </c>
      <c r="K28" s="21">
        <v>0.16</v>
      </c>
      <c r="L28" s="24"/>
      <c r="M28" s="15">
        <f>K28*I28</f>
        <v>0</v>
      </c>
      <c r="N28" s="24"/>
      <c r="O28" s="21">
        <v>0.31</v>
      </c>
      <c r="Q28" s="51">
        <f>I28*O28</f>
        <v>0</v>
      </c>
      <c r="R28" s="51"/>
      <c r="S28" s="56">
        <f>O28-K28</f>
        <v>0.15</v>
      </c>
      <c r="T28" s="17"/>
      <c r="U28" s="17">
        <f>S28*I28</f>
        <v>0</v>
      </c>
      <c r="Y28" s="25"/>
      <c r="Z28" s="25"/>
    </row>
    <row r="29" spans="1:29" x14ac:dyDescent="0.2">
      <c r="A29" s="23">
        <v>11</v>
      </c>
      <c r="C29" s="50"/>
      <c r="D29" s="50" t="s">
        <v>61</v>
      </c>
      <c r="E29" s="52" t="s">
        <v>84</v>
      </c>
      <c r="F29" s="74">
        <v>0.16456999999999999</v>
      </c>
      <c r="G29" s="23" t="s">
        <v>60</v>
      </c>
      <c r="H29" s="70">
        <v>10657025.143252332</v>
      </c>
      <c r="I29" s="83">
        <v>0</v>
      </c>
      <c r="K29" s="21">
        <v>0.16</v>
      </c>
      <c r="M29" s="15">
        <f>K29*I29</f>
        <v>0</v>
      </c>
      <c r="O29" s="21">
        <v>0.31</v>
      </c>
      <c r="Q29" s="51">
        <f>I29*O29</f>
        <v>0</v>
      </c>
      <c r="R29" s="51"/>
      <c r="S29" s="56">
        <f>O29-K29</f>
        <v>0.15</v>
      </c>
      <c r="T29" s="17"/>
      <c r="U29" s="17">
        <f>S29*I29</f>
        <v>0</v>
      </c>
      <c r="W29" s="32"/>
      <c r="X29" s="30"/>
      <c r="Y29" s="31"/>
      <c r="Z29" s="25"/>
      <c r="AC29" s="25"/>
    </row>
    <row r="30" spans="1:29" x14ac:dyDescent="0.2">
      <c r="A30" s="23">
        <f>MAX(A$16:A29)+1</f>
        <v>12</v>
      </c>
      <c r="C30" s="50"/>
      <c r="D30" s="50"/>
      <c r="E30" s="52" t="s">
        <v>75</v>
      </c>
      <c r="F30" s="74"/>
      <c r="G30" s="23" t="s">
        <v>60</v>
      </c>
      <c r="H30" s="70"/>
      <c r="I30" s="83">
        <v>0</v>
      </c>
      <c r="K30" s="21">
        <v>4.1390000000000003E-2</v>
      </c>
      <c r="M30" s="15">
        <f>K30*I30</f>
        <v>0</v>
      </c>
      <c r="O30" s="21">
        <v>5.5330000000000004E-2</v>
      </c>
      <c r="Q30" s="51">
        <f>I30*O30</f>
        <v>0</v>
      </c>
      <c r="R30" s="51"/>
      <c r="S30" s="56">
        <f>O30-K30</f>
        <v>1.3940000000000001E-2</v>
      </c>
      <c r="T30" s="17"/>
      <c r="U30" s="17">
        <f>S30*I30</f>
        <v>0</v>
      </c>
      <c r="W30" s="32"/>
      <c r="X30" s="30"/>
      <c r="Y30" s="31"/>
      <c r="Z30" s="25"/>
      <c r="AC30" s="25"/>
    </row>
    <row r="31" spans="1:29" x14ac:dyDescent="0.2">
      <c r="A31" s="23"/>
      <c r="I31" s="79"/>
      <c r="Y31" s="25"/>
      <c r="Z31" s="25"/>
      <c r="AC31" s="25"/>
    </row>
    <row r="32" spans="1:29" x14ac:dyDescent="0.2">
      <c r="A32" s="23">
        <f>MAX(A$16:A31)+1</f>
        <v>13</v>
      </c>
      <c r="E32" s="57" t="s">
        <v>62</v>
      </c>
      <c r="F32" s="19"/>
      <c r="G32" s="58"/>
      <c r="H32" s="19"/>
      <c r="I32" s="83"/>
      <c r="J32" s="19"/>
      <c r="K32" s="19"/>
      <c r="L32" s="19"/>
      <c r="M32" s="59">
        <f>SUM(M17:M31)</f>
        <v>0</v>
      </c>
      <c r="N32" s="19"/>
      <c r="O32" s="19"/>
      <c r="P32" s="19"/>
      <c r="Q32" s="59">
        <f>SUM(Q17:Q31)</f>
        <v>0</v>
      </c>
      <c r="R32" s="60"/>
      <c r="S32" s="19"/>
      <c r="T32" s="19"/>
      <c r="U32" s="59">
        <f>SUM(U17:U31)</f>
        <v>0</v>
      </c>
      <c r="Y32" s="25"/>
      <c r="Z32" s="25"/>
    </row>
    <row r="33" spans="1:29" x14ac:dyDescent="0.2">
      <c r="A33" s="23">
        <f>MAX(A$16:A32)+1</f>
        <v>14</v>
      </c>
      <c r="E33" s="61" t="s">
        <v>63</v>
      </c>
      <c r="F33" s="20"/>
      <c r="G33" s="62"/>
      <c r="H33" s="20"/>
      <c r="I33" s="84"/>
      <c r="J33" s="20"/>
      <c r="K33" s="20"/>
      <c r="L33" s="20"/>
      <c r="M33" s="63"/>
      <c r="N33" s="20"/>
      <c r="O33" s="64"/>
      <c r="P33" s="64"/>
      <c r="Q33" s="65"/>
      <c r="R33" s="65"/>
      <c r="S33" s="66"/>
      <c r="T33" s="66"/>
      <c r="U33" s="65"/>
      <c r="Y33" s="25"/>
      <c r="Z33" s="25"/>
    </row>
    <row r="34" spans="1:29" x14ac:dyDescent="0.2">
      <c r="A34" s="23"/>
      <c r="I34" s="79"/>
      <c r="Q34" s="51"/>
      <c r="R34" s="51"/>
      <c r="Y34" s="25"/>
      <c r="Z34" s="25"/>
      <c r="AC34" s="25"/>
    </row>
    <row r="35" spans="1:29" x14ac:dyDescent="0.2">
      <c r="A35" s="23"/>
      <c r="E35" s="20"/>
      <c r="I35" s="79"/>
      <c r="M35" s="17"/>
      <c r="U35" s="51"/>
    </row>
    <row r="36" spans="1:29" x14ac:dyDescent="0.2">
      <c r="I36" s="79"/>
      <c r="K36" s="14"/>
      <c r="M36" s="72"/>
      <c r="Q36" s="72"/>
      <c r="R36" s="68"/>
      <c r="U36" s="69"/>
    </row>
    <row r="37" spans="1:29" x14ac:dyDescent="0.2">
      <c r="E37" s="18" t="s">
        <v>64</v>
      </c>
      <c r="I37" s="79"/>
    </row>
    <row r="38" spans="1:29" x14ac:dyDescent="0.2">
      <c r="E38" s="18" t="s">
        <v>65</v>
      </c>
    </row>
    <row r="39" spans="1:29" x14ac:dyDescent="0.2">
      <c r="E39" s="18" t="s">
        <v>72</v>
      </c>
    </row>
    <row r="40" spans="1:29" x14ac:dyDescent="0.2">
      <c r="E40" s="18" t="s">
        <v>67</v>
      </c>
      <c r="G40" s="18"/>
    </row>
    <row r="41" spans="1:29" x14ac:dyDescent="0.2">
      <c r="G41" s="18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96AB-B22E-4BB6-A3DB-2EA5C9705667}">
  <sheetPr>
    <pageSetUpPr fitToPage="1"/>
  </sheetPr>
  <dimension ref="A1:AC44"/>
  <sheetViews>
    <sheetView zoomScaleNormal="100" workbookViewId="0">
      <selection activeCell="Q20" sqref="Q20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x14ac:dyDescent="0.2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Y13" s="25"/>
      <c r="Z13" s="25"/>
    </row>
    <row r="14" spans="1:29" x14ac:dyDescent="0.2">
      <c r="A14" s="23"/>
      <c r="C14" s="77" t="s">
        <v>85</v>
      </c>
      <c r="E14" s="48" t="s">
        <v>86</v>
      </c>
      <c r="W14" s="23"/>
      <c r="X14" s="23"/>
      <c r="Y14" s="26"/>
      <c r="Z14" s="26"/>
      <c r="AA14" s="23"/>
      <c r="AB14" s="23"/>
      <c r="AC14" s="23"/>
    </row>
    <row r="15" spans="1:29" x14ac:dyDescent="0.2">
      <c r="A15" s="23"/>
      <c r="J15" s="24"/>
      <c r="K15" s="24"/>
      <c r="L15" s="24"/>
      <c r="M15" s="24"/>
      <c r="N15" s="24"/>
      <c r="S15" s="24"/>
      <c r="T15" s="24"/>
      <c r="W15" s="27"/>
      <c r="X15" s="27"/>
      <c r="Y15" s="28"/>
      <c r="Z15" s="28"/>
      <c r="AA15" s="27"/>
      <c r="AB15" s="27"/>
      <c r="AC15" s="27"/>
    </row>
    <row r="16" spans="1:29" x14ac:dyDescent="0.2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W16" s="27"/>
      <c r="X16" s="27"/>
      <c r="Y16" s="28"/>
      <c r="Z16" s="28"/>
      <c r="AA16" s="27"/>
      <c r="AB16" s="27"/>
      <c r="AC16" s="27"/>
    </row>
    <row r="17" spans="1:29" x14ac:dyDescent="0.2">
      <c r="A17" s="23">
        <f>MAX(A$16:A16)+1</f>
        <v>2</v>
      </c>
      <c r="E17" s="50" t="s">
        <v>51</v>
      </c>
      <c r="G17" s="23" t="s">
        <v>52</v>
      </c>
      <c r="I17" s="79">
        <v>243</v>
      </c>
      <c r="J17" s="24"/>
      <c r="K17" s="35">
        <v>80</v>
      </c>
      <c r="L17" s="24"/>
      <c r="M17" s="15">
        <f>I17*K17</f>
        <v>19440</v>
      </c>
      <c r="N17" s="24"/>
      <c r="O17" s="35">
        <v>100</v>
      </c>
      <c r="Q17" s="51">
        <f>I17*O17</f>
        <v>24300</v>
      </c>
      <c r="R17" s="51"/>
      <c r="S17" s="17">
        <f>O17-K17</f>
        <v>20</v>
      </c>
      <c r="T17" s="16"/>
      <c r="U17" s="15">
        <f>S17*I17</f>
        <v>4860</v>
      </c>
      <c r="W17" s="27"/>
      <c r="X17" s="27"/>
      <c r="Y17" s="28"/>
      <c r="Z17" s="28"/>
      <c r="AA17" s="27"/>
      <c r="AB17" s="27"/>
      <c r="AC17" s="27"/>
    </row>
    <row r="18" spans="1:29" x14ac:dyDescent="0.2">
      <c r="A18" s="23"/>
      <c r="E18" s="50"/>
      <c r="I18" s="80"/>
      <c r="J18" s="24"/>
      <c r="K18" s="22"/>
      <c r="L18" s="24"/>
      <c r="M18" s="15"/>
      <c r="N18" s="24"/>
      <c r="O18" s="22"/>
      <c r="Q18" s="51"/>
      <c r="R18" s="51"/>
      <c r="S18" s="17"/>
      <c r="T18" s="16"/>
      <c r="U18" s="15"/>
      <c r="W18" s="14"/>
      <c r="X18" s="14"/>
      <c r="Y18" s="25"/>
      <c r="Z18" s="25"/>
      <c r="AA18" s="33"/>
      <c r="AC18" s="25"/>
    </row>
    <row r="19" spans="1:29" x14ac:dyDescent="0.2">
      <c r="A19" s="23">
        <v>3</v>
      </c>
      <c r="E19" s="50" t="s">
        <v>53</v>
      </c>
      <c r="I19" s="80"/>
      <c r="J19" s="24"/>
      <c r="K19" s="22"/>
      <c r="L19" s="24"/>
      <c r="M19" s="15"/>
      <c r="N19" s="24"/>
      <c r="O19" s="22"/>
      <c r="Q19" s="51"/>
      <c r="R19" s="51"/>
      <c r="S19" s="17"/>
      <c r="T19" s="16"/>
      <c r="U19" s="15"/>
      <c r="W19" s="14"/>
      <c r="X19" s="14"/>
      <c r="Y19" s="25"/>
      <c r="Z19" s="25"/>
      <c r="AA19" s="33"/>
      <c r="AC19" s="25"/>
    </row>
    <row r="20" spans="1:29" x14ac:dyDescent="0.2">
      <c r="A20" s="23">
        <v>4</v>
      </c>
      <c r="E20" s="52" t="s">
        <v>54</v>
      </c>
      <c r="G20" s="23" t="s">
        <v>52</v>
      </c>
      <c r="I20" s="79">
        <v>0</v>
      </c>
      <c r="K20" s="35">
        <v>3</v>
      </c>
      <c r="M20" s="22">
        <f>K20*I20</f>
        <v>0</v>
      </c>
      <c r="O20" s="35">
        <v>4.75</v>
      </c>
      <c r="Q20" s="51">
        <f>I20*O20</f>
        <v>0</v>
      </c>
      <c r="R20" s="51"/>
      <c r="S20" s="17">
        <f>O20-K20</f>
        <v>1.75</v>
      </c>
      <c r="T20" s="16"/>
      <c r="U20" s="15">
        <f>S20*I20</f>
        <v>0</v>
      </c>
      <c r="W20" s="14"/>
      <c r="X20" s="14"/>
      <c r="Y20" s="25"/>
      <c r="Z20" s="25"/>
      <c r="AA20" s="25"/>
      <c r="AC20" s="25"/>
    </row>
    <row r="21" spans="1:29" x14ac:dyDescent="0.2">
      <c r="A21" s="23">
        <f>MAX(A$16:A20)+1</f>
        <v>5</v>
      </c>
      <c r="E21" s="52" t="s">
        <v>55</v>
      </c>
      <c r="G21" s="23" t="s">
        <v>52</v>
      </c>
      <c r="I21" s="79">
        <v>0</v>
      </c>
      <c r="K21" s="35">
        <v>15</v>
      </c>
      <c r="M21" s="22">
        <f t="shared" ref="M21:M23" si="0">K21*I21</f>
        <v>0</v>
      </c>
      <c r="O21" s="35">
        <v>38</v>
      </c>
      <c r="Q21" s="51">
        <f>I21*O21</f>
        <v>0</v>
      </c>
      <c r="R21" s="51"/>
      <c r="S21" s="17">
        <f>O21-K21</f>
        <v>23</v>
      </c>
      <c r="T21" s="16"/>
      <c r="U21" s="15">
        <f t="shared" ref="U21:U22" si="1">S21*I21</f>
        <v>0</v>
      </c>
      <c r="W21" s="14"/>
      <c r="X21" s="14"/>
      <c r="Y21" s="25"/>
      <c r="Z21" s="25"/>
      <c r="AA21" s="33"/>
      <c r="AC21" s="25"/>
    </row>
    <row r="22" spans="1:29" x14ac:dyDescent="0.2">
      <c r="A22" s="23">
        <f>MAX(A$16:A21)+1</f>
        <v>6</v>
      </c>
      <c r="E22" s="52" t="s">
        <v>56</v>
      </c>
      <c r="G22" s="23" t="s">
        <v>52</v>
      </c>
      <c r="I22" s="79">
        <v>135.44999999999999</v>
      </c>
      <c r="K22" s="35">
        <v>40</v>
      </c>
      <c r="M22" s="22">
        <f t="shared" si="0"/>
        <v>5418</v>
      </c>
      <c r="O22" s="35">
        <v>104</v>
      </c>
      <c r="Q22" s="51">
        <f>I22*O22</f>
        <v>14086.8</v>
      </c>
      <c r="R22" s="51"/>
      <c r="S22" s="17">
        <f>O22-K22</f>
        <v>64</v>
      </c>
      <c r="T22" s="16"/>
      <c r="U22" s="15">
        <f t="shared" si="1"/>
        <v>8668.7999999999993</v>
      </c>
      <c r="W22" s="14"/>
      <c r="X22" s="14"/>
      <c r="Y22" s="25"/>
      <c r="Z22" s="25"/>
      <c r="AA22" s="33"/>
      <c r="AC22" s="25"/>
    </row>
    <row r="23" spans="1:29" x14ac:dyDescent="0.2">
      <c r="A23" s="23">
        <f>MAX(A$16:A22)+1</f>
        <v>7</v>
      </c>
      <c r="E23" s="52" t="s">
        <v>57</v>
      </c>
      <c r="G23" s="23" t="s">
        <v>52</v>
      </c>
      <c r="I23" s="79">
        <v>107.55</v>
      </c>
      <c r="K23" s="35">
        <v>70</v>
      </c>
      <c r="M23" s="22">
        <f t="shared" si="0"/>
        <v>7528.5</v>
      </c>
      <c r="O23" s="35">
        <v>179</v>
      </c>
      <c r="Q23" s="51">
        <f>I23*O23</f>
        <v>19251.45</v>
      </c>
      <c r="R23" s="51"/>
      <c r="S23" s="17">
        <f>O23-K23</f>
        <v>109</v>
      </c>
      <c r="T23" s="16"/>
      <c r="U23" s="15">
        <f>S23*I23</f>
        <v>11722.949999999999</v>
      </c>
      <c r="W23" s="14"/>
      <c r="X23" s="14"/>
      <c r="Y23" s="25"/>
      <c r="Z23" s="25"/>
      <c r="AA23" s="33"/>
      <c r="AC23" s="25"/>
    </row>
    <row r="24" spans="1:29" x14ac:dyDescent="0.2">
      <c r="A24" s="23"/>
      <c r="E24" s="50"/>
      <c r="I24" s="79"/>
      <c r="K24" s="73"/>
      <c r="M24" s="22"/>
      <c r="O24" s="22"/>
      <c r="Q24" s="51"/>
      <c r="R24" s="51"/>
      <c r="S24" s="17"/>
      <c r="T24" s="16"/>
      <c r="U24" s="15"/>
      <c r="W24" s="14"/>
      <c r="X24" s="14"/>
      <c r="Y24" s="25"/>
      <c r="Z24" s="25"/>
      <c r="AA24" s="33"/>
      <c r="AC24" s="25"/>
    </row>
    <row r="25" spans="1:29" x14ac:dyDescent="0.2">
      <c r="A25" s="23">
        <f>MAX(A$16:A24)+1</f>
        <v>8</v>
      </c>
      <c r="E25" s="50" t="s">
        <v>70</v>
      </c>
      <c r="G25" s="23" t="s">
        <v>52</v>
      </c>
      <c r="I25" s="79">
        <f>I17</f>
        <v>243</v>
      </c>
      <c r="K25" s="35">
        <v>40</v>
      </c>
      <c r="M25" s="22">
        <f>K25*I25</f>
        <v>9720</v>
      </c>
      <c r="O25" s="35">
        <v>60</v>
      </c>
      <c r="Q25" s="51">
        <f>I25*O25</f>
        <v>14580</v>
      </c>
      <c r="R25" s="51"/>
      <c r="S25" s="17">
        <f>O25-K25</f>
        <v>20</v>
      </c>
      <c r="T25" s="16"/>
      <c r="U25" s="15">
        <f>S25*I25</f>
        <v>4860</v>
      </c>
      <c r="W25" s="14"/>
      <c r="X25" s="14"/>
      <c r="Y25" s="25"/>
      <c r="Z25" s="25"/>
      <c r="AA25" s="33"/>
      <c r="AC25" s="25"/>
    </row>
    <row r="26" spans="1:29" x14ac:dyDescent="0.2">
      <c r="A26" s="23"/>
      <c r="E26" s="50"/>
      <c r="I26" s="79"/>
      <c r="K26" s="73"/>
      <c r="M26" s="22"/>
      <c r="O26" s="35"/>
      <c r="Q26" s="51"/>
      <c r="R26" s="51"/>
      <c r="S26" s="17"/>
      <c r="T26" s="16"/>
      <c r="U26" s="15"/>
      <c r="W26" s="14"/>
      <c r="X26" s="14"/>
      <c r="Y26" s="25"/>
      <c r="Z26" s="25"/>
      <c r="AA26" s="33"/>
      <c r="AC26" s="25"/>
    </row>
    <row r="27" spans="1:29" x14ac:dyDescent="0.2">
      <c r="A27" s="23">
        <f>MAX(A$16:A25)+1</f>
        <v>9</v>
      </c>
      <c r="E27" s="50" t="s">
        <v>71</v>
      </c>
      <c r="G27" s="23" t="s">
        <v>52</v>
      </c>
      <c r="I27" s="79">
        <f>I17</f>
        <v>243</v>
      </c>
      <c r="K27" s="35">
        <v>35</v>
      </c>
      <c r="M27" s="22">
        <f>K27*I27</f>
        <v>8505</v>
      </c>
      <c r="O27" s="35">
        <v>50</v>
      </c>
      <c r="Q27" s="51">
        <f>I27*O27</f>
        <v>12150</v>
      </c>
      <c r="R27" s="51"/>
      <c r="S27" s="17">
        <f>O27-K27</f>
        <v>15</v>
      </c>
      <c r="T27" s="16"/>
      <c r="U27" s="15">
        <f>S27*I27</f>
        <v>3645</v>
      </c>
      <c r="W27" s="14"/>
      <c r="X27" s="14"/>
      <c r="Y27" s="25"/>
      <c r="Z27" s="25"/>
      <c r="AA27" s="33"/>
      <c r="AC27" s="25"/>
    </row>
    <row r="28" spans="1:29" x14ac:dyDescent="0.2">
      <c r="A28" s="23"/>
      <c r="E28" s="50"/>
      <c r="I28" s="79"/>
      <c r="K28" s="73"/>
      <c r="M28" s="14"/>
      <c r="O28" s="22"/>
      <c r="Q28" s="51"/>
      <c r="R28" s="51"/>
      <c r="S28" s="17"/>
      <c r="T28" s="16"/>
      <c r="U28" s="15"/>
      <c r="W28" s="14"/>
      <c r="X28" s="14"/>
      <c r="Y28" s="25"/>
      <c r="Z28" s="25"/>
      <c r="AA28" s="33"/>
      <c r="AC28" s="25"/>
    </row>
    <row r="29" spans="1:29" x14ac:dyDescent="0.2">
      <c r="A29" s="23">
        <v>10</v>
      </c>
      <c r="E29" s="53" t="s">
        <v>82</v>
      </c>
      <c r="G29" s="18"/>
      <c r="H29" s="25"/>
      <c r="I29" s="79"/>
      <c r="K29" s="22"/>
      <c r="M29" s="15"/>
      <c r="O29" s="22"/>
      <c r="Q29" s="51"/>
      <c r="R29" s="51"/>
      <c r="S29" s="17"/>
      <c r="T29" s="16"/>
      <c r="U29" s="15"/>
      <c r="Y29" s="25"/>
      <c r="Z29" s="25"/>
    </row>
    <row r="30" spans="1:29" x14ac:dyDescent="0.2">
      <c r="A30" s="23">
        <f>MAX(A$16:A29)+1</f>
        <v>11</v>
      </c>
      <c r="C30" s="50"/>
      <c r="D30" s="50" t="s">
        <v>59</v>
      </c>
      <c r="E30" s="52" t="s">
        <v>83</v>
      </c>
      <c r="F30" s="74">
        <v>0.21951000000000001</v>
      </c>
      <c r="G30" s="23" t="s">
        <v>60</v>
      </c>
      <c r="H30" s="70">
        <v>74203384.766760245</v>
      </c>
      <c r="I30" s="79">
        <v>2050578.1176470588</v>
      </c>
      <c r="K30" s="78">
        <v>0.16</v>
      </c>
      <c r="L30" s="24"/>
      <c r="M30" s="15">
        <f>K30*I30</f>
        <v>328092.4988235294</v>
      </c>
      <c r="N30" s="24"/>
      <c r="O30" s="21">
        <v>0.31</v>
      </c>
      <c r="Q30" s="51">
        <f>I30*O30</f>
        <v>635679.21647058823</v>
      </c>
      <c r="R30" s="51"/>
      <c r="S30" s="56">
        <f>O30-K30</f>
        <v>0.15</v>
      </c>
      <c r="T30" s="17"/>
      <c r="U30" s="51">
        <f>S30*I30</f>
        <v>307586.71764705883</v>
      </c>
      <c r="Y30" s="25"/>
      <c r="Z30" s="25"/>
    </row>
    <row r="31" spans="1:29" x14ac:dyDescent="0.2">
      <c r="A31" s="23">
        <f>MAX(A$16:A30)+1</f>
        <v>12</v>
      </c>
      <c r="C31" s="50"/>
      <c r="D31" s="50" t="s">
        <v>61</v>
      </c>
      <c r="E31" s="52" t="s">
        <v>84</v>
      </c>
      <c r="F31" s="74">
        <v>0.16456999999999999</v>
      </c>
      <c r="G31" s="23" t="s">
        <v>60</v>
      </c>
      <c r="H31" s="70">
        <v>10657025.143252332</v>
      </c>
      <c r="I31" s="79">
        <v>128657.88235294117</v>
      </c>
      <c r="K31" s="78">
        <v>0.16</v>
      </c>
      <c r="M31" s="15">
        <f>K31*I31</f>
        <v>20585.261176470587</v>
      </c>
      <c r="O31" s="21">
        <v>0.31</v>
      </c>
      <c r="Q31" s="51">
        <f>I31*O31</f>
        <v>39883.943529411765</v>
      </c>
      <c r="R31" s="51"/>
      <c r="S31" s="56">
        <f>O31-K31</f>
        <v>0.15</v>
      </c>
      <c r="T31" s="17"/>
      <c r="U31" s="51">
        <f>S31*I31</f>
        <v>19298.682352941174</v>
      </c>
      <c r="W31" s="32"/>
      <c r="X31" s="30"/>
      <c r="Y31" s="31"/>
      <c r="Z31" s="25"/>
      <c r="AC31" s="25"/>
    </row>
    <row r="32" spans="1:29" x14ac:dyDescent="0.2">
      <c r="A32" s="23">
        <f>MAX(A$16:A31)+1</f>
        <v>13</v>
      </c>
      <c r="C32" s="50"/>
      <c r="D32" s="50"/>
      <c r="E32" s="52" t="s">
        <v>75</v>
      </c>
      <c r="F32" s="74"/>
      <c r="G32" s="23" t="s">
        <v>60</v>
      </c>
      <c r="H32" s="70"/>
      <c r="I32" s="79">
        <v>29031259.220887478</v>
      </c>
      <c r="K32" s="78">
        <v>4.1390000000000003E-2</v>
      </c>
      <c r="M32" s="15">
        <f>K32*I32</f>
        <v>1201603.8191525328</v>
      </c>
      <c r="O32" s="21">
        <v>5.5330000000000004E-2</v>
      </c>
      <c r="Q32" s="51">
        <f>I32*O32</f>
        <v>1606299.5726917044</v>
      </c>
      <c r="R32" s="51"/>
      <c r="S32" s="56">
        <f>O32-K32</f>
        <v>1.3940000000000001E-2</v>
      </c>
      <c r="T32" s="17"/>
      <c r="U32" s="51">
        <f>S32*I32</f>
        <v>404695.75353917148</v>
      </c>
      <c r="W32" s="32"/>
      <c r="X32" s="30"/>
      <c r="Y32" s="31"/>
      <c r="Z32" s="25"/>
      <c r="AC32" s="25"/>
    </row>
    <row r="33" spans="1:29" x14ac:dyDescent="0.2">
      <c r="A33" s="23"/>
      <c r="I33" s="79"/>
      <c r="Y33" s="25"/>
      <c r="Z33" s="25"/>
      <c r="AC33" s="25"/>
    </row>
    <row r="34" spans="1:29" x14ac:dyDescent="0.2">
      <c r="A34" s="23">
        <f>MAX(A$16:A33)+1</f>
        <v>14</v>
      </c>
      <c r="E34" s="57" t="s">
        <v>62</v>
      </c>
      <c r="F34" s="19"/>
      <c r="G34" s="58"/>
      <c r="H34" s="19"/>
      <c r="I34" s="83"/>
      <c r="J34" s="19"/>
      <c r="K34" s="19"/>
      <c r="L34" s="19"/>
      <c r="M34" s="59">
        <f>SUM(M17:M33)</f>
        <v>1600893.0791525329</v>
      </c>
      <c r="N34" s="19"/>
      <c r="O34" s="19"/>
      <c r="P34" s="19"/>
      <c r="Q34" s="59">
        <f>SUM(Q17:Q33)</f>
        <v>2366230.9826917043</v>
      </c>
      <c r="R34" s="60"/>
      <c r="S34" s="19"/>
      <c r="T34" s="19"/>
      <c r="U34" s="59">
        <f>SUM(U17:U33)</f>
        <v>765337.90353917144</v>
      </c>
      <c r="Y34" s="25"/>
      <c r="Z34" s="25"/>
    </row>
    <row r="35" spans="1:29" x14ac:dyDescent="0.2">
      <c r="A35" s="23">
        <f>MAX(A$16:A34)+1</f>
        <v>15</v>
      </c>
      <c r="E35" s="61" t="s">
        <v>63</v>
      </c>
      <c r="F35" s="20"/>
      <c r="G35" s="62"/>
      <c r="H35" s="20"/>
      <c r="I35" s="84"/>
      <c r="J35" s="20"/>
      <c r="K35" s="20"/>
      <c r="L35" s="20"/>
      <c r="M35" s="63"/>
      <c r="N35" s="20"/>
      <c r="O35" s="64"/>
      <c r="P35" s="64"/>
      <c r="Q35" s="65">
        <f>Q34/$M34-1</f>
        <v>0.47806934360933062</v>
      </c>
      <c r="R35" s="65"/>
      <c r="S35" s="66"/>
      <c r="T35" s="66"/>
      <c r="U35" s="65">
        <f>(U34+$M34)/$M34-1</f>
        <v>0.47806934360933062</v>
      </c>
      <c r="Y35" s="25"/>
      <c r="Z35" s="25"/>
    </row>
    <row r="36" spans="1:29" x14ac:dyDescent="0.2">
      <c r="A36" s="23"/>
      <c r="I36" s="79"/>
      <c r="Q36" s="51"/>
      <c r="R36" s="51"/>
      <c r="Y36" s="25"/>
      <c r="Z36" s="25"/>
      <c r="AC36" s="25"/>
    </row>
    <row r="37" spans="1:29" x14ac:dyDescent="0.2">
      <c r="A37" s="23"/>
      <c r="E37" s="20"/>
      <c r="I37" s="79"/>
      <c r="M37" s="17"/>
      <c r="U37" s="51"/>
    </row>
    <row r="38" spans="1:29" x14ac:dyDescent="0.2">
      <c r="K38" s="14"/>
      <c r="M38" s="72"/>
      <c r="Q38" s="72"/>
      <c r="R38" s="68"/>
      <c r="U38" s="69"/>
    </row>
    <row r="39" spans="1:29" x14ac:dyDescent="0.2">
      <c r="E39" s="18" t="s">
        <v>64</v>
      </c>
    </row>
    <row r="40" spans="1:29" x14ac:dyDescent="0.2">
      <c r="E40" s="18" t="s">
        <v>65</v>
      </c>
    </row>
    <row r="41" spans="1:29" x14ac:dyDescent="0.2">
      <c r="E41" s="18" t="s">
        <v>87</v>
      </c>
    </row>
    <row r="42" spans="1:29" x14ac:dyDescent="0.2">
      <c r="E42" s="18" t="s">
        <v>67</v>
      </c>
    </row>
    <row r="43" spans="1:29" x14ac:dyDescent="0.2">
      <c r="G43" s="18"/>
    </row>
    <row r="44" spans="1:29" x14ac:dyDescent="0.2">
      <c r="G44" s="18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070D-2292-41A0-BA59-2B1F85812155}">
  <sheetPr>
    <pageSetUpPr fitToPage="1"/>
  </sheetPr>
  <dimension ref="A1:AC41"/>
  <sheetViews>
    <sheetView zoomScaleNormal="100" workbookViewId="0">
      <selection activeCell="Y26" sqref="Y26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ht="12.6" customHeight="1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ht="12.6" customHeight="1" x14ac:dyDescent="0.25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V13" s="2"/>
      <c r="W13" s="2"/>
      <c r="X13" s="2"/>
      <c r="Y13" s="6"/>
      <c r="Z13" s="6"/>
      <c r="AA13" s="2"/>
      <c r="AB13" s="2"/>
      <c r="AC13" s="2"/>
    </row>
    <row r="14" spans="1:29" ht="12.6" customHeight="1" x14ac:dyDescent="0.25">
      <c r="A14" s="23"/>
      <c r="C14" s="47" t="s">
        <v>88</v>
      </c>
      <c r="E14" s="48" t="s">
        <v>89</v>
      </c>
      <c r="V14" s="2"/>
      <c r="W14" s="1"/>
      <c r="X14" s="1"/>
      <c r="Y14" s="8"/>
      <c r="Z14" s="8"/>
      <c r="AA14" s="1"/>
      <c r="AB14" s="1"/>
      <c r="AC14" s="1"/>
    </row>
    <row r="15" spans="1:29" ht="12.6" customHeight="1" x14ac:dyDescent="0.25">
      <c r="A15" s="23"/>
      <c r="J15" s="24"/>
      <c r="K15" s="24"/>
      <c r="L15" s="24"/>
      <c r="M15" s="24"/>
      <c r="N15" s="24"/>
      <c r="S15" s="24"/>
      <c r="T15" s="24"/>
      <c r="V15" s="2"/>
      <c r="W15" s="4"/>
      <c r="X15" s="4"/>
      <c r="Y15" s="9"/>
      <c r="Z15" s="9"/>
      <c r="AA15" s="4"/>
      <c r="AB15" s="4"/>
      <c r="AC15" s="4"/>
    </row>
    <row r="16" spans="1:29" ht="12.6" customHeight="1" x14ac:dyDescent="0.25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V16" s="2"/>
      <c r="W16" s="4"/>
      <c r="X16" s="4"/>
      <c r="Y16" s="9"/>
      <c r="Z16" s="9"/>
      <c r="AA16" s="4"/>
      <c r="AB16" s="4"/>
      <c r="AC16" s="4"/>
    </row>
    <row r="17" spans="1:29" ht="12.6" customHeight="1" x14ac:dyDescent="0.25">
      <c r="A17" s="23">
        <f>MAX(A$16:A16)+1</f>
        <v>2</v>
      </c>
      <c r="E17" s="50" t="s">
        <v>51</v>
      </c>
      <c r="G17" s="23" t="s">
        <v>52</v>
      </c>
      <c r="I17" s="79">
        <v>1755.99</v>
      </c>
      <c r="J17" s="24"/>
      <c r="K17" s="35">
        <v>11.66</v>
      </c>
      <c r="L17" s="24"/>
      <c r="M17" s="15">
        <f>I17*K17</f>
        <v>20474.843400000002</v>
      </c>
      <c r="N17" s="24"/>
      <c r="O17" s="35">
        <v>16.61</v>
      </c>
      <c r="Q17" s="51">
        <f>I17*O17</f>
        <v>29166.993899999998</v>
      </c>
      <c r="R17" s="51"/>
      <c r="S17" s="17">
        <f>O17-K17</f>
        <v>4.9499999999999993</v>
      </c>
      <c r="T17" s="16"/>
      <c r="U17" s="15">
        <f>S17*I17</f>
        <v>8692.1504999999979</v>
      </c>
      <c r="V17" s="2"/>
      <c r="W17" s="4"/>
      <c r="X17" s="4"/>
      <c r="Y17" s="9"/>
      <c r="Z17" s="9"/>
      <c r="AA17" s="4"/>
      <c r="AB17" s="4"/>
      <c r="AC17" s="4"/>
    </row>
    <row r="18" spans="1:29" ht="12.6" customHeight="1" x14ac:dyDescent="0.25">
      <c r="A18" s="23"/>
      <c r="E18" s="50"/>
      <c r="I18" s="80"/>
      <c r="J18" s="24"/>
      <c r="K18" s="22"/>
      <c r="L18" s="24"/>
      <c r="M18" s="15"/>
      <c r="N18" s="24"/>
      <c r="O18" s="36"/>
      <c r="Q18" s="51"/>
      <c r="R18" s="51"/>
      <c r="S18" s="17"/>
      <c r="T18" s="16"/>
      <c r="U18" s="15"/>
      <c r="V18" s="2"/>
      <c r="W18" s="10"/>
      <c r="X18" s="10"/>
      <c r="Y18" s="6"/>
      <c r="Z18" s="6"/>
      <c r="AA18" s="11"/>
      <c r="AB18" s="2"/>
      <c r="AC18" s="6"/>
    </row>
    <row r="19" spans="1:29" ht="12.6" customHeight="1" x14ac:dyDescent="0.25">
      <c r="A19" s="23">
        <f>MAX(A$16:A18)+1</f>
        <v>3</v>
      </c>
      <c r="C19" s="50"/>
      <c r="D19" s="50" t="s">
        <v>59</v>
      </c>
      <c r="E19" s="50" t="s">
        <v>75</v>
      </c>
      <c r="F19" s="54">
        <v>0.21951000000000001</v>
      </c>
      <c r="G19" s="23" t="s">
        <v>60</v>
      </c>
      <c r="H19" s="55">
        <v>74203384.766760245</v>
      </c>
      <c r="I19" s="79">
        <v>264653.67775176623</v>
      </c>
      <c r="K19" s="21">
        <v>0.42085</v>
      </c>
      <c r="L19" s="24"/>
      <c r="M19" s="15">
        <f>I19*K19</f>
        <v>111379.50028183081</v>
      </c>
      <c r="N19" s="24"/>
      <c r="O19" s="21">
        <v>0.59943000000000002</v>
      </c>
      <c r="Q19" s="51">
        <f>I19*O19</f>
        <v>158641.35405474124</v>
      </c>
      <c r="R19" s="51"/>
      <c r="S19" s="56">
        <f>O19-K19</f>
        <v>0.17858000000000002</v>
      </c>
      <c r="T19" s="17"/>
      <c r="U19" s="51">
        <f>S19*I19</f>
        <v>47261.853772910414</v>
      </c>
      <c r="V19" s="2"/>
      <c r="W19" s="2"/>
      <c r="X19" s="2"/>
      <c r="Y19" s="6"/>
      <c r="Z19" s="6"/>
      <c r="AA19" s="2"/>
      <c r="AB19" s="2"/>
      <c r="AC19" s="2"/>
    </row>
    <row r="20" spans="1:29" ht="12.6" customHeight="1" x14ac:dyDescent="0.25">
      <c r="A20" s="23"/>
      <c r="C20" s="2"/>
      <c r="D20" s="2"/>
      <c r="E20" s="2"/>
      <c r="F20" s="54"/>
      <c r="G20" s="12"/>
      <c r="H20" s="55"/>
      <c r="I20" s="79"/>
      <c r="V20" s="2"/>
      <c r="W20" s="13"/>
      <c r="X20" s="12"/>
      <c r="Y20" s="7"/>
      <c r="Z20" s="6"/>
      <c r="AA20" s="2"/>
      <c r="AB20" s="2"/>
      <c r="AC20" s="6"/>
    </row>
    <row r="21" spans="1:29" ht="12.6" customHeight="1" x14ac:dyDescent="0.25">
      <c r="A21" s="23">
        <f>MAX(A$16:A20)+1</f>
        <v>4</v>
      </c>
      <c r="E21" s="57" t="s">
        <v>62</v>
      </c>
      <c r="F21" s="19"/>
      <c r="G21" s="58"/>
      <c r="H21" s="19"/>
      <c r="I21" s="83"/>
      <c r="J21" s="19"/>
      <c r="K21" s="19"/>
      <c r="L21" s="19"/>
      <c r="M21" s="59">
        <f>SUM(M17:M20)</f>
        <v>131854.34368183083</v>
      </c>
      <c r="N21" s="19"/>
      <c r="O21" s="19"/>
      <c r="P21" s="19"/>
      <c r="Q21" s="59">
        <f>SUM(Q17:Q20)</f>
        <v>187808.34795474124</v>
      </c>
      <c r="R21" s="60"/>
      <c r="S21" s="19"/>
      <c r="T21" s="19"/>
      <c r="U21" s="59">
        <f>SUM(U17:U20)</f>
        <v>55954.00427291041</v>
      </c>
      <c r="V21" s="2"/>
      <c r="W21" s="2"/>
      <c r="X21" s="2"/>
      <c r="Y21" s="6"/>
      <c r="Z21" s="6"/>
      <c r="AA21" s="2"/>
      <c r="AB21" s="2"/>
      <c r="AC21" s="2"/>
    </row>
    <row r="22" spans="1:29" ht="12.6" customHeight="1" x14ac:dyDescent="0.25">
      <c r="A22" s="23">
        <f>MAX(A$16:A21)+1</f>
        <v>5</v>
      </c>
      <c r="E22" s="61" t="s">
        <v>63</v>
      </c>
      <c r="F22" s="20"/>
      <c r="G22" s="62"/>
      <c r="H22" s="20"/>
      <c r="I22" s="84"/>
      <c r="J22" s="20"/>
      <c r="K22" s="20"/>
      <c r="L22" s="20"/>
      <c r="M22" s="63"/>
      <c r="N22" s="20"/>
      <c r="O22" s="64"/>
      <c r="P22" s="64"/>
      <c r="Q22" s="65">
        <f>Q21/$M21-1</f>
        <v>0.42436223722693134</v>
      </c>
      <c r="R22" s="65"/>
      <c r="S22" s="66"/>
      <c r="T22" s="66"/>
      <c r="U22" s="65">
        <f>(U21+$M21)/$M21-1</f>
        <v>0.42436223722693134</v>
      </c>
      <c r="V22" s="2"/>
      <c r="W22" s="2"/>
      <c r="X22" s="2"/>
      <c r="Y22" s="6"/>
      <c r="Z22" s="6"/>
      <c r="AA22" s="2"/>
      <c r="AB22" s="2"/>
      <c r="AC22" s="2"/>
    </row>
    <row r="23" spans="1:29" ht="12.6" customHeight="1" x14ac:dyDescent="0.25">
      <c r="A23" s="23"/>
      <c r="I23" s="79"/>
      <c r="Q23" s="51"/>
      <c r="R23" s="51"/>
      <c r="V23" s="2"/>
      <c r="W23" s="2"/>
      <c r="X23" s="2"/>
      <c r="Y23" s="6"/>
      <c r="Z23" s="6"/>
      <c r="AA23" s="2"/>
      <c r="AB23" s="2"/>
      <c r="AC23" s="6"/>
    </row>
    <row r="24" spans="1:29" ht="26.25" x14ac:dyDescent="0.25">
      <c r="A24" s="23">
        <f>MAX(A$16:A23)+1</f>
        <v>6</v>
      </c>
      <c r="C24" s="50"/>
      <c r="D24" s="50"/>
      <c r="E24" s="88" t="s">
        <v>90</v>
      </c>
      <c r="F24" s="54"/>
      <c r="H24" s="55"/>
      <c r="I24" s="79"/>
      <c r="K24" s="21"/>
      <c r="L24" s="24"/>
      <c r="M24" s="15">
        <v>46490.09</v>
      </c>
      <c r="N24" s="24"/>
      <c r="O24" s="21"/>
      <c r="Q24" s="51">
        <v>4810.0736371492094</v>
      </c>
      <c r="R24" s="51"/>
      <c r="S24" s="56"/>
      <c r="T24" s="17"/>
      <c r="U24" s="51">
        <f>Q24-M24</f>
        <v>-41680.016362850787</v>
      </c>
      <c r="V24" s="2"/>
      <c r="W24" s="2"/>
      <c r="X24" s="2"/>
      <c r="Y24" s="6"/>
      <c r="Z24" s="6"/>
      <c r="AA24" s="2"/>
      <c r="AB24" s="2"/>
      <c r="AC24" s="2"/>
    </row>
    <row r="25" spans="1:29" ht="12.6" customHeight="1" x14ac:dyDescent="0.25">
      <c r="A25" s="23"/>
      <c r="I25" s="79"/>
      <c r="Q25" s="51"/>
      <c r="R25" s="51"/>
      <c r="V25" s="2"/>
      <c r="W25" s="2"/>
      <c r="X25" s="2"/>
      <c r="Y25" s="6"/>
      <c r="Z25" s="6"/>
      <c r="AA25" s="2"/>
      <c r="AB25" s="2"/>
      <c r="AC25" s="6"/>
    </row>
    <row r="26" spans="1:29" ht="12.6" customHeight="1" x14ac:dyDescent="0.25">
      <c r="A26" s="23">
        <f>MAX(A$16:A25)+1</f>
        <v>7</v>
      </c>
      <c r="E26" s="57" t="s">
        <v>91</v>
      </c>
      <c r="F26" s="19"/>
      <c r="G26" s="58"/>
      <c r="H26" s="19"/>
      <c r="I26" s="83"/>
      <c r="J26" s="19"/>
      <c r="K26" s="19"/>
      <c r="L26" s="19"/>
      <c r="M26" s="59">
        <f>M21+M24</f>
        <v>178344.43368183082</v>
      </c>
      <c r="N26" s="19"/>
      <c r="O26" s="19"/>
      <c r="P26" s="19"/>
      <c r="Q26" s="59">
        <f>Q21+Q24</f>
        <v>192618.42159189045</v>
      </c>
      <c r="R26" s="60"/>
      <c r="S26" s="19"/>
      <c r="T26" s="19"/>
      <c r="U26" s="59">
        <f>Q26-M26</f>
        <v>14273.98791005963</v>
      </c>
      <c r="V26" s="2"/>
      <c r="W26" s="2"/>
      <c r="X26" s="2"/>
      <c r="Y26" s="6"/>
      <c r="Z26" s="6"/>
      <c r="AA26" s="2"/>
      <c r="AB26" s="2"/>
      <c r="AC26" s="2"/>
    </row>
    <row r="27" spans="1:29" ht="12.6" customHeight="1" x14ac:dyDescent="0.25">
      <c r="A27" s="23">
        <f>MAX(A$16:A26)+1</f>
        <v>8</v>
      </c>
      <c r="E27" s="61" t="s">
        <v>63</v>
      </c>
      <c r="F27" s="20"/>
      <c r="G27" s="62"/>
      <c r="H27" s="20"/>
      <c r="I27" s="84"/>
      <c r="J27" s="20"/>
      <c r="K27" s="20"/>
      <c r="L27" s="20"/>
      <c r="M27" s="63"/>
      <c r="N27" s="20"/>
      <c r="O27" s="64"/>
      <c r="P27" s="64"/>
      <c r="Q27" s="65">
        <f>Q26/$M26-1</f>
        <v>8.0036071860390301E-2</v>
      </c>
      <c r="R27" s="65"/>
      <c r="S27" s="66"/>
      <c r="T27" s="66"/>
      <c r="U27" s="65">
        <f>(U26+$M26)/$M26-1</f>
        <v>8.0036071860390301E-2</v>
      </c>
      <c r="V27" s="2"/>
      <c r="W27" s="2"/>
      <c r="X27" s="2"/>
      <c r="Y27" s="6"/>
      <c r="Z27" s="6"/>
      <c r="AA27" s="2"/>
      <c r="AB27" s="2"/>
      <c r="AC27" s="6"/>
    </row>
    <row r="28" spans="1:29" x14ac:dyDescent="0.2">
      <c r="A28" s="23"/>
      <c r="E28" s="20"/>
      <c r="I28" s="79"/>
      <c r="M28" s="17"/>
      <c r="O28" s="75"/>
      <c r="P28" s="75"/>
      <c r="Q28" s="75"/>
      <c r="R28" s="75"/>
      <c r="U28" s="76"/>
    </row>
    <row r="29" spans="1:29" x14ac:dyDescent="0.2">
      <c r="I29" s="79"/>
      <c r="K29" s="14"/>
      <c r="M29" s="72"/>
      <c r="Q29" s="72"/>
      <c r="R29" s="68"/>
      <c r="U29" s="69"/>
    </row>
    <row r="30" spans="1:29" x14ac:dyDescent="0.2">
      <c r="E30" s="18" t="s">
        <v>64</v>
      </c>
      <c r="I30" s="79"/>
    </row>
    <row r="31" spans="1:29" x14ac:dyDescent="0.2">
      <c r="E31" s="18" t="s">
        <v>65</v>
      </c>
      <c r="I31" s="79"/>
    </row>
    <row r="32" spans="1:29" x14ac:dyDescent="0.2">
      <c r="E32" s="18" t="s">
        <v>92</v>
      </c>
      <c r="I32" s="79"/>
    </row>
    <row r="33" spans="5:9" x14ac:dyDescent="0.2">
      <c r="E33" s="18" t="s">
        <v>67</v>
      </c>
      <c r="G33" s="18"/>
      <c r="I33" s="79"/>
    </row>
    <row r="34" spans="5:9" x14ac:dyDescent="0.2">
      <c r="E34" s="18" t="s">
        <v>93</v>
      </c>
      <c r="G34" s="18"/>
      <c r="I34" s="79"/>
    </row>
    <row r="35" spans="5:9" x14ac:dyDescent="0.2">
      <c r="I35" s="79"/>
    </row>
    <row r="36" spans="5:9" x14ac:dyDescent="0.2">
      <c r="I36" s="79"/>
    </row>
    <row r="37" spans="5:9" x14ac:dyDescent="0.2">
      <c r="I37" s="79"/>
    </row>
    <row r="38" spans="5:9" x14ac:dyDescent="0.2">
      <c r="I38" s="79"/>
    </row>
    <row r="39" spans="5:9" x14ac:dyDescent="0.2">
      <c r="I39" s="79"/>
    </row>
    <row r="40" spans="5:9" x14ac:dyDescent="0.2">
      <c r="I40" s="79"/>
    </row>
    <row r="41" spans="5:9" x14ac:dyDescent="0.2">
      <c r="I41" s="79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B7CF-58B0-4770-97E7-E1878054FBEA}">
  <sheetPr>
    <pageSetUpPr fitToPage="1"/>
  </sheetPr>
  <dimension ref="A1:AC38"/>
  <sheetViews>
    <sheetView zoomScaleNormal="100" workbookViewId="0">
      <selection activeCell="U27" sqref="U27"/>
    </sheetView>
  </sheetViews>
  <sheetFormatPr defaultColWidth="9.140625" defaultRowHeight="12.75" x14ac:dyDescent="0.2"/>
  <cols>
    <col min="1" max="1" width="4.7109375" style="18" customWidth="1"/>
    <col min="2" max="2" width="0.85546875" style="18" customWidth="1"/>
    <col min="3" max="3" width="7.42578125" style="18" customWidth="1"/>
    <col min="4" max="4" width="0.85546875" style="18" customWidth="1"/>
    <col min="5" max="5" width="41.140625" style="18" customWidth="1"/>
    <col min="6" max="6" width="2.5703125" style="18" customWidth="1"/>
    <col min="7" max="7" width="8.28515625" style="23" customWidth="1"/>
    <col min="8" max="8" width="0.85546875" style="18" customWidth="1"/>
    <col min="9" max="9" width="12.7109375" style="18" customWidth="1"/>
    <col min="10" max="10" width="2.5703125" style="18" customWidth="1"/>
    <col min="11" max="11" width="12.7109375" style="18" customWidth="1"/>
    <col min="12" max="12" width="0.85546875" style="18" customWidth="1"/>
    <col min="13" max="13" width="16.85546875" style="18" customWidth="1"/>
    <col min="14" max="14" width="2.5703125" style="18" customWidth="1"/>
    <col min="15" max="15" width="12.7109375" style="18" customWidth="1"/>
    <col min="16" max="16" width="0.85546875" style="18" customWidth="1"/>
    <col min="17" max="17" width="16.85546875" style="18" customWidth="1"/>
    <col min="18" max="18" width="2.5703125" style="18" customWidth="1"/>
    <col min="19" max="19" width="12.7109375" style="18" customWidth="1"/>
    <col min="20" max="20" width="0.85546875" style="18" customWidth="1"/>
    <col min="21" max="21" width="16.85546875" style="18" customWidth="1"/>
    <col min="22" max="16384" width="9.140625" style="18"/>
  </cols>
  <sheetData>
    <row r="1" spans="1:29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9" ht="15.7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9" ht="15.75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9" ht="15.75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9" ht="15.75" x14ac:dyDescent="0.25">
      <c r="A5" s="95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1:29" x14ac:dyDescent="0.2">
      <c r="G6" s="18"/>
    </row>
    <row r="7" spans="1:29" ht="15.7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</row>
    <row r="8" spans="1:29" x14ac:dyDescent="0.2">
      <c r="R8" s="23"/>
    </row>
    <row r="9" spans="1:29" ht="15" customHeight="1" x14ac:dyDescent="0.2">
      <c r="K9" s="96" t="s">
        <v>9</v>
      </c>
      <c r="L9" s="96"/>
      <c r="M9" s="96"/>
      <c r="O9" s="96" t="s">
        <v>10</v>
      </c>
      <c r="P9" s="96"/>
      <c r="Q9" s="96"/>
      <c r="R9" s="23"/>
      <c r="S9" s="97" t="s">
        <v>31</v>
      </c>
      <c r="T9" s="97"/>
      <c r="U9" s="97"/>
    </row>
    <row r="10" spans="1:29" ht="15.75" customHeight="1" x14ac:dyDescent="0.2">
      <c r="A10" s="23" t="s">
        <v>6</v>
      </c>
      <c r="C10" s="23" t="s">
        <v>32</v>
      </c>
      <c r="G10" s="96" t="s">
        <v>33</v>
      </c>
      <c r="H10" s="96"/>
      <c r="I10" s="96"/>
      <c r="K10" s="23" t="s">
        <v>34</v>
      </c>
      <c r="M10" s="23" t="s">
        <v>35</v>
      </c>
      <c r="O10" s="23" t="s">
        <v>34</v>
      </c>
      <c r="Q10" s="23" t="s">
        <v>35</v>
      </c>
      <c r="R10" s="23"/>
      <c r="S10" s="43" t="s">
        <v>34</v>
      </c>
      <c r="T10" s="44"/>
      <c r="U10" s="43" t="s">
        <v>35</v>
      </c>
    </row>
    <row r="11" spans="1:29" x14ac:dyDescent="0.2">
      <c r="A11" s="42" t="s">
        <v>7</v>
      </c>
      <c r="C11" s="42" t="s">
        <v>8</v>
      </c>
      <c r="E11" s="42" t="s">
        <v>36</v>
      </c>
      <c r="G11" s="45" t="s">
        <v>37</v>
      </c>
      <c r="I11" s="42" t="s">
        <v>38</v>
      </c>
      <c r="K11" s="42" t="s">
        <v>39</v>
      </c>
      <c r="M11" s="42" t="s">
        <v>40</v>
      </c>
      <c r="O11" s="42" t="s">
        <v>39</v>
      </c>
      <c r="Q11" s="42" t="s">
        <v>40</v>
      </c>
      <c r="R11" s="23"/>
      <c r="S11" s="42" t="s">
        <v>39</v>
      </c>
      <c r="U11" s="42" t="s">
        <v>40</v>
      </c>
    </row>
    <row r="12" spans="1:29" x14ac:dyDescent="0.2">
      <c r="C12" s="27" t="s">
        <v>12</v>
      </c>
      <c r="E12" s="27" t="s">
        <v>13</v>
      </c>
      <c r="G12" s="27" t="s">
        <v>14</v>
      </c>
      <c r="I12" s="27" t="s">
        <v>15</v>
      </c>
      <c r="K12" s="27" t="s">
        <v>41</v>
      </c>
      <c r="M12" s="27" t="s">
        <v>42</v>
      </c>
      <c r="O12" s="27" t="s">
        <v>43</v>
      </c>
      <c r="P12" s="27"/>
      <c r="Q12" s="27" t="s">
        <v>44</v>
      </c>
      <c r="R12" s="27"/>
      <c r="S12" s="27" t="s">
        <v>45</v>
      </c>
      <c r="T12" s="27"/>
      <c r="U12" s="27" t="s">
        <v>46</v>
      </c>
    </row>
    <row r="13" spans="1:29" x14ac:dyDescent="0.2">
      <c r="C13" s="27"/>
      <c r="E13" s="27"/>
      <c r="I13" s="27"/>
      <c r="K13" s="46"/>
      <c r="L13" s="46"/>
      <c r="M13" s="46" t="str">
        <f>"= "&amp;$I12&amp;" * "&amp;K12</f>
        <v>= (d) * (e)</v>
      </c>
      <c r="N13" s="46"/>
      <c r="O13" s="46"/>
      <c r="P13" s="46"/>
      <c r="Q13" s="46" t="str">
        <f>"= "&amp;$I12&amp;" * "&amp;O12</f>
        <v>= (d) * (g)</v>
      </c>
      <c r="R13" s="46"/>
      <c r="S13" s="46" t="s">
        <v>47</v>
      </c>
      <c r="T13" s="46"/>
      <c r="U13" s="46" t="str">
        <f>"= "&amp;$I12&amp;" * "&amp;S12</f>
        <v>= (d) * (i)</v>
      </c>
      <c r="Y13" s="25"/>
      <c r="Z13" s="25"/>
    </row>
    <row r="14" spans="1:29" x14ac:dyDescent="0.2">
      <c r="A14" s="23"/>
      <c r="C14" s="47" t="s">
        <v>94</v>
      </c>
      <c r="E14" s="48" t="s">
        <v>95</v>
      </c>
      <c r="W14" s="23"/>
      <c r="X14" s="23"/>
      <c r="Y14" s="26"/>
      <c r="Z14" s="26"/>
      <c r="AA14" s="23"/>
      <c r="AB14" s="23"/>
      <c r="AC14" s="23"/>
    </row>
    <row r="15" spans="1:29" x14ac:dyDescent="0.2">
      <c r="A15" s="23"/>
      <c r="J15" s="24"/>
      <c r="K15" s="24"/>
      <c r="L15" s="24"/>
      <c r="M15" s="24"/>
      <c r="N15" s="24"/>
      <c r="S15" s="24"/>
      <c r="T15" s="24"/>
      <c r="W15" s="27"/>
      <c r="X15" s="27"/>
      <c r="Y15" s="28"/>
      <c r="Z15" s="28"/>
      <c r="AA15" s="27"/>
      <c r="AB15" s="27"/>
      <c r="AC15" s="27"/>
    </row>
    <row r="16" spans="1:29" x14ac:dyDescent="0.2">
      <c r="A16" s="23">
        <v>1</v>
      </c>
      <c r="E16" s="49" t="s">
        <v>50</v>
      </c>
      <c r="J16" s="24"/>
      <c r="K16" s="24"/>
      <c r="L16" s="24"/>
      <c r="M16" s="24"/>
      <c r="N16" s="24"/>
      <c r="S16" s="24"/>
      <c r="T16" s="24"/>
      <c r="W16" s="27"/>
      <c r="X16" s="27"/>
      <c r="Y16" s="28"/>
      <c r="Z16" s="28"/>
      <c r="AA16" s="27"/>
      <c r="AB16" s="27"/>
      <c r="AC16" s="27"/>
    </row>
    <row r="17" spans="1:29" x14ac:dyDescent="0.2">
      <c r="A17" s="23">
        <f>MAX(A$16:A16)+1</f>
        <v>2</v>
      </c>
      <c r="E17" s="50" t="s">
        <v>51</v>
      </c>
      <c r="G17" s="23" t="s">
        <v>52</v>
      </c>
      <c r="I17" s="79">
        <v>61.953000000000003</v>
      </c>
      <c r="J17" s="24"/>
      <c r="K17" s="35">
        <v>42.5</v>
      </c>
      <c r="L17" s="24"/>
      <c r="M17" s="15">
        <f>I17*K17</f>
        <v>2633.0025000000001</v>
      </c>
      <c r="N17" s="24"/>
      <c r="O17" s="35">
        <v>52</v>
      </c>
      <c r="Q17" s="51">
        <f>I17*O17</f>
        <v>3221.556</v>
      </c>
      <c r="R17" s="51"/>
      <c r="S17" s="17">
        <f>O17-K17</f>
        <v>9.5</v>
      </c>
      <c r="T17" s="16"/>
      <c r="U17" s="15">
        <f>S17*I17</f>
        <v>588.55349999999999</v>
      </c>
      <c r="W17" s="27"/>
      <c r="X17" s="27"/>
      <c r="Y17" s="28"/>
      <c r="Z17" s="28"/>
      <c r="AA17" s="27"/>
      <c r="AB17" s="27"/>
      <c r="AC17" s="27"/>
    </row>
    <row r="18" spans="1:29" x14ac:dyDescent="0.2">
      <c r="A18" s="23"/>
      <c r="E18" s="50"/>
      <c r="I18" s="80"/>
      <c r="J18" s="24"/>
      <c r="K18" s="22"/>
      <c r="L18" s="24"/>
      <c r="M18" s="15"/>
      <c r="N18" s="24"/>
      <c r="O18" s="22"/>
      <c r="Q18" s="51"/>
      <c r="R18" s="51"/>
      <c r="S18" s="17"/>
      <c r="T18" s="16"/>
      <c r="U18" s="15"/>
      <c r="W18" s="14"/>
      <c r="X18" s="14"/>
      <c r="Y18" s="25"/>
      <c r="Z18" s="25"/>
      <c r="AA18" s="33"/>
      <c r="AC18" s="25"/>
    </row>
    <row r="19" spans="1:29" x14ac:dyDescent="0.2">
      <c r="A19" s="23">
        <v>3</v>
      </c>
      <c r="E19" s="50" t="s">
        <v>53</v>
      </c>
      <c r="I19" s="80"/>
      <c r="J19" s="24"/>
      <c r="K19" s="22"/>
      <c r="L19" s="24"/>
      <c r="M19" s="15"/>
      <c r="N19" s="24"/>
      <c r="O19" s="22"/>
      <c r="Q19" s="51"/>
      <c r="R19" s="51"/>
      <c r="S19" s="17"/>
      <c r="T19" s="16"/>
      <c r="U19" s="15"/>
      <c r="W19" s="14"/>
      <c r="X19" s="14"/>
      <c r="Y19" s="25"/>
      <c r="Z19" s="25"/>
      <c r="AA19" s="33"/>
      <c r="AC19" s="25"/>
    </row>
    <row r="20" spans="1:29" x14ac:dyDescent="0.2">
      <c r="A20" s="23">
        <v>4</v>
      </c>
      <c r="E20" s="52" t="s">
        <v>54</v>
      </c>
      <c r="G20" s="23" t="s">
        <v>52</v>
      </c>
      <c r="I20" s="79">
        <v>0</v>
      </c>
      <c r="K20" s="35">
        <v>3</v>
      </c>
      <c r="M20" s="22">
        <f>K20*I20</f>
        <v>0</v>
      </c>
      <c r="O20" s="35">
        <v>4.75</v>
      </c>
      <c r="Q20" s="51">
        <f>I20*O20</f>
        <v>0</v>
      </c>
      <c r="R20" s="51"/>
      <c r="S20" s="17">
        <f>O20-K20</f>
        <v>1.75</v>
      </c>
      <c r="T20" s="16"/>
      <c r="U20" s="15">
        <f>S20*I20</f>
        <v>0</v>
      </c>
      <c r="W20" s="14"/>
      <c r="X20" s="14"/>
      <c r="Y20" s="25"/>
      <c r="Z20" s="25"/>
      <c r="AA20" s="25"/>
      <c r="AC20" s="25"/>
    </row>
    <row r="21" spans="1:29" x14ac:dyDescent="0.2">
      <c r="A21" s="23">
        <f>MAX(A$16:A20)+1</f>
        <v>5</v>
      </c>
      <c r="E21" s="52" t="s">
        <v>55</v>
      </c>
      <c r="G21" s="23" t="s">
        <v>52</v>
      </c>
      <c r="I21" s="79">
        <v>0</v>
      </c>
      <c r="K21" s="35">
        <v>15</v>
      </c>
      <c r="M21" s="22">
        <f t="shared" ref="M21:M23" si="0">K21*I21</f>
        <v>0</v>
      </c>
      <c r="O21" s="35">
        <v>38</v>
      </c>
      <c r="Q21" s="51">
        <f>I21*O21</f>
        <v>0</v>
      </c>
      <c r="R21" s="51"/>
      <c r="S21" s="17">
        <f>O21-K21</f>
        <v>23</v>
      </c>
      <c r="T21" s="16"/>
      <c r="U21" s="15">
        <f t="shared" ref="U21:U22" si="1">S21*I21</f>
        <v>0</v>
      </c>
      <c r="W21" s="14"/>
      <c r="X21" s="14"/>
      <c r="Y21" s="25"/>
      <c r="Z21" s="25"/>
      <c r="AA21" s="33"/>
      <c r="AC21" s="25"/>
    </row>
    <row r="22" spans="1:29" x14ac:dyDescent="0.2">
      <c r="A22" s="23">
        <f>MAX(A$16:A21)+1</f>
        <v>6</v>
      </c>
      <c r="E22" s="52" t="s">
        <v>56</v>
      </c>
      <c r="G22" s="23" t="s">
        <v>52</v>
      </c>
      <c r="I22" s="79">
        <v>24</v>
      </c>
      <c r="K22" s="35">
        <v>40</v>
      </c>
      <c r="M22" s="22">
        <f t="shared" si="0"/>
        <v>960</v>
      </c>
      <c r="O22" s="35">
        <v>104</v>
      </c>
      <c r="Q22" s="51">
        <f>I22*O22</f>
        <v>2496</v>
      </c>
      <c r="R22" s="51"/>
      <c r="S22" s="17">
        <f>O22-K22</f>
        <v>64</v>
      </c>
      <c r="T22" s="16"/>
      <c r="U22" s="15">
        <f t="shared" si="1"/>
        <v>1536</v>
      </c>
      <c r="W22" s="14"/>
      <c r="X22" s="14"/>
      <c r="Y22" s="25"/>
      <c r="Z22" s="25"/>
      <c r="AA22" s="33"/>
      <c r="AC22" s="25"/>
    </row>
    <row r="23" spans="1:29" x14ac:dyDescent="0.2">
      <c r="A23" s="23">
        <f>MAX(A$16:A22)+1</f>
        <v>7</v>
      </c>
      <c r="E23" s="52" t="s">
        <v>57</v>
      </c>
      <c r="G23" s="23" t="s">
        <v>52</v>
      </c>
      <c r="I23" s="79">
        <v>37.953000000000003</v>
      </c>
      <c r="K23" s="35">
        <v>70</v>
      </c>
      <c r="M23" s="22">
        <f t="shared" si="0"/>
        <v>2656.71</v>
      </c>
      <c r="O23" s="35">
        <v>179</v>
      </c>
      <c r="Q23" s="51">
        <f>I23*O23</f>
        <v>6793.5870000000004</v>
      </c>
      <c r="R23" s="51"/>
      <c r="S23" s="17">
        <f>O23-K23</f>
        <v>109</v>
      </c>
      <c r="T23" s="16"/>
      <c r="U23" s="15">
        <f>S23*I23</f>
        <v>4136.8770000000004</v>
      </c>
      <c r="W23" s="14"/>
      <c r="X23" s="14"/>
      <c r="Y23" s="25"/>
      <c r="Z23" s="25"/>
      <c r="AA23" s="33"/>
      <c r="AC23" s="25"/>
    </row>
    <row r="24" spans="1:29" x14ac:dyDescent="0.2">
      <c r="A24" s="23"/>
      <c r="E24" s="50"/>
      <c r="I24" s="79"/>
      <c r="K24" s="22"/>
      <c r="M24" s="22"/>
      <c r="O24" s="22"/>
      <c r="Q24" s="51"/>
      <c r="R24" s="51"/>
      <c r="S24" s="17"/>
      <c r="T24" s="16"/>
      <c r="U24" s="15"/>
      <c r="W24" s="14"/>
      <c r="X24" s="14"/>
      <c r="Y24" s="25"/>
      <c r="Z24" s="25"/>
      <c r="AA24" s="33"/>
      <c r="AC24" s="25"/>
    </row>
    <row r="25" spans="1:29" x14ac:dyDescent="0.2">
      <c r="A25" s="23">
        <f>MAX(A$16:A24)+1</f>
        <v>8</v>
      </c>
      <c r="E25" s="50" t="s">
        <v>81</v>
      </c>
      <c r="G25" s="23" t="s">
        <v>52</v>
      </c>
      <c r="I25" s="79">
        <f>I17</f>
        <v>61.953000000000003</v>
      </c>
      <c r="K25" s="35">
        <v>35</v>
      </c>
      <c r="M25" s="22">
        <f>K25*I25</f>
        <v>2168.355</v>
      </c>
      <c r="O25" s="35">
        <v>50</v>
      </c>
      <c r="Q25" s="51">
        <f>I25*O25</f>
        <v>3097.65</v>
      </c>
      <c r="R25" s="51"/>
      <c r="S25" s="17">
        <f>O25-K25</f>
        <v>15</v>
      </c>
      <c r="T25" s="16"/>
      <c r="U25" s="15">
        <f>S25*I25</f>
        <v>929.29500000000007</v>
      </c>
      <c r="W25" s="14"/>
      <c r="X25" s="14"/>
      <c r="Y25" s="25"/>
      <c r="Z25" s="25"/>
      <c r="AA25" s="33"/>
      <c r="AC25" s="25"/>
    </row>
    <row r="26" spans="1:29" x14ac:dyDescent="0.2">
      <c r="A26" s="23"/>
      <c r="E26" s="50"/>
      <c r="I26" s="82"/>
      <c r="K26" s="17"/>
      <c r="M26" s="15"/>
      <c r="O26" s="17"/>
      <c r="Q26" s="51"/>
      <c r="R26" s="51"/>
      <c r="S26" s="17"/>
      <c r="T26" s="16"/>
      <c r="U26" s="15"/>
      <c r="W26" s="14"/>
      <c r="X26" s="14"/>
      <c r="Y26" s="25"/>
      <c r="Z26" s="25"/>
      <c r="AA26" s="33"/>
      <c r="AC26" s="25"/>
    </row>
    <row r="27" spans="1:29" x14ac:dyDescent="0.2">
      <c r="A27" s="23">
        <f>MAX(A$16:A26)+1</f>
        <v>9</v>
      </c>
      <c r="C27" s="50"/>
      <c r="D27" s="50" t="s">
        <v>59</v>
      </c>
      <c r="E27" s="50" t="s">
        <v>75</v>
      </c>
      <c r="F27" s="74">
        <v>0.21951000000000001</v>
      </c>
      <c r="G27" s="23" t="s">
        <v>60</v>
      </c>
      <c r="H27" s="70">
        <v>74203384.766760245</v>
      </c>
      <c r="I27" s="79">
        <v>188337.67501488834</v>
      </c>
      <c r="K27" s="21">
        <v>8.1670000000000006E-2</v>
      </c>
      <c r="L27" s="24"/>
      <c r="M27" s="15">
        <f>K27*I27</f>
        <v>15381.537918465932</v>
      </c>
      <c r="N27" s="24"/>
      <c r="O27" s="21">
        <v>9.7610000000000002E-2</v>
      </c>
      <c r="Q27" s="51">
        <f>I27*O27</f>
        <v>18383.640458203252</v>
      </c>
      <c r="R27" s="51"/>
      <c r="S27" s="56">
        <f>O27-K27</f>
        <v>1.5939999999999996E-2</v>
      </c>
      <c r="T27" s="17"/>
      <c r="U27" s="51">
        <f>S27*I27</f>
        <v>3002.1025397373196</v>
      </c>
      <c r="Y27" s="25"/>
      <c r="Z27" s="25"/>
    </row>
    <row r="28" spans="1:29" x14ac:dyDescent="0.2">
      <c r="A28" s="23"/>
      <c r="I28" s="79"/>
      <c r="Y28" s="25"/>
      <c r="Z28" s="25"/>
      <c r="AC28" s="25"/>
    </row>
    <row r="29" spans="1:29" x14ac:dyDescent="0.2">
      <c r="A29" s="23">
        <f>MAX(A$16:A28)+1</f>
        <v>10</v>
      </c>
      <c r="E29" s="57" t="s">
        <v>62</v>
      </c>
      <c r="F29" s="19"/>
      <c r="G29" s="58"/>
      <c r="H29" s="19"/>
      <c r="I29" s="83"/>
      <c r="J29" s="19"/>
      <c r="K29" s="19"/>
      <c r="L29" s="19"/>
      <c r="M29" s="59">
        <f>SUM(M17:M28)</f>
        <v>23799.60541846593</v>
      </c>
      <c r="N29" s="19"/>
      <c r="O29" s="19"/>
      <c r="P29" s="19"/>
      <c r="Q29" s="59">
        <f>SUM(Q17:Q28)</f>
        <v>33992.433458203253</v>
      </c>
      <c r="R29" s="60"/>
      <c r="S29" s="19"/>
      <c r="T29" s="19"/>
      <c r="U29" s="59">
        <f>SUM(U17:U28)</f>
        <v>10192.82803973732</v>
      </c>
      <c r="Y29" s="25"/>
      <c r="Z29" s="25"/>
    </row>
    <row r="30" spans="1:29" x14ac:dyDescent="0.2">
      <c r="A30" s="23">
        <f>MAX(A$16:A29)+1</f>
        <v>11</v>
      </c>
      <c r="E30" s="61" t="s">
        <v>63</v>
      </c>
      <c r="F30" s="20"/>
      <c r="G30" s="62"/>
      <c r="H30" s="20"/>
      <c r="I30" s="84"/>
      <c r="J30" s="20"/>
      <c r="K30" s="20"/>
      <c r="L30" s="20"/>
      <c r="M30" s="63"/>
      <c r="N30" s="20"/>
      <c r="O30" s="64"/>
      <c r="P30" s="64"/>
      <c r="Q30" s="65">
        <f>Q29/$M29-1</f>
        <v>0.4282771861347241</v>
      </c>
      <c r="R30" s="65"/>
      <c r="S30" s="66"/>
      <c r="T30" s="66"/>
      <c r="U30" s="65">
        <f>(U29+$M29)/$M29-1</f>
        <v>0.42827718613472388</v>
      </c>
      <c r="Y30" s="25"/>
      <c r="Z30" s="25"/>
    </row>
    <row r="31" spans="1:29" x14ac:dyDescent="0.2">
      <c r="A31" s="23"/>
      <c r="I31" s="79"/>
      <c r="Q31" s="51"/>
      <c r="R31" s="51"/>
      <c r="Y31" s="25"/>
      <c r="Z31" s="25"/>
      <c r="AC31" s="25"/>
    </row>
    <row r="32" spans="1:29" x14ac:dyDescent="0.2">
      <c r="A32" s="23"/>
      <c r="E32" s="20"/>
      <c r="I32" s="79"/>
      <c r="M32" s="17"/>
      <c r="U32" s="51"/>
    </row>
    <row r="33" spans="5:21" x14ac:dyDescent="0.2">
      <c r="I33" s="79"/>
      <c r="K33" s="14"/>
      <c r="M33" s="72"/>
      <c r="Q33" s="72"/>
      <c r="R33" s="68"/>
      <c r="U33" s="69"/>
    </row>
    <row r="34" spans="5:21" x14ac:dyDescent="0.2">
      <c r="E34" s="18" t="s">
        <v>64</v>
      </c>
      <c r="I34" s="79"/>
    </row>
    <row r="35" spans="5:21" x14ac:dyDescent="0.2">
      <c r="E35" s="18" t="s">
        <v>65</v>
      </c>
      <c r="I35" s="79"/>
    </row>
    <row r="36" spans="5:21" x14ac:dyDescent="0.2">
      <c r="E36" s="18" t="s">
        <v>96</v>
      </c>
      <c r="I36" s="79"/>
    </row>
    <row r="37" spans="5:21" x14ac:dyDescent="0.2">
      <c r="E37" s="18" t="s">
        <v>67</v>
      </c>
      <c r="G37" s="18"/>
      <c r="I37" s="79"/>
    </row>
    <row r="38" spans="5:21" x14ac:dyDescent="0.2">
      <c r="G38" s="18"/>
    </row>
  </sheetData>
  <mergeCells count="10">
    <mergeCell ref="G10:I10"/>
    <mergeCell ref="A1:U1"/>
    <mergeCell ref="A2:U2"/>
    <mergeCell ref="A5:U5"/>
    <mergeCell ref="A7:U7"/>
    <mergeCell ref="K9:M9"/>
    <mergeCell ref="O9:Q9"/>
    <mergeCell ref="S9:U9"/>
    <mergeCell ref="A3:U3"/>
    <mergeCell ref="A4:U4"/>
  </mergeCells>
  <pageMargins left="0.7" right="0.7" top="0.75" bottom="0.75" header="0.3" footer="0.3"/>
  <pageSetup scale="70" orientation="landscape" r:id="rId1"/>
  <headerFooter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Rate SVS</vt:lpstr>
      <vt:lpstr>Rate SVT</vt:lpstr>
      <vt:lpstr>Rate MVS</vt:lpstr>
      <vt:lpstr>Rate MVT</vt:lpstr>
      <vt:lpstr>Rate LVS</vt:lpstr>
      <vt:lpstr>Rate LVT</vt:lpstr>
      <vt:lpstr>Rate NFS</vt:lpstr>
      <vt:lpstr>Rate SVI</vt:lpstr>
      <vt:lpstr>Rate LVI</vt:lpstr>
      <vt:lpstr>Rate SSS</vt:lpstr>
      <vt:lpstr>Rate LSS</vt:lpstr>
      <vt:lpstr>Rate STM</vt:lpstr>
      <vt:lpstr>Rate MTM</vt:lpstr>
      <vt:lpstr>Rate CPT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2026-08-18T20:52:18Z</dcterms:created>
  <dcterms:modified xsi:type="dcterms:W3CDTF">2026-08-18T20:52:38Z</dcterms:modified>
  <cp:category/>
  <cp:contentStatus/>
</cp:coreProperties>
</file>